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-Summary" sheetId="1" state="visible" r:id="rId3"/>
    <sheet name="leg1" sheetId="2" state="visible" r:id="rId4"/>
    <sheet name="Leg2" sheetId="3" state="visible" r:id="rId5"/>
    <sheet name="Leg3" sheetId="4" state="visible" r:id="rId6"/>
    <sheet name="Leg4" sheetId="5" state="visible" r:id="rId7"/>
    <sheet name="Curves" sheetId="6" state="visible" r:id="rId8"/>
    <sheet name="Tables" sheetId="7" state="visible" r:id="rId9"/>
    <sheet name="xCombined" sheetId="8" state="visible" r:id="rId10"/>
    <sheet name="WgtAvgPrc" sheetId="9" state="visible" r:id="rId11"/>
    <sheet name="Monthly Value" sheetId="10" state="visible" r:id="rId12"/>
  </sheets>
  <externalReferences>
    <externalReference r:id="rId13"/>
    <externalReference r:id="rId14"/>
  </externalReferences>
  <definedNames>
    <definedName function="false" hidden="false" localSheetId="0" name="_xlnm.Print_Area" vbProcedure="false">'Inputs-Summary'!$A$1:$K$41</definedName>
    <definedName function="false" hidden="false" localSheetId="9" name="_xlnm.Print_Area" vbProcedure="false">'Monthly Value'!$A$1:$K$37</definedName>
    <definedName function="false" hidden="false" name="BasisIndexWarning" vbProcedure="false">OFFSET(#REF!,0,0,1,COUNT(Curves!$17:$17))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Curves!$C$13:$Z$13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Curves!$C$8:$Z$8</definedName>
    <definedName function="false" hidden="false" name="CurveTable" vbProcedure="false">Curves!$C$8:$Z$443</definedName>
    <definedName function="false" hidden="false" name="CurveType" vbProcedure="false">Curves!$C$8:$Z$8</definedName>
    <definedName function="false" hidden="false" name="CurveValues" vbProcedure="false">Curves!$C$11:$P$377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mthbeg" vbProcedure="false">leg1!$A$3</definedName>
    <definedName function="false" hidden="false" name="mthend" vbProcedure="false">leg1!$B$3</definedName>
    <definedName function="false" hidden="false" name="Password" vbProcedure="false">Curves!$C$2</definedName>
    <definedName function="false" hidden="false" name="Table" vbProcedure="false">Curves!$C$8:$Z$370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  <definedName function="false" hidden="false" localSheetId="1" name="BasisIndexWarning" vbProcedure="false">OFFSET(#REF!,0,0,1,COUNT(#REF!))</definedName>
    <definedName function="false" hidden="false" localSheetId="1" name="correlfrom" vbProcedure="false">OFFSET([1]Intracorrel!$A$2,0,0,1,COUNT(correlmatchline))</definedName>
    <definedName function="false" hidden="false" localSheetId="1" name="correlto" vbProcedure="false">OFFSET([1]Intracorrel!$A$3,0,0,1,COUNT(correlmatchline))</definedName>
    <definedName function="false" hidden="false" localSheetId="1" name="CurveCode" vbProcedure="false">OFFSET(#REF!,0,0,1,COUNT(#REF!))</definedName>
    <definedName function="false" hidden="false" localSheetId="1" name="CurveCodes" vbProcedure="false">#REF!</definedName>
    <definedName function="false" hidden="false" localSheetId="1" name="CurveMonth" vbProcedure="false">#REF!</definedName>
    <definedName function="false" hidden="false" localSheetId="1" name="CurveRange" vbProcedure="false">#REF!</definedName>
    <definedName function="false" hidden="false" localSheetId="1" name="Curves" vbProcedure="false">#REF!</definedName>
    <definedName function="false" hidden="false" localSheetId="1" name="CurveTable" vbProcedure="false">#REF!</definedName>
    <definedName function="false" hidden="false" localSheetId="1" name="CurveType" vbProcedure="false">#REF!</definedName>
    <definedName function="false" hidden="false" localSheetId="1" name="CurveValues" vbProcedure="false">#REF!</definedName>
    <definedName function="false" hidden="false" localSheetId="1" name="curvevalues2" vbProcedure="false">OFFSET(#REF!,0,0,COUNT(#REF!)+5,COUNT(#REF!))</definedName>
    <definedName function="false" hidden="false" localSheetId="1" name="CurveValuesExtra" vbProcedure="false">#REF!</definedName>
    <definedName function="false" hidden="false" localSheetId="1" name="Dailydemandcharge" vbProcedure="false">OFFSET('[1]Mainline to Leach'!$K$21,0,0,Enddate-'[1]Mainline to Leach'!$A$20,1)</definedName>
    <definedName function="false" hidden="false" localSheetId="1" name="Dailydiscountedadjustedspread" vbProcedure="false">OFFSET('[1]Mainline to Leach'!$M$21,0,0,Enddate-'[1]Mainline to Leach'!$A$20,1)</definedName>
    <definedName function="false" hidden="false" localSheetId="1" name="Dailydiscountedintrinsicvalue" vbProcedure="false">OFFSET('[1]Mainline to Leach'!$O$21,0,0,Enddate-'[1]Mainline to Leach'!$A$20,1)</definedName>
    <definedName function="false" hidden="false" localSheetId="1" name="Dailydiscountedspread" vbProcedure="false">OFFSET('[1]Mainline to Leach'!$O$21,0,0,Enddate-'[1]Mainline to Leach'!$A$20,1)</definedName>
    <definedName function="false" hidden="false" localSheetId="1" name="DBase" vbProcedure="false">#REF!</definedName>
    <definedName function="false" hidden="false" localSheetId="1" name="Password" vbProcedure="false">#REF!</definedName>
    <definedName function="false" hidden="false" localSheetId="1" name="Table" vbProcedure="false">#REF!</definedName>
    <definedName function="false" hidden="false" localSheetId="1" name="today" vbProcedure="false">#REF!</definedName>
    <definedName function="false" hidden="false" localSheetId="1" name="UpperLeftOfCurveTable" vbProcedure="false">#REF!</definedName>
    <definedName function="false" hidden="false" localSheetId="1" name="UserName" vbProcedure="false">#REF!</definedName>
    <definedName function="false" hidden="false" localSheetId="2" name="BasisIndexWarning" vbProcedure="false">OFFSET(#REF!,0,0,1,COUNT(#REF!))</definedName>
    <definedName function="false" hidden="false" localSheetId="2" name="correlfrom" vbProcedure="false">OFFSET([1]Intracorrel!$A$2,0,0,1,COUNT(correlmatchline))</definedName>
    <definedName function="false" hidden="false" localSheetId="2" name="correlto" vbProcedure="false">OFFSET([1]Intracorrel!$A$3,0,0,1,COUNT(correlmatchline))</definedName>
    <definedName function="false" hidden="false" localSheetId="2" name="CurveCode" vbProcedure="false">OFFSET(#REF!,0,0,1,COUNT(#REF!))</definedName>
    <definedName function="false" hidden="false" localSheetId="2" name="CurveCodes" vbProcedure="false">#REF!</definedName>
    <definedName function="false" hidden="false" localSheetId="2" name="CurveMonth" vbProcedure="false">#REF!</definedName>
    <definedName function="false" hidden="false" localSheetId="2" name="CurveRange" vbProcedure="false">#REF!</definedName>
    <definedName function="false" hidden="false" localSheetId="2" name="Curves" vbProcedure="false">#REF!</definedName>
    <definedName function="false" hidden="false" localSheetId="2" name="CurveTable" vbProcedure="false">#REF!</definedName>
    <definedName function="false" hidden="false" localSheetId="2" name="CurveType" vbProcedure="false">#REF!</definedName>
    <definedName function="false" hidden="false" localSheetId="2" name="CurveValues" vbProcedure="false">#REF!</definedName>
    <definedName function="false" hidden="false" localSheetId="2" name="curvevalues2" vbProcedure="false">OFFSET(#REF!,0,0,COUNT(#REF!)+5,COUNT(#REF!))</definedName>
    <definedName function="false" hidden="false" localSheetId="2" name="CurveValuesExtra" vbProcedure="false">#REF!</definedName>
    <definedName function="false" hidden="false" localSheetId="2" name="Dailydemandcharge" vbProcedure="false">OFFSET('[1]Mainline to Leach'!$K$21,0,0,Enddate-'[1]Mainline to Leach'!$A$20,1)</definedName>
    <definedName function="false" hidden="false" localSheetId="2" name="Dailydiscountedadjustedspread" vbProcedure="false">OFFSET('[1]Mainline to Leach'!$M$21,0,0,Enddate-'[1]Mainline to Leach'!$A$20,1)</definedName>
    <definedName function="false" hidden="false" localSheetId="2" name="Dailydiscountedintrinsicvalue" vbProcedure="false">OFFSET('[1]Mainline to Leach'!$O$21,0,0,Enddate-'[1]Mainline to Leach'!$A$20,1)</definedName>
    <definedName function="false" hidden="false" localSheetId="2" name="Dailydiscountedspread" vbProcedure="false">OFFSET('[1]Mainline to Leach'!$O$21,0,0,Enddate-'[1]Mainline to Leach'!$A$20,1)</definedName>
    <definedName function="false" hidden="false" localSheetId="2" name="DBase" vbProcedure="false">#REF!</definedName>
    <definedName function="false" hidden="false" localSheetId="2" name="mthbeg" vbProcedure="false">Leg2!$A$3</definedName>
    <definedName function="false" hidden="false" localSheetId="2" name="mthend" vbProcedure="false">Leg2!$B$3</definedName>
    <definedName function="false" hidden="false" localSheetId="2" name="Password" vbProcedure="false">#REF!</definedName>
    <definedName function="false" hidden="false" localSheetId="2" name="Table" vbProcedure="false">#REF!</definedName>
    <definedName function="false" hidden="false" localSheetId="2" name="today" vbProcedure="false">#REF!</definedName>
    <definedName function="false" hidden="false" localSheetId="2" name="UpperLeftOfCurveTable" vbProcedure="false">#REF!</definedName>
    <definedName function="false" hidden="false" localSheetId="2" name="UserName" vbProcedure="false">#REF!</definedName>
    <definedName function="false" hidden="false" localSheetId="3" name="BasisIndexWarning" vbProcedure="false">OFFSET(#REF!,0,0,1,COUNT(#REF!))</definedName>
    <definedName function="false" hidden="false" localSheetId="3" name="correlfrom" vbProcedure="false">OFFSET([1]Intracorrel!$A$2,0,0,1,COUNT(correlmatchline))</definedName>
    <definedName function="false" hidden="false" localSheetId="3" name="correlto" vbProcedure="false">OFFSET([1]Intracorrel!$A$3,0,0,1,COUNT(correlmatchline))</definedName>
    <definedName function="false" hidden="false" localSheetId="3" name="CurveCode" vbProcedure="false">OFFSET(#REF!,0,0,1,COUNT(#REF!))</definedName>
    <definedName function="false" hidden="false" localSheetId="3" name="CurveCodes" vbProcedure="false">#REF!</definedName>
    <definedName function="false" hidden="false" localSheetId="3" name="CurveMonth" vbProcedure="false">#REF!</definedName>
    <definedName function="false" hidden="false" localSheetId="3" name="CurveRange" vbProcedure="false">#REF!</definedName>
    <definedName function="false" hidden="false" localSheetId="3" name="Curves" vbProcedure="false">#REF!</definedName>
    <definedName function="false" hidden="false" localSheetId="3" name="CurveTable" vbProcedure="false">#REF!</definedName>
    <definedName function="false" hidden="false" localSheetId="3" name="CurveType" vbProcedure="false">#REF!</definedName>
    <definedName function="false" hidden="false" localSheetId="3" name="CurveValues" vbProcedure="false">#REF!</definedName>
    <definedName function="false" hidden="false" localSheetId="3" name="curvevalues2" vbProcedure="false">OFFSET(#REF!,0,0,COUNT(#REF!)+5,COUNT(#REF!))</definedName>
    <definedName function="false" hidden="false" localSheetId="3" name="CurveValuesExtra" vbProcedure="false">#REF!</definedName>
    <definedName function="false" hidden="false" localSheetId="3" name="Dailydemandcharge" vbProcedure="false">OFFSET('[1]Mainline to Leach'!$K$21,0,0,Enddate-'[1]Mainline to Leach'!$A$20,1)</definedName>
    <definedName function="false" hidden="false" localSheetId="3" name="Dailydiscountedadjustedspread" vbProcedure="false">OFFSET('[1]Mainline to Leach'!$M$21,0,0,Enddate-'[1]Mainline to Leach'!$A$20,1)</definedName>
    <definedName function="false" hidden="false" localSheetId="3" name="Dailydiscountedintrinsicvalue" vbProcedure="false">OFFSET('[1]Mainline to Leach'!$O$21,0,0,Enddate-'[1]Mainline to Leach'!$A$20,1)</definedName>
    <definedName function="false" hidden="false" localSheetId="3" name="Dailydiscountedspread" vbProcedure="false">OFFSET('[1]Mainline to Leach'!$O$21,0,0,Enddate-'[1]Mainline to Leach'!$A$20,1)</definedName>
    <definedName function="false" hidden="false" localSheetId="3" name="DBase" vbProcedure="false">#REF!</definedName>
    <definedName function="false" hidden="false" localSheetId="3" name="mthbeg" vbProcedure="false">Leg3!$A$3</definedName>
    <definedName function="false" hidden="false" localSheetId="3" name="mthend" vbProcedure="false">Leg3!$B$3</definedName>
    <definedName function="false" hidden="false" localSheetId="3" name="Password" vbProcedure="false">#REF!</definedName>
    <definedName function="false" hidden="false" localSheetId="3" name="Table" vbProcedure="false">#REF!</definedName>
    <definedName function="false" hidden="false" localSheetId="3" name="today" vbProcedure="false">#REF!</definedName>
    <definedName function="false" hidden="false" localSheetId="3" name="UpperLeftOfCurveTable" vbProcedure="false">#REF!</definedName>
    <definedName function="false" hidden="false" localSheetId="3" name="UserName" vbProcedure="false">#REF!</definedName>
    <definedName function="false" hidden="false" localSheetId="4" name="BasisIndexWarning" vbProcedure="false">OFFSET(#REF!,0,0,1,COUNT(#REF!))</definedName>
    <definedName function="false" hidden="false" localSheetId="4" name="correlfrom" vbProcedure="false">OFFSET([1]Intracorrel!$A$2,0,0,1,COUNT(correlmatchline))</definedName>
    <definedName function="false" hidden="false" localSheetId="4" name="correlto" vbProcedure="false">OFFSET([1]Intracorrel!$A$3,0,0,1,COUNT(correlmatchline))</definedName>
    <definedName function="false" hidden="false" localSheetId="4" name="CurveCode" vbProcedure="false">OFFSET(#REF!,0,0,1,COUNT(#REF!))</definedName>
    <definedName function="false" hidden="false" localSheetId="4" name="CurveCodes" vbProcedure="false">#REF!</definedName>
    <definedName function="false" hidden="false" localSheetId="4" name="CurveMonth" vbProcedure="false">#REF!</definedName>
    <definedName function="false" hidden="false" localSheetId="4" name="CurveRange" vbProcedure="false">#REF!</definedName>
    <definedName function="false" hidden="false" localSheetId="4" name="Curves" vbProcedure="false">#REF!</definedName>
    <definedName function="false" hidden="false" localSheetId="4" name="CurveTable" vbProcedure="false">#REF!</definedName>
    <definedName function="false" hidden="false" localSheetId="4" name="CurveType" vbProcedure="false">#REF!</definedName>
    <definedName function="false" hidden="false" localSheetId="4" name="CurveValues" vbProcedure="false">#REF!</definedName>
    <definedName function="false" hidden="false" localSheetId="4" name="curvevalues2" vbProcedure="false">OFFSET(#REF!,0,0,COUNT(#REF!)+5,COUNT(#REF!))</definedName>
    <definedName function="false" hidden="false" localSheetId="4" name="CurveValuesExtra" vbProcedure="false">#REF!</definedName>
    <definedName function="false" hidden="false" localSheetId="4" name="Dailydemandcharge" vbProcedure="false">OFFSET('[1]Mainline to Leach'!$K$21,0,0,Enddate-'[1]Mainline to Leach'!$A$20,1)</definedName>
    <definedName function="false" hidden="false" localSheetId="4" name="Dailydiscountedadjustedspread" vbProcedure="false">OFFSET('[1]Mainline to Leach'!$M$21,0,0,Enddate-'[1]Mainline to Leach'!$A$20,1)</definedName>
    <definedName function="false" hidden="false" localSheetId="4" name="Dailydiscountedintrinsicvalue" vbProcedure="false">OFFSET('[1]Mainline to Leach'!$O$21,0,0,Enddate-'[1]Mainline to Leach'!$A$20,1)</definedName>
    <definedName function="false" hidden="false" localSheetId="4" name="Dailydiscountedspread" vbProcedure="false">OFFSET('[1]Mainline to Leach'!$O$21,0,0,Enddate-'[1]Mainline to Leach'!$A$20,1)</definedName>
    <definedName function="false" hidden="false" localSheetId="4" name="DBase" vbProcedure="false">#REF!</definedName>
    <definedName function="false" hidden="false" localSheetId="4" name="mthbeg" vbProcedure="false">Leg4!$A$3</definedName>
    <definedName function="false" hidden="false" localSheetId="4" name="mthend" vbProcedure="false">Leg4!$B$3</definedName>
    <definedName function="false" hidden="false" localSheetId="4" name="Password" vbProcedure="false">#REF!</definedName>
    <definedName function="false" hidden="false" localSheetId="4" name="Table" vbProcedure="false">#REF!</definedName>
    <definedName function="false" hidden="false" localSheetId="4" name="today" vbProcedure="false">#REF!</definedName>
    <definedName function="false" hidden="false" localSheetId="4" name="UpperLeftOfCurveTable" vbProcedure="false">#REF!</definedName>
    <definedName function="false" hidden="false" localSheetId="4" name="UserName" vbProcedure="false">#REF!</definedName>
    <definedName function="false" hidden="false" localSheetId="7" name="BasisIndexWarning" vbProcedure="false">OFFSET(#REF!,0,0,1,COUNT(#REF!))</definedName>
    <definedName function="false" hidden="false" localSheetId="7" name="correlfrom" vbProcedure="false">OFFSET([1]Intracorrel!$A$2,0,0,1,COUNT(correlmatchline))</definedName>
    <definedName function="false" hidden="false" localSheetId="7" name="correlto" vbProcedure="false">OFFSET([1]Intracorrel!$A$3,0,0,1,COUNT(correlmatchline))</definedName>
    <definedName function="false" hidden="false" localSheetId="7" name="CurveCode" vbProcedure="false">OFFSET(#REF!,0,0,1,COUNT(#REF!))</definedName>
    <definedName function="false" hidden="false" localSheetId="7" name="CurveCodes" vbProcedure="false">#REF!</definedName>
    <definedName function="false" hidden="false" localSheetId="7" name="CurveMonth" vbProcedure="false">#REF!</definedName>
    <definedName function="false" hidden="false" localSheetId="7" name="CurveRange" vbProcedure="false">#REF!</definedName>
    <definedName function="false" hidden="false" localSheetId="7" name="Curves" vbProcedure="false">#REF!</definedName>
    <definedName function="false" hidden="false" localSheetId="7" name="CurveTable" vbProcedure="false">#REF!</definedName>
    <definedName function="false" hidden="false" localSheetId="7" name="CurveType" vbProcedure="false">#REF!</definedName>
    <definedName function="false" hidden="false" localSheetId="7" name="CurveValues" vbProcedure="false">#REF!</definedName>
    <definedName function="false" hidden="false" localSheetId="7" name="curvevalues2" vbProcedure="false">OFFSET(#REF!,0,0,COUNT(#REF!)+5,COUNT(#REF!))</definedName>
    <definedName function="false" hidden="false" localSheetId="7" name="CurveValuesExtra" vbProcedure="false">#REF!</definedName>
    <definedName function="false" hidden="false" localSheetId="7" name="Dailydemandcharge" vbProcedure="false">OFFSET('[1]Mainline to Leach'!$K$21,0,0,Enddate-'[1]Mainline to Leach'!$A$20,1)</definedName>
    <definedName function="false" hidden="false" localSheetId="7" name="Dailydiscountedadjustedspread" vbProcedure="false">OFFSET('[1]Mainline to Leach'!$M$21,0,0,Enddate-'[1]Mainline to Leach'!$A$20,1)</definedName>
    <definedName function="false" hidden="false" localSheetId="7" name="Dailydiscountedintrinsicvalue" vbProcedure="false">OFFSET('[1]Mainline to Leach'!$O$21,0,0,Enddate-'[1]Mainline to Leach'!$A$20,1)</definedName>
    <definedName function="false" hidden="false" localSheetId="7" name="Dailydiscountedspread" vbProcedure="false">OFFSET('[1]Mainline to Leach'!$O$21,0,0,Enddate-'[1]Mainline to Leach'!$A$20,1)</definedName>
    <definedName function="false" hidden="false" localSheetId="7" name="DBase" vbProcedure="false">#REF!</definedName>
    <definedName function="false" hidden="false" localSheetId="7" name="mthbeg" vbProcedure="false">xCombined!$A$3</definedName>
    <definedName function="false" hidden="false" localSheetId="7" name="mthend" vbProcedure="false">xCombined!$B$3</definedName>
    <definedName function="false" hidden="false" localSheetId="7" name="Password" vbProcedure="false">#REF!</definedName>
    <definedName function="false" hidden="false" localSheetId="7" name="Table" vbProcedure="false">#REF!</definedName>
    <definedName function="false" hidden="false" localSheetId="7" name="today" vbProcedure="false">#REF!</definedName>
    <definedName function="false" hidden="false" localSheetId="7" name="UpperLeftOfCurveTable" vbProcedure="false">#REF!</definedName>
    <definedName function="false" hidden="false" localSheetId="7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8"/>
            <color rgb="FF000000"/>
            <rFont val="Tahoma"/>
            <family val="0"/>
          </rPr>
          <t xml:space="preserve">Negative means prior year actual was greater than total quantity booked on all legs.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</xdr:colOff>
                <xdr:row>29</xdr:row>
                <xdr:rowOff>7</xdr:rowOff>
              </xdr:from>
              <xdr:to>
                <xdr:col>9</xdr:col>
                <xdr:colOff>50</xdr:colOff>
                <xdr:row>34</xdr:row>
                <xdr:rowOff>10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9"/>
            <color rgb="FF000000"/>
            <rFont val="Tahoma"/>
            <family val="2"/>
          </rPr>
          <t xml:space="preserve">Based on Jan'01 - Oct'01 actuals from "ReliantEntex_Chance.xls"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4</xdr:col>
                <xdr:colOff>45</xdr:colOff>
                <xdr:row>15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<sst xmlns="http://schemas.openxmlformats.org/spreadsheetml/2006/main" count="851" uniqueCount="402">
  <si>
    <t xml:space="preserve">Term</t>
  </si>
  <si>
    <t xml:space="preserve">Start Date</t>
  </si>
  <si>
    <t xml:space="preserve">End Date</t>
  </si>
  <si>
    <t xml:space="preserve">Curve Date</t>
  </si>
  <si>
    <t xml:space="preserve">Volume</t>
  </si>
  <si>
    <t xml:space="preserve">see below</t>
  </si>
  <si>
    <t xml:space="preserve">Daily=1/Monthly=2</t>
  </si>
  <si>
    <t xml:space="preserve">Desk Buy=1/Sell=2</t>
  </si>
  <si>
    <t xml:space="preserve">Based on</t>
  </si>
  <si>
    <t xml:space="preserve">Deal Type</t>
  </si>
  <si>
    <t xml:space="preserve">Index Forward</t>
  </si>
  <si>
    <t xml:space="preserve">TAGG</t>
  </si>
  <si>
    <t xml:space="preserve">Prior Year</t>
  </si>
  <si>
    <t xml:space="preserve">Quantity</t>
  </si>
  <si>
    <t xml:space="preserve">Quantity &amp;</t>
  </si>
  <si>
    <t xml:space="preserve">Pricing:</t>
  </si>
  <si>
    <t xml:space="preserve">Value:</t>
  </si>
  <si>
    <t xml:space="preserve">&amp; Price</t>
  </si>
  <si>
    <t xml:space="preserve">Contract Price</t>
  </si>
  <si>
    <t xml:space="preserve">Index Curve Code</t>
  </si>
  <si>
    <t xml:space="preserve">Mid</t>
  </si>
  <si>
    <t xml:space="preserve">Bid</t>
  </si>
  <si>
    <t xml:space="preserve">Contract</t>
  </si>
  <si>
    <t xml:space="preserve">Trader Value</t>
  </si>
  <si>
    <t xml:space="preserve">Total</t>
  </si>
  <si>
    <t xml:space="preserve">Leg1</t>
  </si>
  <si>
    <t xml:space="preserve">Index</t>
  </si>
  <si>
    <t xml:space="preserve">Total Price</t>
  </si>
  <si>
    <t xml:space="preserve">Leg2</t>
  </si>
  <si>
    <t xml:space="preserve">Leg 3</t>
  </si>
  <si>
    <t xml:space="preserve">Leg 4</t>
  </si>
  <si>
    <t xml:space="preserve">Leg 2</t>
  </si>
  <si>
    <t xml:space="preserve">Leg3</t>
  </si>
  <si>
    <t xml:space="preserve">Total Legs</t>
  </si>
  <si>
    <t xml:space="preserve">Delta</t>
  </si>
  <si>
    <t xml:space="preserve">Price</t>
  </si>
  <si>
    <t xml:space="preserve">Gas Swap Model</t>
  </si>
  <si>
    <t xml:space="preserve">MMBtu/day 1</t>
  </si>
  <si>
    <t xml:space="preserve">Basis</t>
  </si>
  <si>
    <t xml:space="preserve">Cost of Funds</t>
  </si>
  <si>
    <t xml:space="preserve">INPUT</t>
  </si>
  <si>
    <t xml:space="preserve">Stop Date</t>
  </si>
  <si>
    <t xml:space="preserve">Mark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</si>
  <si>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</si>
  <si>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</si>
  <si>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</si>
  <si>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</si>
  <si>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</si>
  <si>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IF-TENN/LA_OFF</t>
  </si>
  <si>
    <t xml:space="preserve">Contract v.s. Mid</t>
  </si>
  <si>
    <t xml:space="preserve">Mid v.s. Bid</t>
  </si>
  <si>
    <t xml:space="preserve">Contract v.s. Bid</t>
  </si>
  <si>
    <t xml:space="preserve">TOTAL</t>
  </si>
  <si>
    <t xml:space="preserve">Real</t>
  </si>
  <si>
    <t xml:space="preserve">PV</t>
  </si>
  <si>
    <t xml:space="preserve">NG-P</t>
  </si>
  <si>
    <t xml:space="preserve">Accum</t>
  </si>
  <si>
    <t xml:space="preserve">LIBOR-AA</t>
  </si>
  <si>
    <t xml:space="preserve">Delivery</t>
  </si>
  <si>
    <t xml:space="preserve">Monthly</t>
  </si>
  <si>
    <t xml:space="preserve">Nymex</t>
  </si>
  <si>
    <t xml:space="preserve">Calendar</t>
  </si>
  <si>
    <t xml:space="preserve">Discount</t>
  </si>
  <si>
    <t xml:space="preserve">Libor</t>
  </si>
  <si>
    <t xml:space="preserve">Active</t>
  </si>
  <si>
    <t xml:space="preserve">MID</t>
  </si>
  <si>
    <t xml:space="preserve">Trader </t>
  </si>
  <si>
    <t xml:space="preserve">Total </t>
  </si>
  <si>
    <t xml:space="preserve">Month</t>
  </si>
  <si>
    <t xml:space="preserve">MMBtu</t>
  </si>
  <si>
    <t xml:space="preserve">MMbtu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</si>
  <si>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</si>
  <si>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</si>
  <si>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</si>
  <si>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</si>
  <si>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</si>
  <si>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</si>
  <si>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</si>
  <si>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</si>
  <si>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</si>
  <si>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</si>
  <si>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</si>
  <si>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</si>
  <si>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</si>
  <si>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</si>
  <si>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</si>
  <si>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</si>
  <si>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</si>
  <si>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VO-P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</si>
  <si>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</si>
  <si>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</si>
  <si>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</si>
  <si>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</si>
  <si>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</si>
  <si>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IF-HEHUB</t>
  </si>
  <si>
    <t xml:space="preserve">IF-HPL/SHPCHAN</t>
  </si>
  <si>
    <t xml:space="preserve">NGI-SOCAL</t>
  </si>
  <si>
    <t xml:space="preserve">IF-TRANSCO/Z6</t>
  </si>
  <si>
    <t xml:space="preserve">Curve Type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</si>
  <si>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</si>
  <si>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</si>
  <si>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</si>
  <si>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</si>
  <si>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</si>
  <si>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</si>
  <si>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</si>
  <si>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</si>
  <si>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ATEST_PC</t>
  </si>
  <si>
    <t xml:space="preserve">DQUIGLE</t>
  </si>
  <si>
    <t xml:space="preserve">SBRAWNE</t>
  </si>
  <si>
    <t xml:space="preserve">PRYDER</t>
  </si>
  <si>
    <t xml:space="preserve">BPEHLIVA</t>
  </si>
  <si>
    <t xml:space="preserve">JMCKAY1</t>
  </si>
  <si>
    <t xml:space="preserve">Table 1 - Book Codes</t>
  </si>
  <si>
    <t xml:space="preserve">P - Price</t>
  </si>
  <si>
    <t xml:space="preserve">D - Basis</t>
  </si>
  <si>
    <t xml:space="preserve">I - Index</t>
  </si>
  <si>
    <t xml:space="preserve">R - Rate</t>
  </si>
  <si>
    <t xml:space="preserve">F</t>
  </si>
  <si>
    <t xml:space="preserve">F - Foreign Exchange</t>
  </si>
  <si>
    <t xml:space="preserve">Open</t>
  </si>
  <si>
    <t xml:space="preserve">Table 2 - Curve Types</t>
  </si>
  <si>
    <t xml:space="preserve">PR - Mid Price</t>
  </si>
  <si>
    <t xml:space="preserve">BP</t>
  </si>
  <si>
    <t xml:space="preserve">BP - Bid Price</t>
  </si>
  <si>
    <t xml:space="preserve">AP</t>
  </si>
  <si>
    <t xml:space="preserve">AP - Ask Price</t>
  </si>
  <si>
    <t xml:space="preserve">AA - Libor AA</t>
  </si>
  <si>
    <t xml:space="preserve">VO - Mid Volatility</t>
  </si>
  <si>
    <t xml:space="preserve">BV</t>
  </si>
  <si>
    <t xml:space="preserve">BV - Bid Volatility</t>
  </si>
  <si>
    <t xml:space="preserve">AV</t>
  </si>
  <si>
    <t xml:space="preserve">AV - Ask Volatility</t>
  </si>
  <si>
    <t xml:space="preserve">FX</t>
  </si>
  <si>
    <t xml:space="preserve">FX - Foreign Exchange</t>
  </si>
  <si>
    <t xml:space="preserve">IR</t>
  </si>
  <si>
    <t xml:space="preserve">IR - Interest Rate</t>
  </si>
  <si>
    <t xml:space="preserve">Table 3 - Curve Codes</t>
  </si>
  <si>
    <t xml:space="preserve">Nymex Natural Gas</t>
  </si>
  <si>
    <t xml:space="preserve">INT</t>
  </si>
  <si>
    <t xml:space="preserve">Libor AA Interest Rate</t>
  </si>
  <si>
    <t xml:space="preserve">IF-AGUA DULCE</t>
  </si>
  <si>
    <t xml:space="preserve">IF Agua Dulce</t>
  </si>
  <si>
    <t xml:space="preserve">IF-ANR/LA</t>
  </si>
  <si>
    <t xml:space="preserve">IF ANR Louisiana</t>
  </si>
  <si>
    <t xml:space="preserve">IF-ANR/OK</t>
  </si>
  <si>
    <t xml:space="preserve">IF ANR Oklahoma</t>
  </si>
  <si>
    <t xml:space="preserve">IF-ARKLA/ARK-OK</t>
  </si>
  <si>
    <t xml:space="preserve">IF Arkla/Ark,OK-50%</t>
  </si>
  <si>
    <t xml:space="preserve">IF-CARTHAGE</t>
  </si>
  <si>
    <t xml:space="preserve">IF Carthage</t>
  </si>
  <si>
    <t xml:space="preserve">IF-CNG/APPALACH</t>
  </si>
  <si>
    <t xml:space="preserve">IF CNG Appalachia</t>
  </si>
  <si>
    <t xml:space="preserve">IF-CIG/RKYMTN</t>
  </si>
  <si>
    <t xml:space="preserve">IF CIG Rocky Mountains</t>
  </si>
  <si>
    <t xml:space="preserve">IF-CGT/APPALAC</t>
  </si>
  <si>
    <t xml:space="preserve">IF Columbia Gas Appalachia</t>
  </si>
  <si>
    <t xml:space="preserve">IF-COLGULF/LA</t>
  </si>
  <si>
    <t xml:space="preserve">IF Columbia Gulf Louisiana</t>
  </si>
  <si>
    <t xml:space="preserve">IF-ELPO/PERMIAN</t>
  </si>
  <si>
    <t xml:space="preserve">IF EL Paso Permian</t>
  </si>
  <si>
    <t xml:space="preserve">IF-ELPO/SJ</t>
  </si>
  <si>
    <t xml:space="preserve">IF EL Paso San Juan</t>
  </si>
  <si>
    <t xml:space="preserve">IF-FGT/Z1</t>
  </si>
  <si>
    <t xml:space="preserve">IF FGT Zone 1</t>
  </si>
  <si>
    <t xml:space="preserve">IF-FGT/Z2</t>
  </si>
  <si>
    <t xml:space="preserve">IF FGT Zone 2</t>
  </si>
  <si>
    <t xml:space="preserve">IF-FGT/Z3</t>
  </si>
  <si>
    <t xml:space="preserve">IF FGT Zone 3</t>
  </si>
  <si>
    <t xml:space="preserve">IF-FGT/MKTAREA</t>
  </si>
  <si>
    <t xml:space="preserve">FGT Market Area Transport Cost</t>
  </si>
  <si>
    <t xml:space="preserve">IF Henry Hub</t>
  </si>
  <si>
    <t xml:space="preserve">IF HPL Ship Channel</t>
  </si>
  <si>
    <t xml:space="preserve">IF-KATY</t>
  </si>
  <si>
    <t xml:space="preserve">IF KATY Hub East Texas</t>
  </si>
  <si>
    <t xml:space="preserve">IF-KERN/RIVER</t>
  </si>
  <si>
    <t xml:space="preserve">IF Kern River Wyoming</t>
  </si>
  <si>
    <t xml:space="preserve">IF-KOCH/LA</t>
  </si>
  <si>
    <t xml:space="preserve">IF Koch Louisiana</t>
  </si>
  <si>
    <t xml:space="preserve">IF-KOCH/TX</t>
  </si>
  <si>
    <t xml:space="preserve">IF Koch Texas</t>
  </si>
  <si>
    <t xml:space="preserve">IF-NGPL/MIDCON</t>
  </si>
  <si>
    <t xml:space="preserve">IF NGPL Mid Continent</t>
  </si>
  <si>
    <t xml:space="preserve">IF-NGPL/LA</t>
  </si>
  <si>
    <t xml:space="preserve">IF NGPL Louisiana</t>
  </si>
  <si>
    <t xml:space="preserve">IF-NGPLTXOK</t>
  </si>
  <si>
    <t xml:space="preserve">IF NGPL TX-OK</t>
  </si>
  <si>
    <t xml:space="preserve">IF-NGPL/TX</t>
  </si>
  <si>
    <t xml:space="preserve">IF NGPL South Texas</t>
  </si>
  <si>
    <t xml:space="preserve">IF-NORAM/EAST</t>
  </si>
  <si>
    <t xml:space="preserve">IF NorAm East</t>
  </si>
  <si>
    <t xml:space="preserve">IF-NORAM/WEST</t>
  </si>
  <si>
    <t xml:space="preserve">IF NorAm West</t>
  </si>
  <si>
    <t xml:space="preserve">IF-NNG/TOK</t>
  </si>
  <si>
    <t xml:space="preserve">IF NNG TX-OK-KS</t>
  </si>
  <si>
    <t xml:space="preserve">IF-NNG/DEMARCAT</t>
  </si>
  <si>
    <t xml:space="preserve">IF NNG Demarcation</t>
  </si>
  <si>
    <t xml:space="preserve">IF-NNG/VENT</t>
  </si>
  <si>
    <t xml:space="preserve">IF NNG Ventura</t>
  </si>
  <si>
    <t xml:space="preserve">IF-NWPL_ROCKY_M</t>
  </si>
  <si>
    <t xml:space="preserve">IF NWPL Rocky Mountains</t>
  </si>
  <si>
    <t xml:space="preserve">IF-NTHWST/CANBR</t>
  </si>
  <si>
    <t xml:space="preserve">IF NWPL Canadian Border</t>
  </si>
  <si>
    <t xml:space="preserve">IF-ONG/OKLAHOMA</t>
  </si>
  <si>
    <t xml:space="preserve">IF ONG Oklahoma</t>
  </si>
  <si>
    <t xml:space="preserve">IF-PAN/TX/OK</t>
  </si>
  <si>
    <t xml:space="preserve">IF PEPL TX-OK</t>
  </si>
  <si>
    <t xml:space="preserve">IF-QUESTAR</t>
  </si>
  <si>
    <t xml:space="preserve">IF Questar Rocky Mountains</t>
  </si>
  <si>
    <t xml:space="preserve">IF-SONAT/LA</t>
  </si>
  <si>
    <t xml:space="preserve">IF Sonat Louisiana</t>
  </si>
  <si>
    <t xml:space="preserve">IF-TENN/LA</t>
  </si>
  <si>
    <t xml:space="preserve">IF Tenn LA Zone 1 (500 Line)</t>
  </si>
  <si>
    <t xml:space="preserve">IF Tenn LA Zone 1 (800 Line)</t>
  </si>
  <si>
    <t xml:space="preserve">IF-TENN/TX</t>
  </si>
  <si>
    <t xml:space="preserve">IF Tenn TX Zone 0 (100 Line)</t>
  </si>
  <si>
    <t xml:space="preserve">IF-TENN/Z5</t>
  </si>
  <si>
    <t xml:space="preserve">IF-TENN/Z6</t>
  </si>
  <si>
    <t xml:space="preserve">IF-TETCO/ELA</t>
  </si>
  <si>
    <t xml:space="preserve">IF TETCO East Louisiana</t>
  </si>
  <si>
    <t xml:space="preserve">IF-TETCO/WLA</t>
  </si>
  <si>
    <t xml:space="preserve">IF TETCO West Louisiana</t>
  </si>
  <si>
    <t xml:space="preserve">IF-TETCO/ETX</t>
  </si>
  <si>
    <t xml:space="preserve">IF TETCO East Texas</t>
  </si>
  <si>
    <t xml:space="preserve">IF-TETCO/STX</t>
  </si>
  <si>
    <t xml:space="preserve">IF TETCO South Texas</t>
  </si>
  <si>
    <t xml:space="preserve">IF-TETCO/M1</t>
  </si>
  <si>
    <t xml:space="preserve">IF TETCO Zone M1</t>
  </si>
  <si>
    <t xml:space="preserve">IF-TETCO/M3</t>
  </si>
  <si>
    <t xml:space="preserve">IF TETCO Zone M3 (Market)</t>
  </si>
  <si>
    <t xml:space="preserve">IF-TGT/Z1</t>
  </si>
  <si>
    <t xml:space="preserve">IF TGT Zone 1</t>
  </si>
  <si>
    <t xml:space="preserve">IF-TGT/ZSL</t>
  </si>
  <si>
    <t xml:space="preserve">IF TGT South Louisiana</t>
  </si>
  <si>
    <t xml:space="preserve">IF-TRANSCO/Z1</t>
  </si>
  <si>
    <t xml:space="preserve">IF Transco Zone 1  (30)</t>
  </si>
  <si>
    <t xml:space="preserve">IF-TRANSCO/Z2</t>
  </si>
  <si>
    <t xml:space="preserve">IF Transco Zone 2  (45)</t>
  </si>
  <si>
    <t xml:space="preserve">IF-TRANSCO/Z3</t>
  </si>
  <si>
    <t xml:space="preserve">IF Transco Zone 3  (50,62,65)</t>
  </si>
  <si>
    <t xml:space="preserve">IF-TRANSCO/Z4</t>
  </si>
  <si>
    <t xml:space="preserve">IF Transco Miss/Ala  (85)</t>
  </si>
  <si>
    <t xml:space="preserve">IF-TRANSCO/Z5</t>
  </si>
  <si>
    <t xml:space="preserve">IF Transco Zone 6 (Market)</t>
  </si>
  <si>
    <t xml:space="preserve">TRANSCO/Z6NONNY</t>
  </si>
  <si>
    <t xml:space="preserve">Transco Zone 6 - Non-NY</t>
  </si>
  <si>
    <t xml:space="preserve">IF-TW/PERMIAN</t>
  </si>
  <si>
    <t xml:space="preserve">IF TW Permian</t>
  </si>
  <si>
    <t xml:space="preserve">IF-TRUNKL/LA</t>
  </si>
  <si>
    <t xml:space="preserve">IF Trunkline Louisiana</t>
  </si>
  <si>
    <t xml:space="preserve">IF-TRUNKL/TX</t>
  </si>
  <si>
    <t xml:space="preserve">IF Trunkline Texas</t>
  </si>
  <si>
    <t xml:space="preserve">IF-VALERO/TX</t>
  </si>
  <si>
    <t xml:space="preserve">IF Valero Texas</t>
  </si>
  <si>
    <t xml:space="preserve">IF-WNG/TOK</t>
  </si>
  <si>
    <t xml:space="preserve">IF Williams TX-OK-KS</t>
  </si>
  <si>
    <t xml:space="preserve">IF-WAHA-TX</t>
  </si>
  <si>
    <t xml:space="preserve">IF WAHA</t>
  </si>
  <si>
    <t xml:space="preserve">CGPR-CHIPPAWA</t>
  </si>
  <si>
    <t xml:space="preserve">CGPR-Chippawa</t>
  </si>
  <si>
    <t xml:space="preserve">CGPR-CORNWALL</t>
  </si>
  <si>
    <t xml:space="preserve">CGPR-Cornwall</t>
  </si>
  <si>
    <t xml:space="preserve">CGPR-DAWN</t>
  </si>
  <si>
    <t xml:space="preserve">CGPR-Dawn</t>
  </si>
  <si>
    <t xml:space="preserve">CGPR-EMPRESS-US</t>
  </si>
  <si>
    <t xml:space="preserve">CGPR-Empress</t>
  </si>
  <si>
    <t xml:space="preserve">CGPR-NIAGARA</t>
  </si>
  <si>
    <t xml:space="preserve">CGPR-Niagara</t>
  </si>
  <si>
    <t xml:space="preserve">CGPR-OJIBWAY</t>
  </si>
  <si>
    <t xml:space="preserve">CGPR-Ojibway</t>
  </si>
  <si>
    <t xml:space="preserve">ML7/CG</t>
  </si>
  <si>
    <t xml:space="preserve">ML7 CITYGATE (CRYSTAL FALLS)</t>
  </si>
  <si>
    <t xml:space="preserve">MICH/CONS</t>
  </si>
  <si>
    <t xml:space="preserve">MichCon Consumers</t>
  </si>
  <si>
    <t xml:space="preserve">NAT/FUEL/LEIDY</t>
  </si>
  <si>
    <t xml:space="preserve">CNG LEIDY</t>
  </si>
  <si>
    <t xml:space="preserve">NGI/CHI. GATE</t>
  </si>
  <si>
    <t xml:space="preserve">NGI Chicago City Gate</t>
  </si>
  <si>
    <t xml:space="preserve">NGI-MICH_CG</t>
  </si>
  <si>
    <t xml:space="preserve">NGI Michigan ConsoIidated</t>
  </si>
  <si>
    <t xml:space="preserve">NGI-MALIN</t>
  </si>
  <si>
    <t xml:space="preserve">NGI Malin (North Cal Border)</t>
  </si>
  <si>
    <t xml:space="preserve">NGI Socal (South Cal Border)</t>
  </si>
  <si>
    <t xml:space="preserve">NGI-PGE/TOPOCK</t>
  </si>
  <si>
    <t xml:space="preserve">NGI-PGE-Topock</t>
  </si>
  <si>
    <t xml:space="preserve">NGI-PGE/CG</t>
  </si>
  <si>
    <t xml:space="preserve">NGI-PGE-Citygate</t>
  </si>
  <si>
    <t xml:space="preserve">NGW-ALGO/CITY</t>
  </si>
  <si>
    <t xml:space="preserve">NGW Algonquin City Gate</t>
  </si>
  <si>
    <t xml:space="preserve">CGPR-AECO/BASIS</t>
  </si>
  <si>
    <t xml:space="preserve">Alberta Aeco Basis</t>
  </si>
  <si>
    <t xml:space="preserve">TRUNKL/WLA-GD</t>
  </si>
  <si>
    <t xml:space="preserve">Trunkline WLA</t>
  </si>
  <si>
    <t xml:space="preserve">NIAGARA-GDM</t>
  </si>
  <si>
    <t xml:space="preserve">GD Niagara (1st of Month)</t>
  </si>
  <si>
    <t xml:space="preserve">IF-FGT/MKT</t>
  </si>
  <si>
    <t xml:space="preserve">FGT City Gate</t>
  </si>
  <si>
    <t xml:space="preserve">C2GC</t>
  </si>
  <si>
    <t xml:space="preserve">MB Ethane</t>
  </si>
  <si>
    <t xml:space="preserve">EPMX</t>
  </si>
  <si>
    <t xml:space="preserve">MB Ethane/Propane Mix</t>
  </si>
  <si>
    <t xml:space="preserve">C2CN</t>
  </si>
  <si>
    <t xml:space="preserve">Conway Ethane</t>
  </si>
  <si>
    <t xml:space="preserve">C3GC</t>
  </si>
  <si>
    <t xml:space="preserve">MB TET Propane</t>
  </si>
  <si>
    <t xml:space="preserve">C3XT</t>
  </si>
  <si>
    <t xml:space="preserve">MB NTET Propane</t>
  </si>
  <si>
    <t xml:space="preserve">C3CN</t>
  </si>
  <si>
    <t xml:space="preserve">Conway Propane</t>
  </si>
  <si>
    <t xml:space="preserve">NC4</t>
  </si>
  <si>
    <t xml:space="preserve">MB TET N-Butane</t>
  </si>
  <si>
    <t xml:space="preserve">NBXT</t>
  </si>
  <si>
    <t xml:space="preserve">MB NTET N-Butane</t>
  </si>
  <si>
    <t xml:space="preserve">NBCN</t>
  </si>
  <si>
    <t xml:space="preserve">Conway N-Butane</t>
  </si>
  <si>
    <t xml:space="preserve">IC4</t>
  </si>
  <si>
    <t xml:space="preserve">MB TET Iso-Butane</t>
  </si>
  <si>
    <t xml:space="preserve">IBXT</t>
  </si>
  <si>
    <t xml:space="preserve">MB NTET Iso-Butane</t>
  </si>
  <si>
    <t xml:space="preserve">IBCN</t>
  </si>
  <si>
    <t xml:space="preserve">Conway Iso-Butane</t>
  </si>
  <si>
    <t xml:space="preserve">C5+</t>
  </si>
  <si>
    <t xml:space="preserve">MB TET Nat Gasoline</t>
  </si>
  <si>
    <t xml:space="preserve">C5XT</t>
  </si>
  <si>
    <t xml:space="preserve">MB NTET Nat Gasoline</t>
  </si>
  <si>
    <t xml:space="preserve">C5CN</t>
  </si>
  <si>
    <t xml:space="preserve">Conway Nat Gasoline</t>
  </si>
  <si>
    <t xml:space="preserve">WTI</t>
  </si>
  <si>
    <t xml:space="preserve">WTI Crude Oil</t>
  </si>
  <si>
    <t xml:space="preserve">61NY</t>
  </si>
  <si>
    <t xml:space="preserve">#6 Oil 1%S New York</t>
  </si>
  <si>
    <t xml:space="preserve">62NY</t>
  </si>
  <si>
    <t xml:space="preserve">#6 Oil 2%S New York</t>
  </si>
  <si>
    <t xml:space="preserve">61GC</t>
  </si>
  <si>
    <t xml:space="preserve">#6 Oil 1%S Gulf coast</t>
  </si>
  <si>
    <t xml:space="preserve">63GC</t>
  </si>
  <si>
    <t xml:space="preserve">#6 Oil 3%S Gulf coast</t>
  </si>
  <si>
    <t xml:space="preserve">NXHO</t>
  </si>
  <si>
    <t xml:space="preserve">#2 Oil New York</t>
  </si>
  <si>
    <t xml:space="preserve">GCHO</t>
  </si>
  <si>
    <t xml:space="preserve">#2 Oil Gulf Coast</t>
  </si>
  <si>
    <t xml:space="preserve">HU</t>
  </si>
  <si>
    <t xml:space="preserve">Unleaded Gasoline</t>
  </si>
  <si>
    <t xml:space="preserve">MEOH</t>
  </si>
  <si>
    <t xml:space="preserve">Methanol Gulf Coast</t>
  </si>
  <si>
    <t xml:space="preserve">MTBE</t>
  </si>
  <si>
    <t xml:space="preserve">MTBE Gulf coast</t>
  </si>
  <si>
    <t xml:space="preserve">NG_OMICRON_1</t>
  </si>
  <si>
    <t xml:space="preserve">Omi Vol - LA/Offshore South</t>
  </si>
  <si>
    <t xml:space="preserve">NG_OMICRON_2</t>
  </si>
  <si>
    <t xml:space="preserve">Omi Vol - HSC/Katy/ETX</t>
  </si>
  <si>
    <t xml:space="preserve">NG_OMICRON_3</t>
  </si>
  <si>
    <t xml:space="preserve">Omi Vol - OK/Mid Continent</t>
  </si>
  <si>
    <t xml:space="preserve">NG_OMICRON_4</t>
  </si>
  <si>
    <t xml:space="preserve">Omi Vol - Permian/San Juan</t>
  </si>
  <si>
    <t xml:space="preserve">NG_OMICRON_5</t>
  </si>
  <si>
    <t xml:space="preserve">Omi Vol - NNG Demrc/Vent</t>
  </si>
  <si>
    <t xml:space="preserve">NG_OMICRON_6</t>
  </si>
  <si>
    <t xml:space="preserve">Omi Vol - NE Market Area</t>
  </si>
  <si>
    <t xml:space="preserve">NG_OMICRON_7</t>
  </si>
  <si>
    <t xml:space="preserve">Omi Vol - Appalachia</t>
  </si>
  <si>
    <t xml:space="preserve">NG_OMICRON_8</t>
  </si>
  <si>
    <t xml:space="preserve">Omi Vol - Rocky Mountains</t>
  </si>
  <si>
    <t xml:space="preserve">NG_OMICRON_9</t>
  </si>
  <si>
    <t xml:space="preserve">Omi Vol - Alberta/Sumas</t>
  </si>
  <si>
    <t xml:space="preserve">NG_OMICRON_10</t>
  </si>
  <si>
    <t xml:space="preserve">Omi Vol - Sithe (ANR/LA)</t>
  </si>
  <si>
    <t xml:space="preserve">NG_OMICRON_11</t>
  </si>
  <si>
    <t xml:space="preserve">Omi Vol - Market Area-Chicago</t>
  </si>
  <si>
    <t xml:space="preserve">NG_OMICRON_12</t>
  </si>
  <si>
    <t xml:space="preserve">Omi Vol - FGT</t>
  </si>
  <si>
    <t xml:space="preserve">NG_OMICRON_13</t>
  </si>
  <si>
    <t xml:space="preserve">Omi Vol - Transco/Z6</t>
  </si>
  <si>
    <t xml:space="preserve">NG_OMICRON_14</t>
  </si>
  <si>
    <t xml:space="preserve">Omi Vol - Michcons</t>
  </si>
  <si>
    <t xml:space="preserve">NG_OMICRON_15</t>
  </si>
  <si>
    <t xml:space="preserve">Omi Vol - Socal</t>
  </si>
  <si>
    <t xml:space="preserve">NG_OMICRON_51</t>
  </si>
  <si>
    <t xml:space="preserve">Omi Vol - Sumas</t>
  </si>
  <si>
    <t xml:space="preserve">CAD/USD</t>
  </si>
  <si>
    <t xml:space="preserve">Canada/US Dollar</t>
  </si>
  <si>
    <t xml:space="preserve">IF-CNG/NORTH</t>
  </si>
  <si>
    <t xml:space="preserve">IF-CNG/N_CITYGA</t>
  </si>
  <si>
    <t xml:space="preserve">IF-CNG/NORTH CITYGATE</t>
  </si>
  <si>
    <t xml:space="preserve">DJ/BASIN/CIG</t>
  </si>
  <si>
    <t xml:space="preserve">DJ BASIN </t>
  </si>
  <si>
    <t xml:space="preserve">IF-NGPL/HARPER</t>
  </si>
  <si>
    <t xml:space="preserve">IF NGPL Harper</t>
  </si>
  <si>
    <t xml:space="preserve">IF-NGPL/OK-NW</t>
  </si>
  <si>
    <t xml:space="preserve">IF NGPL OK NW ( GAGE)</t>
  </si>
  <si>
    <t xml:space="preserve">KERO-NYPHY</t>
  </si>
  <si>
    <t xml:space="preserve">Omi-Vol - Chicago City Gate</t>
  </si>
  <si>
    <t xml:space="preserve">Weighted</t>
  </si>
  <si>
    <t xml:space="preserve">Avg Prc</t>
  </si>
  <si>
    <t xml:space="preserve">Leg</t>
  </si>
  <si>
    <t xml:space="preserve">By Month</t>
  </si>
  <si>
    <t xml:space="preserve">Overall</t>
  </si>
  <si>
    <t xml:space="preserve">Legs</t>
  </si>
  <si>
    <t xml:space="preserve">Relinant/Entex</t>
  </si>
  <si>
    <t xml:space="preserve">MTM Value by Month</t>
  </si>
  <si>
    <t xml:space="preserve">Cum</t>
  </si>
  <si>
    <t xml:space="preserve">%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</si>
</sst>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m/d/yy"/>
    <numFmt numFmtId="173" formatCode="0.000"/>
    <numFmt numFmtId="174" formatCode="0.0000"/>
    <numFmt numFmtId="175" formatCode="[$-409]m/d/yyyy"/>
    <numFmt numFmtId="176" formatCode="_(* #,##0.00_);_(* \(#,##0.00\);_(* \-??_);_(@_)"/>
    <numFmt numFmtId="177" formatCode="_(* #,##0_);_(* \(#,##0\);_(* \-??_);_(@_)"/>
    <numFmt numFmtId="178" formatCode="[$-409]mmm\-yy"/>
    <numFmt numFmtId="179" formatCode="mm/dd/yy"/>
    <numFmt numFmtId="180" formatCode="\$#,##0.0000"/>
    <numFmt numFmtId="181" formatCode="0%"/>
    <numFmt numFmtId="182" formatCode="mm/yy"/>
    <numFmt numFmtId="183" formatCode="0.0000_);\(0.0000\)"/>
    <numFmt numFmtId="184" formatCode="0.0000000"/>
    <numFmt numFmtId="185" formatCode="\$#,##0.000"/>
    <numFmt numFmtId="186" formatCode="0.0%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808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9"/>
      <color rgb="FF000000"/>
      <name val="Tahoma"/>
      <family val="2"/>
    </font>
    <font>
      <sz val="8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  <fill>
      <patternFill patternType="solid">
        <fgColor rgb="FFCCFFFF"/>
        <bgColor rgb="FFCC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4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applyFont="true" applyBorder="true" applyAlignment="false" applyProtection="false"/>
    <xf numFmtId="164" fontId="8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8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1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3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8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3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Grey" xfId="25"/>
    <cellStyle name="HEADER" xfId="26"/>
    <cellStyle name="Heading 1" xfId="27"/>
    <cellStyle name="Heading2" xfId="28"/>
    <cellStyle name="HIGHLIGHT" xfId="29"/>
    <cellStyle name="Input [yellow]" xfId="30"/>
    <cellStyle name="Milliers [0]_laroux" xfId="31"/>
    <cellStyle name="Milliers_laroux" xfId="32"/>
    <cellStyle name="Monétaire [0]_laroux" xfId="33"/>
    <cellStyle name="Monétaire_laroux" xfId="34"/>
    <cellStyle name="no dec" xfId="35"/>
    <cellStyle name="Normal - Style1" xfId="36"/>
    <cellStyle name="Normal_Codes2" xfId="37"/>
    <cellStyle name="Normal_Curves" xfId="38"/>
    <cellStyle name="Normal_June Options 97" xfId="39"/>
    <cellStyle name="Percent [2]" xfId="40"/>
    <cellStyle name="Total" xfId="41"/>
    <cellStyle name="Tusental (0)_laroux" xfId="42"/>
    <cellStyle name="Tusental_laroux" xfId="43"/>
    <cellStyle name="Unprot" xfId="44"/>
    <cellStyle name="Unprot$" xfId="45"/>
    <cellStyle name="Unprotect" xfId="46"/>
    <cellStyle name="Valuta (0)_laroux" xfId="47"/>
    <cellStyle name="Valuta_laroux" xfId="4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Value'!$A$10:$A$18</c:f>
              <c:strCache>
                <c:ptCount val="9"/>
                <c:pt idx="0">
                  <c:v>02/02</c:v>
                </c:pt>
                <c:pt idx="1">
                  <c:v>03/02</c:v>
                </c:pt>
                <c:pt idx="2">
                  <c:v>04/02</c:v>
                </c:pt>
                <c:pt idx="3">
                  <c:v>05/02</c:v>
                </c:pt>
                <c:pt idx="4">
                  <c:v>06/02</c:v>
                </c:pt>
                <c:pt idx="5">
                  <c:v>07/02</c:v>
                </c:pt>
                <c:pt idx="6">
                  <c:v>08/02</c:v>
                </c:pt>
                <c:pt idx="7">
                  <c:v>09/02</c:v>
                </c:pt>
                <c:pt idx="8">
                  <c:v>10/02</c:v>
                </c:pt>
              </c:strCache>
            </c:strRef>
          </c:cat>
          <c:val>
            <c:numRef>
              <c:f>'Monthly Value'!$G$10:$G$18</c:f>
              <c:numCache>
                <c:formatCode>\$#,##0_);[RED]"($"#,##0\)</c:formatCode>
                <c:ptCount val="9"/>
                <c:pt idx="0">
                  <c:v>-894235.323034003</c:v>
                </c:pt>
                <c:pt idx="1">
                  <c:v>-652793.937583845</c:v>
                </c:pt>
                <c:pt idx="2">
                  <c:v>-371656.193056381</c:v>
                </c:pt>
                <c:pt idx="3">
                  <c:v>-295463.891363242</c:v>
                </c:pt>
                <c:pt idx="4">
                  <c:v>-242149.475453599</c:v>
                </c:pt>
                <c:pt idx="5">
                  <c:v>-254057.049347882</c:v>
                </c:pt>
                <c:pt idx="6">
                  <c:v>-209614.271329358</c:v>
                </c:pt>
                <c:pt idx="7">
                  <c:v>-177999.645753859</c:v>
                </c:pt>
                <c:pt idx="8">
                  <c:v>-189791.008339862</c:v>
                </c:pt>
              </c:numCache>
            </c:numRef>
          </c:val>
        </c:ser>
        <c:gapWidth val="150"/>
        <c:overlap val="0"/>
        <c:axId val="48083048"/>
        <c:axId val="69523561"/>
      </c:barChart>
      <c:catAx>
        <c:axId val="48083048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23561"/>
        <c:crossesAt val="0"/>
        <c:auto val="1"/>
        <c:lblAlgn val="ctr"/>
        <c:lblOffset val="100"/>
        <c:noMultiLvlLbl val="0"/>
      </c:catAx>
      <c:valAx>
        <c:axId val="695235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830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20160</xdr:colOff>
          <xdr:row>3</xdr:row>
          <xdr:rowOff>152640</xdr:rowOff>
        </xdr:from>
        <xdr:to>
          <xdr:col>4</xdr:col>
          <xdr:colOff>41040</xdr:colOff>
          <xdr:row>6</xdr:row>
          <xdr:rowOff>18720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76320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40320</xdr:colOff>
      <xdr:row>22</xdr:row>
      <xdr:rowOff>19080</xdr:rowOff>
    </xdr:from>
    <xdr:to>
      <xdr:col>10</xdr:col>
      <xdr:colOff>483480</xdr:colOff>
      <xdr:row>36</xdr:row>
      <xdr:rowOff>123840</xdr:rowOff>
    </xdr:to>
    <xdr:graphicFrame>
      <xdr:nvGraphicFramePr>
        <xdr:cNvPr id="0" name="Chart 1"/>
        <xdr:cNvGraphicFramePr/>
      </xdr:nvGraphicFramePr>
      <xdr:xfrm>
        <a:off x="40320" y="3581280"/>
        <a:ext cx="5618520" cy="23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2" width="20.7"/>
    <col collapsed="false" customWidth="true" hidden="false" outlineLevel="0" max="3" min="3" style="0" width="11.42"/>
    <col collapsed="false" customWidth="true" hidden="false" outlineLevel="0" max="4" min="4" style="0" width="13.99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7" min="7" style="0" width="11.7"/>
    <col collapsed="false" customWidth="true" hidden="false" outlineLevel="0" max="8" min="8" style="0" width="10.28"/>
    <col collapsed="false" customWidth="true" hidden="false" outlineLevel="0" max="9" min="9" style="0" width="12.85"/>
    <col collapsed="false" customWidth="true" hidden="false" outlineLevel="0" max="10" min="10" style="0" width="9.28"/>
  </cols>
  <sheetData>
    <row r="2" customFormat="false" ht="12.75" hidden="false" customHeight="false" outlineLevel="0" collapsed="false">
      <c r="C2" s="3" t="s">
        <v>0</v>
      </c>
    </row>
    <row r="3" customFormat="false" ht="12.75" hidden="false" customHeight="false" outlineLevel="0" collapsed="false">
      <c r="A3" s="1" t="s">
        <v>1</v>
      </c>
      <c r="B3" s="4" t="n">
        <v>37288</v>
      </c>
      <c r="C3" s="5" t="str">
        <f aca="false">leg1!E3</f>
        <v>0 Y - 9 M</v>
      </c>
    </row>
    <row r="4" customFormat="false" ht="12.75" hidden="false" customHeight="false" outlineLevel="0" collapsed="false">
      <c r="A4" s="1" t="s">
        <v>2</v>
      </c>
      <c r="B4" s="4" t="n">
        <v>37530</v>
      </c>
    </row>
    <row r="5" customFormat="false" ht="12.75" hidden="false" customHeight="false" outlineLevel="0" collapsed="false">
      <c r="A5" s="1" t="s">
        <v>3</v>
      </c>
      <c r="B5" s="4" t="n">
        <v>37260</v>
      </c>
    </row>
    <row r="6" customFormat="false" ht="12.75" hidden="false" customHeight="false" outlineLevel="0" collapsed="false">
      <c r="B6" s="4"/>
    </row>
    <row r="7" customFormat="false" ht="12.75" hidden="false" customHeight="false" outlineLevel="0" collapsed="false">
      <c r="A7" s="1" t="s">
        <v>4</v>
      </c>
      <c r="B7" s="6" t="s">
        <v>5</v>
      </c>
    </row>
    <row r="8" customFormat="false" ht="12.75" hidden="false" customHeight="false" outlineLevel="0" collapsed="false">
      <c r="A8" s="1" t="s">
        <v>6</v>
      </c>
      <c r="B8" s="7" t="n">
        <v>1</v>
      </c>
    </row>
    <row r="9" customFormat="false" ht="12.75" hidden="false" customHeight="false" outlineLevel="0" collapsed="false">
      <c r="A9" s="1" t="s">
        <v>7</v>
      </c>
      <c r="B9" s="7" t="n">
        <v>1</v>
      </c>
      <c r="H9" s="8" t="s">
        <v>8</v>
      </c>
      <c r="I9" s="8"/>
    </row>
    <row r="10" customFormat="false" ht="12.75" hidden="false" customHeight="false" outlineLevel="0" collapsed="false">
      <c r="A10" s="1" t="s">
        <v>9</v>
      </c>
      <c r="B10" s="7" t="s">
        <v>10</v>
      </c>
      <c r="H10" s="9" t="s">
        <v>11</v>
      </c>
      <c r="I10" s="10" t="s">
        <v>12</v>
      </c>
    </row>
    <row r="11" customFormat="false" ht="12.75" hidden="false" customHeight="false" outlineLevel="0" collapsed="false">
      <c r="B11" s="11"/>
      <c r="H11" s="12" t="s">
        <v>13</v>
      </c>
      <c r="I11" s="13" t="s">
        <v>14</v>
      </c>
    </row>
    <row r="12" customFormat="false" ht="15.75" hidden="false" customHeight="false" outlineLevel="0" collapsed="false">
      <c r="A12" s="14" t="s">
        <v>15</v>
      </c>
      <c r="B12" s="4"/>
      <c r="F12" s="15" t="s">
        <v>16</v>
      </c>
      <c r="H12" s="13" t="s">
        <v>17</v>
      </c>
      <c r="I12" s="13" t="s">
        <v>18</v>
      </c>
    </row>
    <row r="13" customFormat="false" ht="12.75" hidden="false" customHeight="false" outlineLevel="0" collapsed="false">
      <c r="A13" s="1" t="s">
        <v>19</v>
      </c>
      <c r="B13" s="4" t="str">
        <f aca="false">leg1!J3</f>
        <v>IF-TENN/LA_OFF</v>
      </c>
      <c r="H13" s="16" t="n">
        <f aca="false">SUM(H16:H28)</f>
        <v>3287760.79526203</v>
      </c>
      <c r="I13" s="16" t="n">
        <f aca="false">xCombined!AG8</f>
        <v>4222952.13587266</v>
      </c>
    </row>
    <row r="14" customFormat="false" ht="13.5" hidden="false" customHeight="false" outlineLevel="0" collapsed="false">
      <c r="A14" s="17"/>
      <c r="B14" s="18" t="s">
        <v>20</v>
      </c>
      <c r="C14" s="19" t="s">
        <v>21</v>
      </c>
      <c r="D14" s="20" t="s">
        <v>22</v>
      </c>
      <c r="F14" s="21" t="s">
        <v>20</v>
      </c>
      <c r="G14" s="22" t="s">
        <v>23</v>
      </c>
      <c r="H14" s="23" t="s">
        <v>24</v>
      </c>
    </row>
    <row r="15" customFormat="false" ht="13.5" hidden="false" customHeight="false" outlineLevel="0" collapsed="false">
      <c r="A15" s="24" t="s">
        <v>25</v>
      </c>
      <c r="B15" s="25"/>
      <c r="C15" s="26"/>
      <c r="D15" s="27"/>
      <c r="F15" s="28"/>
      <c r="G15" s="26"/>
      <c r="H15" s="27"/>
    </row>
    <row r="16" customFormat="false" ht="12.75" hidden="false" customHeight="false" outlineLevel="0" collapsed="false">
      <c r="A16" s="29" t="s">
        <v>26</v>
      </c>
      <c r="B16" s="30" t="n">
        <f aca="false">leg1!M8</f>
        <v>4</v>
      </c>
      <c r="C16" s="30" t="n">
        <f aca="false">leg1!N8</f>
        <v>4</v>
      </c>
      <c r="D16" s="31" t="n">
        <f aca="false">leg1!O8</f>
        <v>0.07</v>
      </c>
      <c r="F16" s="32" t="n">
        <f aca="false">leg1!AC8</f>
        <v>780121.982684735</v>
      </c>
      <c r="G16" s="33" t="n">
        <f aca="false">leg1!AE8</f>
        <v>0</v>
      </c>
      <c r="H16" s="34" t="n">
        <f aca="false">leg1!AG8</f>
        <v>780121.982684735</v>
      </c>
    </row>
    <row r="17" customFormat="false" ht="12.75" hidden="false" customHeight="false" outlineLevel="0" collapsed="false">
      <c r="A17" s="29" t="s">
        <v>27</v>
      </c>
      <c r="B17" s="35" t="n">
        <f aca="false">leg1!Q8</f>
        <v>11</v>
      </c>
      <c r="C17" s="35" t="n">
        <f aca="false">leg1!R8</f>
        <v>11</v>
      </c>
      <c r="D17" s="36" t="n">
        <f aca="false">leg1!S8</f>
        <v>7.07</v>
      </c>
      <c r="F17" s="37"/>
      <c r="G17" s="38"/>
      <c r="H17" s="39"/>
    </row>
    <row r="18" customFormat="false" ht="5.25" hidden="false" customHeight="true" outlineLevel="0" collapsed="false">
      <c r="A18" s="29"/>
      <c r="B18" s="40"/>
      <c r="C18" s="41"/>
      <c r="D18" s="42"/>
      <c r="F18" s="37"/>
      <c r="G18" s="38"/>
      <c r="H18" s="39"/>
    </row>
    <row r="19" customFormat="false" ht="12.75" hidden="false" customHeight="false" outlineLevel="0" collapsed="false">
      <c r="A19" s="24" t="s">
        <v>28</v>
      </c>
      <c r="B19" s="40"/>
      <c r="C19" s="41"/>
      <c r="D19" s="42"/>
      <c r="F19" s="37"/>
      <c r="G19" s="38"/>
      <c r="H19" s="39"/>
    </row>
    <row r="20" customFormat="false" ht="12.75" hidden="false" customHeight="false" outlineLevel="0" collapsed="false">
      <c r="A20" s="29" t="s">
        <v>26</v>
      </c>
      <c r="B20" s="43" t="n">
        <f aca="false">Leg2!M8</f>
        <v>4</v>
      </c>
      <c r="C20" s="43" t="n">
        <f aca="false">Leg2!N8</f>
        <v>4</v>
      </c>
      <c r="D20" s="44" t="n">
        <f aca="false">Leg2!O8</f>
        <v>0.12</v>
      </c>
      <c r="F20" s="32" t="n">
        <f aca="false">Leg2!AC8</f>
        <v>1149315.68478229</v>
      </c>
      <c r="G20" s="33" t="n">
        <f aca="false">Leg2!AE8</f>
        <v>0</v>
      </c>
      <c r="H20" s="34" t="n">
        <f aca="false">Leg2!AG8</f>
        <v>1149315.68478229</v>
      </c>
    </row>
    <row r="21" customFormat="false" ht="12.75" hidden="false" customHeight="false" outlineLevel="0" collapsed="false">
      <c r="A21" s="29" t="s">
        <v>27</v>
      </c>
      <c r="B21" s="35" t="n">
        <f aca="false">Leg2!Q8</f>
        <v>11</v>
      </c>
      <c r="C21" s="35" t="n">
        <f aca="false">Leg2!R8</f>
        <v>11</v>
      </c>
      <c r="D21" s="36" t="n">
        <f aca="false">Leg2!S8</f>
        <v>7.12</v>
      </c>
      <c r="F21" s="37"/>
      <c r="G21" s="38"/>
      <c r="H21" s="39"/>
    </row>
    <row r="22" customFormat="false" ht="5.25" hidden="false" customHeight="true" outlineLevel="0" collapsed="false">
      <c r="A22" s="29"/>
      <c r="B22" s="40"/>
      <c r="C22" s="41"/>
      <c r="D22" s="42"/>
      <c r="F22" s="37"/>
      <c r="G22" s="38"/>
      <c r="H22" s="39"/>
    </row>
    <row r="23" customFormat="false" ht="12.75" hidden="false" customHeight="false" outlineLevel="0" collapsed="false">
      <c r="A23" s="24" t="s">
        <v>29</v>
      </c>
      <c r="B23" s="40"/>
      <c r="C23" s="41"/>
      <c r="D23" s="42"/>
      <c r="F23" s="37"/>
      <c r="G23" s="38"/>
      <c r="H23" s="39"/>
    </row>
    <row r="24" customFormat="false" ht="12.75" hidden="false" customHeight="false" outlineLevel="0" collapsed="false">
      <c r="A24" s="29" t="s">
        <v>26</v>
      </c>
      <c r="B24" s="43" t="n">
        <f aca="false">Leg3!M8</f>
        <v>4</v>
      </c>
      <c r="C24" s="43" t="n">
        <f aca="false">Leg3!N8</f>
        <v>4</v>
      </c>
      <c r="D24" s="44" t="n">
        <f aca="false">Leg3!O8</f>
        <v>0.25</v>
      </c>
      <c r="F24" s="32" t="n">
        <f aca="false">Leg3!AC8</f>
        <v>543453.344988833</v>
      </c>
      <c r="G24" s="33" t="n">
        <f aca="false">Leg3!AE8</f>
        <v>0</v>
      </c>
      <c r="H24" s="34" t="n">
        <f aca="false">Leg3!AG8</f>
        <v>543453.344988833</v>
      </c>
    </row>
    <row r="25" customFormat="false" ht="12.75" hidden="false" customHeight="false" outlineLevel="0" collapsed="false">
      <c r="A25" s="29" t="s">
        <v>27</v>
      </c>
      <c r="B25" s="35" t="n">
        <f aca="false">Leg3!Q8</f>
        <v>11</v>
      </c>
      <c r="C25" s="35" t="n">
        <f aca="false">Leg3!R8</f>
        <v>11</v>
      </c>
      <c r="D25" s="36" t="n">
        <f aca="false">Leg3!S8</f>
        <v>7.25</v>
      </c>
      <c r="F25" s="37"/>
      <c r="G25" s="38"/>
      <c r="H25" s="39"/>
    </row>
    <row r="26" customFormat="false" ht="6.75" hidden="false" customHeight="true" outlineLevel="0" collapsed="false">
      <c r="A26" s="29"/>
      <c r="B26" s="40"/>
      <c r="C26" s="41"/>
      <c r="D26" s="42"/>
      <c r="F26" s="37"/>
      <c r="G26" s="38"/>
      <c r="H26" s="39"/>
    </row>
    <row r="27" customFormat="false" ht="12.75" hidden="false" customHeight="false" outlineLevel="0" collapsed="false">
      <c r="A27" s="24" t="s">
        <v>30</v>
      </c>
      <c r="B27" s="40"/>
      <c r="C27" s="41"/>
      <c r="D27" s="42"/>
      <c r="F27" s="37"/>
      <c r="G27" s="38"/>
      <c r="H27" s="39"/>
    </row>
    <row r="28" customFormat="false" ht="12.75" hidden="false" customHeight="false" outlineLevel="0" collapsed="false">
      <c r="A28" s="29" t="s">
        <v>26</v>
      </c>
      <c r="B28" s="43" t="n">
        <f aca="false">Leg4!M8</f>
        <v>4</v>
      </c>
      <c r="C28" s="43" t="n">
        <f aca="false">Leg4!N8</f>
        <v>4</v>
      </c>
      <c r="D28" s="44" t="n">
        <f aca="false">Leg4!O8</f>
        <v>-0.04</v>
      </c>
      <c r="F28" s="32" t="n">
        <f aca="false">Leg4!AC8</f>
        <v>814869.782806174</v>
      </c>
      <c r="G28" s="33" t="n">
        <f aca="false">Leg4!AE8</f>
        <v>0</v>
      </c>
      <c r="H28" s="34" t="n">
        <f aca="false">Leg4!AG8</f>
        <v>814869.782806174</v>
      </c>
    </row>
    <row r="29" customFormat="false" ht="13.5" hidden="false" customHeight="false" outlineLevel="0" collapsed="false">
      <c r="A29" s="45" t="s">
        <v>27</v>
      </c>
      <c r="B29" s="46" t="n">
        <f aca="false">Leg4!Q8</f>
        <v>11</v>
      </c>
      <c r="C29" s="46" t="n">
        <f aca="false">Leg4!R8</f>
        <v>11</v>
      </c>
      <c r="D29" s="47" t="n">
        <f aca="false">Leg4!S8</f>
        <v>6.96</v>
      </c>
      <c r="F29" s="48"/>
      <c r="G29" s="49"/>
      <c r="H29" s="50"/>
    </row>
    <row r="30" customFormat="false" ht="12.75" hidden="false" customHeight="false" outlineLevel="0" collapsed="false">
      <c r="J30" s="0" t="str">
        <f aca="false">Leg2!J3</f>
        <v>IF-TENN/LA_OFF</v>
      </c>
    </row>
    <row r="31" customFormat="false" ht="13.5" hidden="false" customHeight="false" outlineLevel="0" collapsed="false">
      <c r="A31" s="17" t="s">
        <v>4</v>
      </c>
      <c r="B31" s="51" t="s">
        <v>25</v>
      </c>
      <c r="C31" s="51" t="s">
        <v>31</v>
      </c>
      <c r="D31" s="51" t="s">
        <v>32</v>
      </c>
      <c r="E31" s="52" t="s">
        <v>30</v>
      </c>
      <c r="F31" s="53" t="s">
        <v>33</v>
      </c>
      <c r="G31" s="53" t="s">
        <v>12</v>
      </c>
      <c r="H31" s="53" t="s">
        <v>34</v>
      </c>
      <c r="J31" s="53" t="s">
        <v>35</v>
      </c>
    </row>
    <row r="32" customFormat="false" ht="13.5" hidden="false" customHeight="false" outlineLevel="0" collapsed="false">
      <c r="A32" s="54" t="n">
        <v>37257</v>
      </c>
      <c r="B32" s="55" t="n">
        <v>4500</v>
      </c>
      <c r="C32" s="56" t="n">
        <v>4500</v>
      </c>
      <c r="D32" s="56" t="n">
        <v>1000</v>
      </c>
      <c r="E32" s="57" t="n">
        <v>1640</v>
      </c>
      <c r="F32" s="58" t="n">
        <f aca="false">SUM(B32:E32)</f>
        <v>11640</v>
      </c>
      <c r="G32" s="58" t="n">
        <v>14085.1612903226</v>
      </c>
      <c r="H32" s="59" t="n">
        <f aca="false">F32-G32</f>
        <v>-2445.16129032258</v>
      </c>
      <c r="I32" s="60"/>
      <c r="J32" s="60" t="n">
        <f aca="false">Leg2!Q10</f>
        <v>11</v>
      </c>
    </row>
    <row r="33" customFormat="false" ht="12.75" hidden="false" customHeight="false" outlineLevel="0" collapsed="false">
      <c r="A33" s="61" t="n">
        <v>37288</v>
      </c>
      <c r="B33" s="62" t="n">
        <v>3500</v>
      </c>
      <c r="C33" s="63" t="n">
        <v>4000</v>
      </c>
      <c r="D33" s="63" t="n">
        <v>1000</v>
      </c>
      <c r="E33" s="64" t="n">
        <v>1640</v>
      </c>
      <c r="F33" s="65" t="n">
        <f aca="false">SUM(B33:E33)</f>
        <v>10140</v>
      </c>
      <c r="G33" s="65" t="n">
        <v>10187.7142857143</v>
      </c>
      <c r="H33" s="66" t="n">
        <f aca="false">F33-G33</f>
        <v>-47.7142857142862</v>
      </c>
      <c r="J33" s="0" t="n">
        <f aca="false">Leg2!Q11</f>
        <v>11</v>
      </c>
    </row>
    <row r="34" customFormat="false" ht="12.75" hidden="false" customHeight="false" outlineLevel="0" collapsed="false">
      <c r="A34" s="61" t="n">
        <v>37316</v>
      </c>
      <c r="B34" s="62" t="n">
        <v>2290</v>
      </c>
      <c r="C34" s="63" t="n">
        <v>2500</v>
      </c>
      <c r="D34" s="63" t="n">
        <v>1000</v>
      </c>
      <c r="E34" s="64" t="n">
        <v>1640</v>
      </c>
      <c r="F34" s="65" t="n">
        <f aca="false">SUM(B34:E34)</f>
        <v>7430</v>
      </c>
      <c r="G34" s="65" t="n">
        <v>9177.32258064516</v>
      </c>
      <c r="H34" s="66" t="n">
        <f aca="false">F34-G34</f>
        <v>-1747.32258064516</v>
      </c>
      <c r="J34" s="0" t="n">
        <f aca="false">Leg2!Q12</f>
        <v>11</v>
      </c>
    </row>
    <row r="35" customFormat="false" ht="12.75" hidden="false" customHeight="false" outlineLevel="0" collapsed="false">
      <c r="A35" s="61" t="n">
        <v>37347</v>
      </c>
      <c r="B35" s="62" t="n">
        <v>1145</v>
      </c>
      <c r="C35" s="63" t="n">
        <v>1500</v>
      </c>
      <c r="D35" s="63" t="n">
        <v>1000</v>
      </c>
      <c r="E35" s="64" t="n">
        <v>1280</v>
      </c>
      <c r="F35" s="65" t="n">
        <f aca="false">SUM(B35:E35)</f>
        <v>4925</v>
      </c>
      <c r="G35" s="65" t="n">
        <v>5401.86666666667</v>
      </c>
      <c r="H35" s="66" t="n">
        <f aca="false">F35-G35</f>
        <v>-476.866666666667</v>
      </c>
      <c r="J35" s="0" t="n">
        <f aca="false">Leg2!Q13</f>
        <v>11</v>
      </c>
    </row>
    <row r="36" customFormat="false" ht="12.75" hidden="false" customHeight="false" outlineLevel="0" collapsed="false">
      <c r="A36" s="61" t="n">
        <v>37377</v>
      </c>
      <c r="B36" s="62" t="n">
        <v>470</v>
      </c>
      <c r="C36" s="63" t="n">
        <v>1500</v>
      </c>
      <c r="D36" s="63" t="n">
        <v>1000</v>
      </c>
      <c r="E36" s="64" t="n">
        <v>1280</v>
      </c>
      <c r="F36" s="65" t="n">
        <f aca="false">SUM(B36:E36)</f>
        <v>4250</v>
      </c>
      <c r="G36" s="65" t="n">
        <v>4676.1935483871</v>
      </c>
      <c r="H36" s="66" t="n">
        <f aca="false">F36-G36</f>
        <v>-426.193548387097</v>
      </c>
      <c r="J36" s="0" t="n">
        <f aca="false">Leg2!Q14</f>
        <v>11</v>
      </c>
    </row>
    <row r="37" customFormat="false" ht="12.75" hidden="false" customHeight="false" outlineLevel="0" collapsed="false">
      <c r="A37" s="61" t="n">
        <v>37408</v>
      </c>
      <c r="B37" s="62" t="n">
        <v>270</v>
      </c>
      <c r="C37" s="63" t="n">
        <v>1500</v>
      </c>
      <c r="D37" s="63" t="n">
        <v>1000</v>
      </c>
      <c r="E37" s="64" t="n">
        <v>1280</v>
      </c>
      <c r="F37" s="65" t="n">
        <f aca="false">SUM(B37:E37)</f>
        <v>4050</v>
      </c>
      <c r="G37" s="65" t="n">
        <v>3607.43333333333</v>
      </c>
      <c r="H37" s="66" t="n">
        <f aca="false">F37-G37</f>
        <v>442.566666666667</v>
      </c>
      <c r="J37" s="0" t="n">
        <f aca="false">Leg2!Q15</f>
        <v>11</v>
      </c>
    </row>
    <row r="38" customFormat="false" ht="12.75" hidden="false" customHeight="false" outlineLevel="0" collapsed="false">
      <c r="A38" s="61" t="n">
        <v>37438</v>
      </c>
      <c r="B38" s="62" t="n">
        <v>824</v>
      </c>
      <c r="C38" s="63" t="n">
        <v>1500</v>
      </c>
      <c r="D38" s="63" t="n">
        <v>1000</v>
      </c>
      <c r="E38" s="64" t="n">
        <v>1280</v>
      </c>
      <c r="F38" s="65" t="n">
        <f aca="false">SUM(B38:E38)</f>
        <v>4604</v>
      </c>
      <c r="G38" s="65" t="n">
        <v>4294.22580645161</v>
      </c>
      <c r="H38" s="66" t="n">
        <f aca="false">F38-G38</f>
        <v>309.774193548387</v>
      </c>
      <c r="J38" s="0" t="n">
        <f aca="false">Leg2!Q16</f>
        <v>11</v>
      </c>
    </row>
    <row r="39" customFormat="false" ht="12.75" hidden="false" customHeight="false" outlineLevel="0" collapsed="false">
      <c r="A39" s="61" t="n">
        <v>37469</v>
      </c>
      <c r="B39" s="62" t="n">
        <v>495</v>
      </c>
      <c r="C39" s="63" t="n">
        <v>1500</v>
      </c>
      <c r="D39" s="63" t="n">
        <v>1000</v>
      </c>
      <c r="E39" s="64" t="n">
        <v>1280</v>
      </c>
      <c r="F39" s="65" t="n">
        <f aca="false">SUM(B39:E39)</f>
        <v>4275</v>
      </c>
      <c r="G39" s="65" t="n">
        <v>4582.41935483871</v>
      </c>
      <c r="H39" s="66" t="n">
        <f aca="false">F39-G39</f>
        <v>-307.419354838709</v>
      </c>
      <c r="J39" s="0" t="n">
        <f aca="false">Leg2!Q17</f>
        <v>11</v>
      </c>
    </row>
    <row r="40" customFormat="false" ht="12.75" hidden="false" customHeight="false" outlineLevel="0" collapsed="false">
      <c r="A40" s="61" t="n">
        <v>37500</v>
      </c>
      <c r="B40" s="62" t="n">
        <v>440</v>
      </c>
      <c r="C40" s="63" t="n">
        <v>1500</v>
      </c>
      <c r="D40" s="63" t="n">
        <v>1000</v>
      </c>
      <c r="E40" s="64" t="n">
        <v>1280</v>
      </c>
      <c r="F40" s="65" t="n">
        <f aca="false">SUM(B40:E40)</f>
        <v>4220</v>
      </c>
      <c r="G40" s="65" t="n">
        <v>4743.36666666667</v>
      </c>
      <c r="H40" s="66" t="n">
        <f aca="false">F40-G40</f>
        <v>-523.366666666667</v>
      </c>
      <c r="J40" s="0" t="n">
        <f aca="false">Leg2!Q18</f>
        <v>11</v>
      </c>
    </row>
    <row r="41" customFormat="false" ht="13.5" hidden="false" customHeight="false" outlineLevel="0" collapsed="false">
      <c r="A41" s="67" t="n">
        <v>37530</v>
      </c>
      <c r="B41" s="68" t="n">
        <v>1095</v>
      </c>
      <c r="C41" s="69" t="n">
        <v>1500</v>
      </c>
      <c r="D41" s="69" t="n">
        <v>1000</v>
      </c>
      <c r="E41" s="70" t="n">
        <v>1280</v>
      </c>
      <c r="F41" s="65" t="n">
        <f aca="false">SUM(B41:E41)</f>
        <v>4875</v>
      </c>
      <c r="G41" s="65" t="n">
        <v>6118.96774193548</v>
      </c>
      <c r="H41" s="71" t="n">
        <f aca="false">F41-G41</f>
        <v>-1243.96774193548</v>
      </c>
      <c r="J41" s="0" t="n">
        <f aca="false">Leg2!Q19</f>
        <v>11</v>
      </c>
    </row>
  </sheetData>
  <mergeCells count="1">
    <mergeCell ref="H9:I9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4">
              <controlPr defaultSize="0" print="false" autoFill="0" autoPict="0" macro="Module2.fetchmac">
                <anchor moveWithCells="true" sizeWithCells="false">
                  <from>
                    <xdr:col>3</xdr:col>
                    <xdr:colOff>20160</xdr:colOff>
                    <xdr:row>3</xdr:row>
                    <xdr:rowOff>152640</xdr:rowOff>
                  </from>
                  <to>
                    <xdr:col>4</xdr:col>
                    <xdr:colOff>41040</xdr:colOff>
                    <xdr:row>6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6" min="6" style="0" width="2.7"/>
    <col collapsed="false" customWidth="true" hidden="false" outlineLevel="0" max="9" min="9" style="0" width="2.7"/>
    <col collapsed="false" customWidth="true" hidden="false" outlineLevel="0" max="10" min="10" style="0" width="6.7"/>
    <col collapsed="false" customWidth="true" hidden="false" outlineLevel="0" max="11" min="11" style="0" width="7.28"/>
    <col collapsed="false" customWidth="true" hidden="false" outlineLevel="0" max="15" min="12" style="0" width="10.71"/>
  </cols>
  <sheetData>
    <row r="1" customFormat="false" ht="12.75" hidden="false" customHeight="false" outlineLevel="0" collapsed="false">
      <c r="A1" s="200" t="s">
        <v>398</v>
      </c>
    </row>
    <row r="2" customFormat="false" ht="12.75" hidden="false" customHeight="false" outlineLevel="0" collapsed="false">
      <c r="A2" s="200"/>
    </row>
    <row r="4" customFormat="false" ht="12.75" hidden="false" customHeight="false" outlineLevel="0" collapsed="false">
      <c r="B4" s="201" t="s">
        <v>399</v>
      </c>
      <c r="C4" s="201"/>
      <c r="D4" s="201"/>
      <c r="E4" s="201"/>
      <c r="F4" s="201"/>
      <c r="G4" s="201"/>
      <c r="H4" s="201"/>
      <c r="I4" s="201"/>
      <c r="J4" s="201"/>
      <c r="K4" s="201"/>
      <c r="L4" s="202"/>
      <c r="M4" s="202"/>
      <c r="N4" s="202"/>
      <c r="O4" s="202"/>
    </row>
    <row r="6" customFormat="false" ht="12.75" hidden="false" customHeight="false" outlineLevel="0" collapsed="false">
      <c r="B6" s="9" t="s">
        <v>394</v>
      </c>
      <c r="C6" s="9" t="s">
        <v>394</v>
      </c>
      <c r="D6" s="9" t="s">
        <v>394</v>
      </c>
      <c r="E6" s="9" t="s">
        <v>394</v>
      </c>
      <c r="G6" s="180" t="s">
        <v>24</v>
      </c>
      <c r="H6" s="180"/>
      <c r="J6" s="9"/>
      <c r="K6" s="9" t="s">
        <v>400</v>
      </c>
    </row>
    <row r="7" customFormat="false" ht="12.75" hidden="false" customHeight="false" outlineLevel="0" collapsed="false">
      <c r="B7" s="182" t="n">
        <v>1</v>
      </c>
      <c r="C7" s="182" t="n">
        <v>2</v>
      </c>
      <c r="D7" s="182" t="n">
        <v>3</v>
      </c>
      <c r="E7" s="182" t="n">
        <v>4</v>
      </c>
      <c r="F7" s="5"/>
      <c r="G7" s="182" t="s">
        <v>397</v>
      </c>
      <c r="H7" s="182" t="s">
        <v>400</v>
      </c>
      <c r="J7" s="203" t="s">
        <v>401</v>
      </c>
      <c r="K7" s="203" t="s">
        <v>401</v>
      </c>
    </row>
    <row r="8" customFormat="false" ht="12.75" hidden="false" customHeight="false" outlineLevel="0" collapsed="false">
      <c r="B8" s="185" t="n">
        <f aca="false">'Inputs-Summary'!D16</f>
        <v>0.07</v>
      </c>
      <c r="C8" s="185" t="n">
        <f aca="false">'Inputs-Summary'!D20</f>
        <v>0.12</v>
      </c>
      <c r="D8" s="185" t="n">
        <f aca="false">'Inputs-Summary'!D24</f>
        <v>0.25</v>
      </c>
      <c r="E8" s="185" t="n">
        <f aca="false">'Inputs-Summary'!D28</f>
        <v>-0.04</v>
      </c>
    </row>
    <row r="10" customFormat="false" ht="12.75" hidden="false" customHeight="false" outlineLevel="0" collapsed="false">
      <c r="A10" s="120" t="n">
        <f aca="false">leg1!A10</f>
        <v>37288</v>
      </c>
      <c r="B10" s="204" t="n">
        <f aca="false">-leg1!AC10</f>
        <v>-310214.898849771</v>
      </c>
      <c r="C10" s="204" t="n">
        <f aca="false">-Leg2!AC10</f>
        <v>-350020.736470261</v>
      </c>
      <c r="D10" s="204" t="n">
        <f aca="false">-Leg3!AC10</f>
        <v>-84573.3093919767</v>
      </c>
      <c r="E10" s="204" t="n">
        <f aca="false">-Leg4!AC10</f>
        <v>-149426.378321995</v>
      </c>
      <c r="G10" s="204" t="n">
        <f aca="false">SUM(B10:E10)</f>
        <v>-894235.323034003</v>
      </c>
      <c r="H10" s="204" t="n">
        <f aca="false">G10</f>
        <v>-894235.323034003</v>
      </c>
      <c r="J10" s="205" t="n">
        <f aca="false">G10/$G$20</f>
        <v>0.27198916792325</v>
      </c>
      <c r="K10" s="206" t="n">
        <f aca="false">J10</f>
        <v>0.27198916792325</v>
      </c>
    </row>
    <row r="11" customFormat="false" ht="12.75" hidden="false" customHeight="false" outlineLevel="0" collapsed="false">
      <c r="A11" s="120" t="n">
        <f aca="false">leg1!A11</f>
        <v>37316</v>
      </c>
      <c r="B11" s="204" t="n">
        <f aca="false">-leg1!AC11</f>
        <v>-202059.810219442</v>
      </c>
      <c r="C11" s="204" t="n">
        <f aca="false">-Leg2!AC11</f>
        <v>-217782.832664265</v>
      </c>
      <c r="D11" s="204" t="n">
        <f aca="false">-Leg3!AC11</f>
        <v>-84194.3940712364</v>
      </c>
      <c r="E11" s="204" t="n">
        <f aca="false">-Leg4!AC11</f>
        <v>-148756.900628902</v>
      </c>
      <c r="G11" s="204" t="n">
        <f aca="false">SUM(B11:E11)</f>
        <v>-652793.937583845</v>
      </c>
      <c r="H11" s="204" t="n">
        <f aca="false">H10+G11</f>
        <v>-1547029.26061785</v>
      </c>
      <c r="J11" s="205" t="n">
        <f aca="false">G11/$G$20</f>
        <v>0.198552747062555</v>
      </c>
      <c r="K11" s="206" t="n">
        <f aca="false">K10+J11</f>
        <v>0.470541914985805</v>
      </c>
    </row>
    <row r="12" customFormat="false" ht="12.75" hidden="false" customHeight="false" outlineLevel="0" collapsed="false">
      <c r="A12" s="120" t="n">
        <f aca="false">leg1!A12</f>
        <v>37347</v>
      </c>
      <c r="B12" s="204" t="n">
        <f aca="false">-leg1!AC12</f>
        <v>-86918.1837958301</v>
      </c>
      <c r="C12" s="204" t="n">
        <f aca="false">-Leg2!AC12</f>
        <v>-112417.931640328</v>
      </c>
      <c r="D12" s="204" t="n">
        <f aca="false">-Leg3!AC12</f>
        <v>-72434.2343043353</v>
      </c>
      <c r="E12" s="204" t="n">
        <f aca="false">-Leg4!AC12</f>
        <v>-99885.8433158876</v>
      </c>
      <c r="G12" s="204" t="n">
        <f aca="false">SUM(B12:E12)</f>
        <v>-371656.193056381</v>
      </c>
      <c r="H12" s="204" t="n">
        <f aca="false">H11+G12</f>
        <v>-1918685.45367423</v>
      </c>
      <c r="J12" s="205" t="n">
        <f aca="false">G12/$G$20</f>
        <v>0.113042345900581</v>
      </c>
      <c r="K12" s="206" t="n">
        <f aca="false">K11+J12</f>
        <v>0.583584260886386</v>
      </c>
    </row>
    <row r="13" customFormat="false" ht="12.75" hidden="false" customHeight="false" outlineLevel="0" collapsed="false">
      <c r="A13" s="120" t="n">
        <f aca="false">leg1!A13</f>
        <v>37377</v>
      </c>
      <c r="B13" s="204" t="n">
        <f aca="false">-leg1!AC13</f>
        <v>-32899.7759708375</v>
      </c>
      <c r="C13" s="204" t="n">
        <f aca="false">-Leg2!AC13</f>
        <v>-103663.416247239</v>
      </c>
      <c r="D13" s="204" t="n">
        <f aca="false">-Leg3!AC13</f>
        <v>-66793.4383036331</v>
      </c>
      <c r="E13" s="204" t="n">
        <f aca="false">-Leg4!AC13</f>
        <v>-92107.2608415326</v>
      </c>
      <c r="G13" s="204" t="n">
        <f aca="false">SUM(B13:E13)</f>
        <v>-295463.891363242</v>
      </c>
      <c r="H13" s="204" t="n">
        <f aca="false">H12+G13</f>
        <v>-2214149.34503747</v>
      </c>
      <c r="J13" s="205" t="n">
        <f aca="false">G13/$G$20</f>
        <v>0.0898678187868877</v>
      </c>
      <c r="K13" s="206" t="n">
        <f aca="false">K12+J13</f>
        <v>0.673452079673274</v>
      </c>
    </row>
    <row r="14" customFormat="false" ht="12.75" hidden="false" customHeight="false" outlineLevel="0" collapsed="false">
      <c r="A14" s="120" t="n">
        <f aca="false">leg1!A14</f>
        <v>37408</v>
      </c>
      <c r="B14" s="204" t="n">
        <f aca="false">-leg1!AC14</f>
        <v>-16259.962689217</v>
      </c>
      <c r="C14" s="204" t="n">
        <f aca="false">-Leg2!AC14</f>
        <v>-89183.8496383403</v>
      </c>
      <c r="D14" s="204" t="n">
        <f aca="false">-Leg3!AC14</f>
        <v>-57463.8206432605</v>
      </c>
      <c r="E14" s="204" t="n">
        <f aca="false">-Leg4!AC14</f>
        <v>-79241.842482781</v>
      </c>
      <c r="G14" s="204" t="n">
        <f aca="false">SUM(B14:E14)</f>
        <v>-242149.475453599</v>
      </c>
      <c r="H14" s="204" t="n">
        <f aca="false">H13+G14</f>
        <v>-2456298.82049107</v>
      </c>
      <c r="J14" s="205" t="n">
        <f aca="false">G14/$G$20</f>
        <v>0.0736517923696148</v>
      </c>
      <c r="K14" s="206" t="n">
        <f aca="false">K13+J14</f>
        <v>0.747103872042889</v>
      </c>
    </row>
    <row r="15" customFormat="false" ht="12.75" hidden="false" customHeight="false" outlineLevel="0" collapsed="false">
      <c r="A15" s="120" t="n">
        <f aca="false">leg1!A15</f>
        <v>37438</v>
      </c>
      <c r="B15" s="204" t="n">
        <f aca="false">-leg1!AC15</f>
        <v>-45758.6200323609</v>
      </c>
      <c r="C15" s="204" t="n">
        <f aca="false">-Leg2!AC15</f>
        <v>-82238.6819672979</v>
      </c>
      <c r="D15" s="204" t="n">
        <f aca="false">-Leg3!AC15</f>
        <v>-52988.8414737744</v>
      </c>
      <c r="E15" s="204" t="n">
        <f aca="false">-Leg4!AC15</f>
        <v>-73070.9058744486</v>
      </c>
      <c r="G15" s="204" t="n">
        <f aca="false">SUM(B15:E15)</f>
        <v>-254057.049347882</v>
      </c>
      <c r="H15" s="204" t="n">
        <f aca="false">H14+G15</f>
        <v>-2710355.86983895</v>
      </c>
      <c r="J15" s="205" t="n">
        <f aca="false">G15/$G$20</f>
        <v>0.0772735807647569</v>
      </c>
      <c r="K15" s="206" t="n">
        <f aca="false">K14+J15</f>
        <v>0.824377452807646</v>
      </c>
    </row>
    <row r="16" customFormat="false" ht="12.75" hidden="false" customHeight="false" outlineLevel="0" collapsed="false">
      <c r="A16" s="120" t="n">
        <f aca="false">leg1!A16</f>
        <v>37469</v>
      </c>
      <c r="B16" s="204" t="n">
        <f aca="false">-leg1!AC16</f>
        <v>-24437.2337439774</v>
      </c>
      <c r="C16" s="204" t="n">
        <f aca="false">-Leg2!AC16</f>
        <v>-73110.0832189315</v>
      </c>
      <c r="D16" s="204" t="n">
        <f aca="false">-Leg3!AC16</f>
        <v>-47107.0123833321</v>
      </c>
      <c r="E16" s="204" t="n">
        <f aca="false">-Leg4!AC16</f>
        <v>-64959.9419831166</v>
      </c>
      <c r="G16" s="204" t="n">
        <f aca="false">SUM(B16:E16)</f>
        <v>-209614.271329358</v>
      </c>
      <c r="H16" s="204" t="n">
        <f aca="false">H15+G16</f>
        <v>-2919970.14116831</v>
      </c>
      <c r="J16" s="205" t="n">
        <f aca="false">G16/$G$20</f>
        <v>0.0637559373636401</v>
      </c>
      <c r="K16" s="206" t="n">
        <f aca="false">K15+J16</f>
        <v>0.888133390171286</v>
      </c>
    </row>
    <row r="17" customFormat="false" ht="12.75" hidden="false" customHeight="false" outlineLevel="0" collapsed="false">
      <c r="A17" s="120" t="n">
        <f aca="false">leg1!A17</f>
        <v>37500</v>
      </c>
      <c r="B17" s="204" t="n">
        <f aca="false">-leg1!AC17</f>
        <v>-18687.8878131419</v>
      </c>
      <c r="C17" s="204" t="n">
        <f aca="false">-Leg2!AC17</f>
        <v>-62898.1650893395</v>
      </c>
      <c r="D17" s="204" t="n">
        <f aca="false">-Leg3!AC17</f>
        <v>-40527.1682276672</v>
      </c>
      <c r="E17" s="204" t="n">
        <f aca="false">-Leg4!AC17</f>
        <v>-55886.4246237101</v>
      </c>
      <c r="G17" s="204" t="n">
        <f aca="false">SUM(B17:E17)</f>
        <v>-177999.645753859</v>
      </c>
      <c r="H17" s="204" t="n">
        <f aca="false">H16+G17</f>
        <v>-3097969.78692217</v>
      </c>
      <c r="J17" s="205" t="n">
        <f aca="false">G17/$G$20</f>
        <v>0.0541400840384656</v>
      </c>
      <c r="K17" s="206" t="n">
        <f aca="false">K16+J17</f>
        <v>0.942273474209751</v>
      </c>
    </row>
    <row r="18" customFormat="false" ht="12.75" hidden="false" customHeight="false" outlineLevel="0" collapsed="false">
      <c r="A18" s="120" t="n">
        <f aca="false">leg1!A18</f>
        <v>37530</v>
      </c>
      <c r="B18" s="204" t="n">
        <f aca="false">-leg1!AC18</f>
        <v>-42885.6095701577</v>
      </c>
      <c r="C18" s="204" t="n">
        <f aca="false">-Leg2!AC18</f>
        <v>-57999.9878462867</v>
      </c>
      <c r="D18" s="204" t="n">
        <f aca="false">-Leg3!AC18</f>
        <v>-37371.1261896177</v>
      </c>
      <c r="E18" s="204" t="n">
        <f aca="false">-Leg4!AC18</f>
        <v>-51534.2847338003</v>
      </c>
      <c r="G18" s="204" t="n">
        <f aca="false">SUM(B18:E18)</f>
        <v>-189791.008339862</v>
      </c>
      <c r="H18" s="204" t="n">
        <f aca="false">H17+G18</f>
        <v>-3287760.79526203</v>
      </c>
      <c r="J18" s="205" t="n">
        <f aca="false">G18/$G$20</f>
        <v>0.0577265257902488</v>
      </c>
      <c r="K18" s="206" t="n">
        <f aca="false">K17+J18</f>
        <v>1</v>
      </c>
    </row>
    <row r="20" customFormat="false" ht="12.75" hidden="false" customHeight="false" outlineLevel="0" collapsed="false">
      <c r="G20" s="204" t="n">
        <f aca="false">SUM(G10:G18)</f>
        <v>-3287760.79526203</v>
      </c>
      <c r="H20" s="204"/>
    </row>
  </sheetData>
  <mergeCells count="1">
    <mergeCell ref="B4:K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2" width="14.14"/>
    <col collapsed="false" customWidth="true" hidden="false" outlineLevel="0" max="2" min="2" style="72" width="14.56"/>
    <col collapsed="false" customWidth="true" hidden="false" outlineLevel="0" max="4" min="3" style="72" width="16.42"/>
    <col collapsed="false" customWidth="true" hidden="false" outlineLevel="0" max="5" min="5" style="72" width="14.85"/>
    <col collapsed="false" customWidth="true" hidden="false" outlineLevel="0" max="6" min="6" style="72" width="13.85"/>
    <col collapsed="false" customWidth="true" hidden="false" outlineLevel="0" max="7" min="7" style="72" width="10.71"/>
    <col collapsed="false" customWidth="true" hidden="false" outlineLevel="0" max="8" min="8" style="72" width="18.14"/>
    <col collapsed="false" customWidth="true" hidden="false" outlineLevel="0" max="9" min="9" style="72" width="22.56"/>
    <col collapsed="false" customWidth="true" hidden="false" outlineLevel="0" max="10" min="10" style="72" width="25.85"/>
    <col collapsed="false" customWidth="true" hidden="false" outlineLevel="0" max="12" min="11" style="5" width="19.28"/>
    <col collapsed="false" customWidth="true" hidden="false" outlineLevel="0" max="13" min="13" style="5" width="24.99"/>
    <col collapsed="false" customWidth="true" hidden="false" outlineLevel="0" max="15" min="14" style="5" width="19.28"/>
    <col collapsed="false" customWidth="true" hidden="false" outlineLevel="0" max="16" min="16" style="5" width="3.14"/>
    <col collapsed="false" customWidth="true" hidden="false" outlineLevel="0" max="17" min="17" style="5" width="16.7"/>
    <col collapsed="false" customWidth="true" hidden="false" outlineLevel="0" max="18" min="18" style="5" width="18.56"/>
    <col collapsed="false" customWidth="true" hidden="false" outlineLevel="0" max="19" min="19" style="5" width="16.7"/>
    <col collapsed="false" customWidth="true" hidden="false" outlineLevel="0" max="20" min="20" style="72" width="3.14"/>
    <col collapsed="false" customWidth="true" hidden="false" outlineLevel="0" max="27" min="21" style="5" width="10.71"/>
    <col collapsed="false" customWidth="true" hidden="false" outlineLevel="0" max="28" min="28" style="72" width="4.28"/>
    <col collapsed="false" customWidth="true" hidden="false" outlineLevel="0" max="29" min="29" style="72" width="18.41"/>
    <col collapsed="false" customWidth="true" hidden="false" outlineLevel="0" max="30" min="30" style="72" width="3.85"/>
    <col collapsed="false" customWidth="true" hidden="false" outlineLevel="0" max="31" min="31" style="72" width="13.85"/>
    <col collapsed="false" customWidth="true" hidden="false" outlineLevel="0" max="32" min="32" style="72" width="2.84"/>
    <col collapsed="false" customWidth="true" hidden="false" outlineLevel="0" max="33" min="33" style="72" width="12.14"/>
    <col collapsed="false" customWidth="false" hidden="false" outlineLevel="0" max="257" min="34" style="72" width="9.14"/>
  </cols>
  <sheetData>
    <row r="1" customFormat="false" ht="13.5" hidden="false" customHeight="false" outlineLevel="0" collapsed="false">
      <c r="A1" s="73"/>
      <c r="B1" s="74" t="s">
        <v>36</v>
      </c>
      <c r="C1" s="75"/>
      <c r="D1" s="75"/>
      <c r="E1" s="0"/>
      <c r="H1" s="76" t="s">
        <v>37</v>
      </c>
      <c r="I1" s="5" t="s">
        <v>38</v>
      </c>
      <c r="J1" s="5" t="s">
        <v>26</v>
      </c>
      <c r="K1" s="77" t="s">
        <v>39</v>
      </c>
      <c r="L1" s="78" t="s">
        <v>40</v>
      </c>
      <c r="M1" s="79"/>
    </row>
    <row r="2" customFormat="false" ht="12.75" hidden="false" customHeight="false" outlineLevel="0" collapsed="false">
      <c r="A2" s="76" t="s">
        <v>1</v>
      </c>
      <c r="B2" s="80" t="s">
        <v>41</v>
      </c>
      <c r="C2" s="80" t="s">
        <v>42</v>
      </c>
      <c r="D2" s="81" t="s">
        <v>3</v>
      </c>
      <c r="E2" s="80" t="s">
        <v>0</v>
      </c>
      <c r="F2" s="80" t="s">
        <v>43</v>
      </c>
      <c r="G2" s="80" t="s">
        <v>44</v>
      </c>
      <c r="H2" s="82" t="s">
        <v>45</v>
      </c>
      <c r="I2" s="80" t="s">
        <v>46</v>
      </c>
      <c r="J2" s="80" t="s">
        <v>46</v>
      </c>
      <c r="K2" s="83" t="s">
        <v>47</v>
      </c>
      <c r="L2" s="84"/>
    </row>
    <row r="3" customFormat="false" ht="13.5" hidden="false" customHeight="false" outlineLevel="0" collapsed="false">
      <c r="A3" s="85" t="n">
        <f aca="false">'Inputs-Summary'!B3</f>
        <v>37288</v>
      </c>
      <c r="B3" s="86" t="n">
        <f aca="false">'Inputs-Summary'!B4</f>
        <v>37530</v>
      </c>
      <c r="C3" s="87" t="n">
        <v>37231</v>
      </c>
      <c r="D3" s="87" t="n">
        <f aca="false">'Inputs-Summary'!B5</f>
        <v>37260</v>
      </c>
      <c r="E3" s="88" t="str">
        <f aca="false">CONCATENATE(INT(Z8/12)," Y - ",Z8-INT(Z8/12)*12," M")</f>
        <v>0 Y - 9 M</v>
      </c>
      <c r="F3" s="89" t="n">
        <v>2</v>
      </c>
      <c r="G3" s="89" t="n">
        <f aca="false">'Inputs-Summary'!B9</f>
        <v>1</v>
      </c>
      <c r="H3" s="90" t="n">
        <f aca="false">'Inputs-Summary'!B8</f>
        <v>1</v>
      </c>
      <c r="I3" s="91" t="s">
        <v>48</v>
      </c>
      <c r="J3" s="91" t="s">
        <v>48</v>
      </c>
      <c r="K3" s="92" t="n">
        <v>0</v>
      </c>
      <c r="L3" s="63"/>
      <c r="AC3" s="72" t="s">
        <v>49</v>
      </c>
      <c r="AE3" s="72" t="s">
        <v>50</v>
      </c>
      <c r="AG3" s="72" t="s">
        <v>51</v>
      </c>
    </row>
    <row r="4" customFormat="false" ht="12.75" hidden="false" customHeight="false" outlineLevel="0" collapsed="false">
      <c r="A4" s="93"/>
      <c r="B4" s="93"/>
      <c r="C4" s="94"/>
      <c r="D4" s="94" t="s">
        <v>52</v>
      </c>
      <c r="E4" s="94" t="s">
        <v>53</v>
      </c>
      <c r="F4" s="94" t="s">
        <v>54</v>
      </c>
      <c r="G4" s="95" t="s">
        <v>55</v>
      </c>
      <c r="H4" s="96"/>
      <c r="I4" s="96"/>
      <c r="J4" s="95" t="str">
        <f aca="false">CONCATENATE(I3,"-","D")</f>
        <v>IF-TENN/LA_OFF-D</v>
      </c>
      <c r="K4" s="96" t="str">
        <f aca="false">I3</f>
        <v>IF-TENN/LA_OFF</v>
      </c>
      <c r="L4" s="96" t="str">
        <f aca="false">I3</f>
        <v>IF-TENN/LA_OFF</v>
      </c>
      <c r="M4" s="95" t="str">
        <f aca="false">CONCATENATE(J3,"-","I")</f>
        <v>IF-TENN/LA_OFF-I</v>
      </c>
      <c r="N4" s="96" t="str">
        <f aca="false">J3</f>
        <v>IF-TENN/LA_OFF</v>
      </c>
      <c r="O4" s="96" t="str">
        <f aca="false">J3</f>
        <v>IF-TENN/LA_OFF</v>
      </c>
      <c r="Q4" s="96" t="str">
        <f aca="false">K4</f>
        <v>IF-TENN/LA_OFF</v>
      </c>
      <c r="R4" s="96" t="str">
        <f aca="false">J4</f>
        <v>IF-TENN/LA_OFF-D</v>
      </c>
      <c r="S4" s="96" t="str">
        <f aca="false">K4</f>
        <v>IF-TENN/LA_OFF</v>
      </c>
      <c r="U4" s="97"/>
      <c r="V4" s="97"/>
      <c r="W4" s="97" t="s">
        <v>56</v>
      </c>
      <c r="X4" s="95" t="s">
        <v>57</v>
      </c>
      <c r="Y4" s="97"/>
      <c r="Z4" s="97"/>
      <c r="AA4" s="97"/>
      <c r="AC4" s="98"/>
      <c r="AE4" s="99"/>
      <c r="AG4" s="99"/>
    </row>
    <row r="5" customFormat="false" ht="12.75" hidden="false" customHeight="false" outlineLevel="0" collapsed="false">
      <c r="A5" s="94" t="s">
        <v>58</v>
      </c>
      <c r="B5" s="94" t="str">
        <f aca="false">IF($H$3=1,"Daily","Monthly")</f>
        <v>Daily</v>
      </c>
      <c r="C5" s="94"/>
      <c r="D5" s="94" t="str">
        <f aca="false">IF($H$3=1,"Daily","Monthly")</f>
        <v>Daily</v>
      </c>
      <c r="E5" s="94" t="s">
        <v>59</v>
      </c>
      <c r="F5" s="94" t="s">
        <v>59</v>
      </c>
      <c r="G5" s="94" t="s">
        <v>60</v>
      </c>
      <c r="H5" s="94" t="s">
        <v>60</v>
      </c>
      <c r="I5" s="94" t="s">
        <v>60</v>
      </c>
      <c r="J5" s="94" t="s">
        <v>38</v>
      </c>
      <c r="K5" s="94" t="s">
        <v>38</v>
      </c>
      <c r="L5" s="94" t="s">
        <v>38</v>
      </c>
      <c r="M5" s="94" t="s">
        <v>26</v>
      </c>
      <c r="N5" s="94" t="s">
        <v>26</v>
      </c>
      <c r="O5" s="94" t="s">
        <v>26</v>
      </c>
      <c r="Q5" s="94" t="s">
        <v>24</v>
      </c>
      <c r="R5" s="94" t="s">
        <v>24</v>
      </c>
      <c r="S5" s="94" t="s">
        <v>24</v>
      </c>
      <c r="U5" s="100" t="s">
        <v>61</v>
      </c>
      <c r="V5" s="100" t="s">
        <v>62</v>
      </c>
      <c r="W5" s="100" t="s">
        <v>62</v>
      </c>
      <c r="X5" s="101" t="s">
        <v>63</v>
      </c>
      <c r="Y5" s="100" t="s">
        <v>62</v>
      </c>
      <c r="Z5" s="100" t="s">
        <v>64</v>
      </c>
      <c r="AA5" s="100" t="s">
        <v>64</v>
      </c>
      <c r="AC5" s="102" t="s">
        <v>65</v>
      </c>
      <c r="AE5" s="102" t="s">
        <v>66</v>
      </c>
      <c r="AG5" s="102" t="s">
        <v>67</v>
      </c>
    </row>
    <row r="6" customFormat="false" ht="12.75" hidden="false" customHeight="false" outlineLevel="0" collapsed="false">
      <c r="A6" s="103" t="s">
        <v>68</v>
      </c>
      <c r="B6" s="103" t="s">
        <v>69</v>
      </c>
      <c r="C6" s="103"/>
      <c r="D6" s="103" t="s">
        <v>69</v>
      </c>
      <c r="E6" s="103" t="s">
        <v>70</v>
      </c>
      <c r="F6" s="103" t="s">
        <v>70</v>
      </c>
      <c r="G6" s="103" t="s">
        <v>20</v>
      </c>
      <c r="H6" s="103" t="str">
        <f aca="false">CHOOSE(G3,"Bid","Offer")</f>
        <v>Bid</v>
      </c>
      <c r="I6" s="103" t="s">
        <v>22</v>
      </c>
      <c r="J6" s="103" t="s">
        <v>20</v>
      </c>
      <c r="K6" s="103" t="str">
        <f aca="false">H6</f>
        <v>Bid</v>
      </c>
      <c r="L6" s="103" t="s">
        <v>22</v>
      </c>
      <c r="M6" s="103" t="s">
        <v>20</v>
      </c>
      <c r="N6" s="103" t="str">
        <f aca="false">K6</f>
        <v>Bid</v>
      </c>
      <c r="O6" s="103" t="s">
        <v>22</v>
      </c>
      <c r="Q6" s="103" t="s">
        <v>20</v>
      </c>
      <c r="R6" s="103" t="str">
        <f aca="false">K6</f>
        <v>Bid</v>
      </c>
      <c r="S6" s="103" t="s">
        <v>22</v>
      </c>
      <c r="U6" s="104" t="s">
        <v>71</v>
      </c>
      <c r="V6" s="104" t="s">
        <v>72</v>
      </c>
      <c r="W6" s="104" t="s">
        <v>71</v>
      </c>
      <c r="X6" s="105" t="s">
        <v>73</v>
      </c>
      <c r="Y6" s="104" t="s">
        <v>74</v>
      </c>
      <c r="Z6" s="104" t="s">
        <v>75</v>
      </c>
      <c r="AA6" s="104" t="s">
        <v>71</v>
      </c>
      <c r="AC6" s="102" t="s">
        <v>76</v>
      </c>
      <c r="AE6" s="102" t="s">
        <v>77</v>
      </c>
      <c r="AG6" s="102" t="s">
        <v>77</v>
      </c>
    </row>
    <row r="7" customFormat="false" ht="13.5" hidden="false" customHeight="false" outlineLevel="0" collapsed="false">
      <c r="A7" s="106"/>
      <c r="B7" s="106"/>
      <c r="C7" s="106"/>
      <c r="D7" s="106"/>
      <c r="H7" s="107"/>
      <c r="K7" s="107"/>
      <c r="N7" s="107"/>
      <c r="W7" s="108"/>
      <c r="AC7" s="109"/>
      <c r="AE7" s="109"/>
      <c r="AG7" s="109"/>
    </row>
    <row r="8" customFormat="false" ht="13.5" hidden="false" customHeight="false" outlineLevel="0" collapsed="false">
      <c r="A8" s="110" t="s">
        <v>78</v>
      </c>
      <c r="B8" s="111"/>
      <c r="C8" s="111"/>
      <c r="D8" s="111" t="e">
        <f aca="false">SUM(D10:D370)</f>
        <v>#N/A</v>
      </c>
      <c r="E8" s="111" t="n">
        <f aca="false">SUM(E10:E370)</f>
        <v>314044</v>
      </c>
      <c r="F8" s="111" t="n">
        <f aca="false">SUM(F10:F370)</f>
        <v>198504.321293826</v>
      </c>
      <c r="G8" s="112" t="n">
        <f aca="false">SUMPRODUCT($F10:$F370,G10:G370)/SUM($F10:$F370)</f>
        <v>3</v>
      </c>
      <c r="H8" s="112" t="n">
        <f aca="false">SUMPRODUCT($F10:$F370,H10:H370)/SUM($F10:$F370)</f>
        <v>3</v>
      </c>
      <c r="I8" s="112" t="n">
        <f aca="false">SUMPRODUCT($F10:$F370,I10:I370)/SUM($F10:$F370)</f>
        <v>3</v>
      </c>
      <c r="J8" s="112" t="n">
        <f aca="false">SUMPRODUCT($F10:$F370,J10:J370)/SUM($F10:$F370)</f>
        <v>4</v>
      </c>
      <c r="K8" s="112" t="n">
        <f aca="false">SUMPRODUCT($F10:$F370,K10:K370)/SUM($F10:$F370)</f>
        <v>4</v>
      </c>
      <c r="L8" s="112" t="n">
        <f aca="false">SUMPRODUCT($F10:$F370,L10:L370)/SUM($F10:$F370)</f>
        <v>4</v>
      </c>
      <c r="M8" s="112" t="n">
        <f aca="false">SUMPRODUCT($F10:$F370,M10:M370)/SUM($F10:$F370)</f>
        <v>4</v>
      </c>
      <c r="N8" s="112" t="n">
        <f aca="false">SUMPRODUCT($F10:$F370,N10:N370)/SUM($F10:$F370)</f>
        <v>4</v>
      </c>
      <c r="O8" s="112" t="n">
        <f aca="false">SUMPRODUCT($F10:$F370,O10:O370)/SUM($F10:$F370)</f>
        <v>0.07</v>
      </c>
      <c r="P8" s="112"/>
      <c r="Q8" s="112" t="n">
        <f aca="false">SUMPRODUCT($F10:$F370,Q10:Q370)/SUM($F10:$F370)</f>
        <v>11</v>
      </c>
      <c r="R8" s="112" t="n">
        <f aca="false">SUMPRODUCT($F10:$F370,R10:R370)/SUM($F10:$F370)</f>
        <v>11</v>
      </c>
      <c r="S8" s="112" t="n">
        <f aca="false">SUMPRODUCT($F10:$F370,S10:S370)/SUM($F10:$F370)</f>
        <v>7.07</v>
      </c>
      <c r="X8" s="113"/>
      <c r="Z8" s="114" t="n">
        <f aca="false">SUM(Z10:Z370)</f>
        <v>9</v>
      </c>
      <c r="AA8" s="114" t="n">
        <f aca="false">SUM(AA10:AA370)</f>
        <v>273</v>
      </c>
      <c r="AC8" s="115" t="n">
        <f aca="false">SUM(AC10:AC370)</f>
        <v>780121.982684735</v>
      </c>
      <c r="AE8" s="116" t="n">
        <f aca="false">SUM(AE10:AE370)</f>
        <v>0</v>
      </c>
      <c r="AG8" s="116" t="n">
        <f aca="false">AC8+AE8</f>
        <v>780121.982684735</v>
      </c>
    </row>
    <row r="9" customFormat="false" ht="12.75" hidden="false" customHeight="false" outlineLevel="0" collapsed="false">
      <c r="B9" s="117"/>
      <c r="C9" s="117"/>
      <c r="D9" s="117"/>
      <c r="E9" s="117"/>
      <c r="F9" s="117"/>
      <c r="H9" s="118"/>
      <c r="I9" s="118"/>
      <c r="J9" s="118"/>
      <c r="K9" s="119"/>
      <c r="L9" s="119"/>
      <c r="M9" s="119"/>
      <c r="N9" s="119"/>
      <c r="O9" s="119"/>
      <c r="Q9" s="119"/>
      <c r="R9" s="119"/>
      <c r="S9" s="119"/>
      <c r="AC9" s="109"/>
      <c r="AE9" s="109"/>
      <c r="AG9" s="109"/>
    </row>
    <row r="10" customFormat="false" ht="12.75" hidden="false" customHeight="false" outlineLevel="0" collapsed="false">
      <c r="A10" s="120" t="n">
        <f aca="false">A3</f>
        <v>37288</v>
      </c>
      <c r="B10" s="121" t="n">
        <f aca="false">VLOOKUP(A10,'Inputs-Summary'!$A$32:$B$41,2,FALSE())</f>
        <v>3500</v>
      </c>
      <c r="C10" s="122"/>
      <c r="D10" s="123" t="n">
        <f aca="false">B10+C10</f>
        <v>3500</v>
      </c>
      <c r="E10" s="111" t="n">
        <f aca="false">IF(Z10=0,0,IF(AND(Z10=1,$H$3=1),D10*U10,IF($H$3=2,D10,"N/A")))</f>
        <v>98000</v>
      </c>
      <c r="F10" s="111" t="n">
        <f aca="false">E10*Y10</f>
        <v>78935.0887658449</v>
      </c>
      <c r="G10" s="124" t="n">
        <f aca="false">VLOOKUP($A10,Table,MATCH(G$4,Curves,0))</f>
        <v>3</v>
      </c>
      <c r="H10" s="125" t="n">
        <f aca="false">G10+$H$7</f>
        <v>3</v>
      </c>
      <c r="I10" s="124" t="n">
        <f aca="false">H10</f>
        <v>3</v>
      </c>
      <c r="J10" s="124" t="n">
        <f aca="false">VLOOKUP($A10,Table,MATCH(J$4,Curves,0))</f>
        <v>4</v>
      </c>
      <c r="K10" s="125" t="n">
        <f aca="false">J10+$K$7</f>
        <v>4</v>
      </c>
      <c r="L10" s="126" t="n">
        <f aca="false">K10</f>
        <v>4</v>
      </c>
      <c r="M10" s="124" t="n">
        <f aca="false">VLOOKUP($A10,Table,MATCH(M$4,Curves,0))</f>
        <v>4</v>
      </c>
      <c r="N10" s="125" t="n">
        <f aca="false">M10+$N$7</f>
        <v>4</v>
      </c>
      <c r="O10" s="126" t="n">
        <f aca="false">0.07</f>
        <v>0.07</v>
      </c>
      <c r="P10" s="114"/>
      <c r="Q10" s="126" t="n">
        <f aca="false">M10+J10+G10</f>
        <v>11</v>
      </c>
      <c r="R10" s="126" t="n">
        <f aca="false">N10+K10+H10</f>
        <v>11</v>
      </c>
      <c r="S10" s="126" t="n">
        <f aca="false">O10+L10+I10</f>
        <v>7.07</v>
      </c>
      <c r="T10" s="127"/>
      <c r="U10" s="5" t="n">
        <f aca="false">A11-A10</f>
        <v>28</v>
      </c>
      <c r="V10" s="128" t="n">
        <f aca="false">CHOOSE(F$3,A11+24,A10)</f>
        <v>37288</v>
      </c>
      <c r="W10" s="5" t="n">
        <f aca="false">V10-C$3</f>
        <v>57</v>
      </c>
      <c r="X10" s="124" t="n">
        <f aca="false">VLOOKUP($A10,Table,MATCH(X$4,Curves,0))</f>
        <v>2</v>
      </c>
      <c r="Y10" s="129" t="n">
        <f aca="false">1/(1+CHOOSE(F$3,(X11+($K$3/10000))/2,(X10+($K$3/10000))/2))^(2*W10/365.25)</f>
        <v>0.805460089447397</v>
      </c>
      <c r="Z10" s="5" t="n">
        <f aca="false">IF(AND(mthbeg&lt;=A10,mthend&gt;=A10),1,0)</f>
        <v>1</v>
      </c>
      <c r="AA10" s="5" t="n">
        <f aca="false">U10*Z10</f>
        <v>28</v>
      </c>
      <c r="AC10" s="115" t="n">
        <f aca="false">IF(G3=1,F10*(Q10-S10),F10*(S10-Q10))</f>
        <v>310214.898849771</v>
      </c>
      <c r="AE10" s="116" t="n">
        <f aca="false">IF($G$3=1,F10*(R10-Q10),F10*(Q10-R10))</f>
        <v>0</v>
      </c>
      <c r="AG10" s="116" t="n">
        <f aca="false">AC10+AE10</f>
        <v>310214.898849771</v>
      </c>
    </row>
    <row r="11" customFormat="false" ht="12.75" hidden="false" customHeight="false" outlineLevel="0" collapsed="false">
      <c r="A11" s="120" t="n">
        <f aca="false">EDATE(A10,1)</f>
        <v>37316</v>
      </c>
      <c r="B11" s="121" t="n">
        <f aca="false">VLOOKUP(A11,'Inputs-Summary'!$A$32:$B$41,2,FALSE())</f>
        <v>2290</v>
      </c>
      <c r="C11" s="122"/>
      <c r="D11" s="123" t="n">
        <f aca="false">B11+C11</f>
        <v>2290</v>
      </c>
      <c r="E11" s="111" t="n">
        <f aca="false">IF(Z11=0,0,IF(AND(Z11=1,$H$3=1),D11*U11,IF($H$3=2,D11,"N/A")))</f>
        <v>70990</v>
      </c>
      <c r="F11" s="111" t="n">
        <f aca="false">E11*Y11</f>
        <v>51414.7099795017</v>
      </c>
      <c r="G11" s="124" t="n">
        <f aca="false">VLOOKUP($A11,Table,MATCH(G$4,Curves,0))</f>
        <v>3</v>
      </c>
      <c r="H11" s="125" t="n">
        <f aca="false">G11+$H$7</f>
        <v>3</v>
      </c>
      <c r="I11" s="124" t="n">
        <f aca="false">H11</f>
        <v>3</v>
      </c>
      <c r="J11" s="124" t="n">
        <f aca="false">VLOOKUP($A11,Table,MATCH(J$4,Curves,0))</f>
        <v>4</v>
      </c>
      <c r="K11" s="125" t="n">
        <f aca="false">J11+$K$7</f>
        <v>4</v>
      </c>
      <c r="L11" s="126" t="n">
        <f aca="false">K11</f>
        <v>4</v>
      </c>
      <c r="M11" s="124" t="n">
        <f aca="false">VLOOKUP($A11,Table,MATCH(M$4,Curves,0))</f>
        <v>4</v>
      </c>
      <c r="N11" s="125" t="n">
        <f aca="false">M11+$N$7</f>
        <v>4</v>
      </c>
      <c r="O11" s="126" t="n">
        <f aca="false">0.07</f>
        <v>0.07</v>
      </c>
      <c r="P11" s="114"/>
      <c r="Q11" s="126" t="n">
        <f aca="false">M11+J11+G11</f>
        <v>11</v>
      </c>
      <c r="R11" s="126" t="n">
        <f aca="false">N11+K11+H11</f>
        <v>11</v>
      </c>
      <c r="S11" s="126" t="n">
        <f aca="false">O11+L11+I11</f>
        <v>7.07</v>
      </c>
      <c r="T11" s="127"/>
      <c r="U11" s="5" t="n">
        <f aca="false">A12-A11</f>
        <v>31</v>
      </c>
      <c r="V11" s="128" t="n">
        <f aca="false">CHOOSE(F$3,A12+24,A11)</f>
        <v>37316</v>
      </c>
      <c r="W11" s="5" t="n">
        <f aca="false">V11-C$3</f>
        <v>85</v>
      </c>
      <c r="X11" s="124" t="n">
        <f aca="false">VLOOKUP($A11,Table,MATCH(X$4,Curves,0))</f>
        <v>2</v>
      </c>
      <c r="Y11" s="129" t="n">
        <f aca="false">1/(1+CHOOSE(F$3,(X12+($K$3/10000))/2,(X11+($K$3/10000))/2))^(2*W11/365.25)</f>
        <v>0.724252852225689</v>
      </c>
      <c r="Z11" s="5" t="n">
        <f aca="false">IF(AND(mthbeg&lt;=A11,mthend&gt;=A11),1,0)</f>
        <v>1</v>
      </c>
      <c r="AA11" s="5" t="n">
        <f aca="false">U11*Z11</f>
        <v>31</v>
      </c>
      <c r="AC11" s="115" t="n">
        <f aca="false">IF(G4=2,F11*(S11-Q11),F11*(Q11-S11))</f>
        <v>202059.810219442</v>
      </c>
      <c r="AE11" s="116" t="n">
        <f aca="false">IF($G$3=1,F11*(R11-Q11),F11*(Q11-R11))</f>
        <v>0</v>
      </c>
      <c r="AG11" s="116" t="n">
        <f aca="false">AC11+AE11</f>
        <v>202059.810219442</v>
      </c>
    </row>
    <row r="12" customFormat="false" ht="12.75" hidden="false" customHeight="false" outlineLevel="0" collapsed="false">
      <c r="A12" s="120" t="n">
        <f aca="false">EDATE(A11,1)</f>
        <v>37347</v>
      </c>
      <c r="B12" s="121" t="n">
        <f aca="false">VLOOKUP(A12,'Inputs-Summary'!$A$32:$B$41,2,FALSE())</f>
        <v>1145</v>
      </c>
      <c r="C12" s="122"/>
      <c r="D12" s="123" t="n">
        <f aca="false">B12+C12</f>
        <v>1145</v>
      </c>
      <c r="E12" s="111" t="n">
        <f aca="false">IF(Z12=0,0,IF(AND(Z12=1,$H$3=1),D12*U12,IF($H$3=2,D12,"N/A")))</f>
        <v>34350</v>
      </c>
      <c r="F12" s="111" t="n">
        <f aca="false">E12*Y12</f>
        <v>22116.5862075904</v>
      </c>
      <c r="G12" s="124" t="n">
        <f aca="false">VLOOKUP($A12,Table,MATCH(G$4,Curves,0))</f>
        <v>3</v>
      </c>
      <c r="H12" s="125" t="n">
        <f aca="false">G12+$H$7</f>
        <v>3</v>
      </c>
      <c r="I12" s="124" t="n">
        <f aca="false">H12</f>
        <v>3</v>
      </c>
      <c r="J12" s="124" t="n">
        <f aca="false">VLOOKUP($A12,Table,MATCH(J$4,Curves,0))</f>
        <v>4</v>
      </c>
      <c r="K12" s="125" t="n">
        <f aca="false">J12+$K$7</f>
        <v>4</v>
      </c>
      <c r="L12" s="126" t="n">
        <f aca="false">K12</f>
        <v>4</v>
      </c>
      <c r="M12" s="124" t="n">
        <f aca="false">VLOOKUP($A12,Table,MATCH(M$4,Curves,0))</f>
        <v>4</v>
      </c>
      <c r="N12" s="125" t="n">
        <f aca="false">M12+$N$7</f>
        <v>4</v>
      </c>
      <c r="O12" s="126" t="n">
        <f aca="false">0.07</f>
        <v>0.07</v>
      </c>
      <c r="P12" s="114"/>
      <c r="Q12" s="126" t="n">
        <f aca="false">M12+J12+G12</f>
        <v>11</v>
      </c>
      <c r="R12" s="126" t="n">
        <f aca="false">N12+K12+H12</f>
        <v>11</v>
      </c>
      <c r="S12" s="126" t="n">
        <f aca="false">O12+L12+I12</f>
        <v>7.07</v>
      </c>
      <c r="T12" s="127"/>
      <c r="U12" s="5" t="n">
        <f aca="false">A13-A12</f>
        <v>30</v>
      </c>
      <c r="V12" s="128" t="n">
        <f aca="false">CHOOSE(F$3,A13+24,A12)</f>
        <v>37347</v>
      </c>
      <c r="W12" s="5" t="n">
        <f aca="false">V12-C$3</f>
        <v>116</v>
      </c>
      <c r="X12" s="124" t="n">
        <f aca="false">VLOOKUP($A12,Table,MATCH(X$4,Curves,0))</f>
        <v>2</v>
      </c>
      <c r="Y12" s="129" t="n">
        <f aca="false">1/(1+CHOOSE(F$3,(X13+($K$3/10000))/2,(X12+($K$3/10000))/2))^(2*W12/365.25)</f>
        <v>0.64385986048298</v>
      </c>
      <c r="Z12" s="5" t="n">
        <f aca="false">IF(AND(mthbeg&lt;=A12,mthend&gt;=A12),1,0)</f>
        <v>1</v>
      </c>
      <c r="AA12" s="5" t="n">
        <f aca="false">U12*Z12</f>
        <v>30</v>
      </c>
      <c r="AC12" s="115" t="n">
        <f aca="false">IF(G5=2,F12*(S12-Q12),F12*(Q12-S12))</f>
        <v>86918.1837958301</v>
      </c>
      <c r="AE12" s="116" t="n">
        <f aca="false">IF($G$3=1,F12*(R12-Q12),F12*(Q12-R12))</f>
        <v>0</v>
      </c>
      <c r="AG12" s="116" t="n">
        <f aca="false">AC12+AE12</f>
        <v>86918.1837958301</v>
      </c>
    </row>
    <row r="13" customFormat="false" ht="12.75" hidden="false" customHeight="false" outlineLevel="0" collapsed="false">
      <c r="A13" s="120" t="n">
        <f aca="false">EDATE(A12,1)</f>
        <v>37377</v>
      </c>
      <c r="B13" s="121" t="n">
        <f aca="false">VLOOKUP(A13,'Inputs-Summary'!$A$32:$B$41,2,FALSE())</f>
        <v>470</v>
      </c>
      <c r="C13" s="122"/>
      <c r="D13" s="123" t="n">
        <f aca="false">B13+C13</f>
        <v>470</v>
      </c>
      <c r="E13" s="111" t="n">
        <f aca="false">IF(Z13=0,0,IF(AND(Z13=1,$H$3=1),D13*U13,IF($H$3=2,D13,"N/A")))</f>
        <v>14570</v>
      </c>
      <c r="F13" s="111" t="n">
        <f aca="false">E13*Y13</f>
        <v>8371.44426738868</v>
      </c>
      <c r="G13" s="124" t="n">
        <f aca="false">VLOOKUP($A13,Table,MATCH(G$4,Curves,0))</f>
        <v>3</v>
      </c>
      <c r="H13" s="125" t="n">
        <f aca="false">G13+$H$7</f>
        <v>3</v>
      </c>
      <c r="I13" s="124" t="n">
        <f aca="false">H13</f>
        <v>3</v>
      </c>
      <c r="J13" s="124" t="n">
        <f aca="false">VLOOKUP($A13,Table,MATCH(J$4,Curves,0))</f>
        <v>4</v>
      </c>
      <c r="K13" s="125" t="n">
        <f aca="false">J13+$K$7</f>
        <v>4</v>
      </c>
      <c r="L13" s="126" t="n">
        <f aca="false">K13</f>
        <v>4</v>
      </c>
      <c r="M13" s="124" t="n">
        <f aca="false">VLOOKUP($A13,Table,MATCH(M$4,Curves,0))</f>
        <v>4</v>
      </c>
      <c r="N13" s="125" t="n">
        <f aca="false">M13+$N$7</f>
        <v>4</v>
      </c>
      <c r="O13" s="126" t="n">
        <f aca="false">0.07</f>
        <v>0.07</v>
      </c>
      <c r="P13" s="114"/>
      <c r="Q13" s="126" t="n">
        <f aca="false">M13+J13+G13</f>
        <v>11</v>
      </c>
      <c r="R13" s="126" t="n">
        <f aca="false">N13+K13+H13</f>
        <v>11</v>
      </c>
      <c r="S13" s="126" t="n">
        <f aca="false">O13+L13+I13</f>
        <v>7.07</v>
      </c>
      <c r="T13" s="127"/>
      <c r="U13" s="5" t="n">
        <f aca="false">A14-A13</f>
        <v>31</v>
      </c>
      <c r="V13" s="128" t="n">
        <f aca="false">CHOOSE(F$3,A14+24,A13)</f>
        <v>37377</v>
      </c>
      <c r="W13" s="5" t="n">
        <f aca="false">V13-C$3</f>
        <v>146</v>
      </c>
      <c r="X13" s="124" t="n">
        <f aca="false">VLOOKUP($A13,Table,MATCH(X$4,Curves,0))</f>
        <v>2</v>
      </c>
      <c r="Y13" s="129" t="n">
        <f aca="false">1/(1+CHOOSE(F$3,(X14+($K$3/10000))/2,(X13+($K$3/10000))/2))^(2*W13/365.25)</f>
        <v>0.574567211214048</v>
      </c>
      <c r="Z13" s="5" t="n">
        <f aca="false">IF(AND(mthbeg&lt;=A13,mthend&gt;=A13),1,0)</f>
        <v>1</v>
      </c>
      <c r="AA13" s="5" t="n">
        <f aca="false">U13*Z13</f>
        <v>31</v>
      </c>
      <c r="AC13" s="115" t="n">
        <f aca="false">IF(G6=2,F13*(S13-Q13),F13*(Q13-S13))</f>
        <v>32899.7759708375</v>
      </c>
      <c r="AE13" s="116" t="n">
        <f aca="false">IF($G$3=1,F13*(R13-Q13),F13*(Q13-R13))</f>
        <v>0</v>
      </c>
      <c r="AG13" s="116" t="n">
        <f aca="false">AC13+AE13</f>
        <v>32899.7759708375</v>
      </c>
    </row>
    <row r="14" customFormat="false" ht="12.75" hidden="false" customHeight="false" outlineLevel="0" collapsed="false">
      <c r="A14" s="120" t="n">
        <f aca="false">EDATE(A13,1)</f>
        <v>37408</v>
      </c>
      <c r="B14" s="121" t="n">
        <f aca="false">VLOOKUP(A14,'Inputs-Summary'!$A$32:$B$41,2,FALSE())</f>
        <v>270</v>
      </c>
      <c r="C14" s="122"/>
      <c r="D14" s="123" t="n">
        <f aca="false">B14+C14</f>
        <v>270</v>
      </c>
      <c r="E14" s="111" t="n">
        <f aca="false">IF(Z14=0,0,IF(AND(Z14=1,$H$3=1),D14*U14,IF($H$3=2,D14,"N/A")))</f>
        <v>8100</v>
      </c>
      <c r="F14" s="111" t="n">
        <f aca="false">E14*Y14</f>
        <v>4137.39508631475</v>
      </c>
      <c r="G14" s="124" t="n">
        <f aca="false">VLOOKUP($A14,Table,MATCH(G$4,Curves,0))</f>
        <v>3</v>
      </c>
      <c r="H14" s="125" t="n">
        <f aca="false">G14+$H$7</f>
        <v>3</v>
      </c>
      <c r="I14" s="124" t="n">
        <f aca="false">H14</f>
        <v>3</v>
      </c>
      <c r="J14" s="124" t="n">
        <f aca="false">VLOOKUP($A14,Table,MATCH(J$4,Curves,0))</f>
        <v>4</v>
      </c>
      <c r="K14" s="125" t="n">
        <f aca="false">J14+$K$7</f>
        <v>4</v>
      </c>
      <c r="L14" s="126" t="n">
        <f aca="false">K14</f>
        <v>4</v>
      </c>
      <c r="M14" s="124" t="n">
        <f aca="false">VLOOKUP($A14,Table,MATCH(M$4,Curves,0))</f>
        <v>4</v>
      </c>
      <c r="N14" s="125" t="n">
        <f aca="false">M14+$N$7</f>
        <v>4</v>
      </c>
      <c r="O14" s="126" t="n">
        <f aca="false">0.07</f>
        <v>0.07</v>
      </c>
      <c r="P14" s="114"/>
      <c r="Q14" s="126" t="n">
        <f aca="false">M14+J14+G14</f>
        <v>11</v>
      </c>
      <c r="R14" s="126" t="n">
        <f aca="false">N14+K14+H14</f>
        <v>11</v>
      </c>
      <c r="S14" s="126" t="n">
        <f aca="false">O14+L14+I14</f>
        <v>7.07</v>
      </c>
      <c r="T14" s="127"/>
      <c r="U14" s="5" t="n">
        <f aca="false">A15-A14</f>
        <v>30</v>
      </c>
      <c r="V14" s="128" t="n">
        <f aca="false">CHOOSE(F$3,A15+24,A14)</f>
        <v>37408</v>
      </c>
      <c r="W14" s="5" t="n">
        <f aca="false">V14-C$3</f>
        <v>177</v>
      </c>
      <c r="X14" s="124" t="n">
        <f aca="false">VLOOKUP($A14,Table,MATCH(X$4,Curves,0))</f>
        <v>2</v>
      </c>
      <c r="Y14" s="129" t="n">
        <f aca="false">1/(1+CHOOSE(F$3,(X15+($K$3/10000))/2,(X14+($K$3/10000))/2))^(2*W14/365.25)</f>
        <v>0.510789516828982</v>
      </c>
      <c r="Z14" s="5" t="n">
        <f aca="false">IF(AND(mthbeg&lt;=A14,mthend&gt;=A14),1,0)</f>
        <v>1</v>
      </c>
      <c r="AA14" s="5" t="n">
        <f aca="false">U14*Z14</f>
        <v>30</v>
      </c>
      <c r="AC14" s="115" t="n">
        <f aca="false">IF(G7=2,F14*(S14-Q14),F14*(Q14-S14))</f>
        <v>16259.962689217</v>
      </c>
      <c r="AE14" s="116" t="n">
        <f aca="false">IF($G$3=1,F14*(R14-Q14),F14*(Q14-R14))</f>
        <v>0</v>
      </c>
      <c r="AG14" s="116" t="n">
        <f aca="false">AC14+AE14</f>
        <v>16259.962689217</v>
      </c>
    </row>
    <row r="15" customFormat="false" ht="12.75" hidden="false" customHeight="false" outlineLevel="0" collapsed="false">
      <c r="A15" s="120" t="n">
        <f aca="false">EDATE(A14,1)</f>
        <v>37438</v>
      </c>
      <c r="B15" s="121" t="n">
        <f aca="false">VLOOKUP(A15,'Inputs-Summary'!$A$32:$B$41,2,FALSE())</f>
        <v>824</v>
      </c>
      <c r="C15" s="122"/>
      <c r="D15" s="123" t="n">
        <f aca="false">B15+C15</f>
        <v>824</v>
      </c>
      <c r="E15" s="111" t="n">
        <f aca="false">IF(Z15=0,0,IF(AND(Z15=1,$H$3=1),D15*U15,IF($H$3=2,D15,"N/A")))</f>
        <v>25544</v>
      </c>
      <c r="F15" s="111" t="n">
        <f aca="false">E15*Y15</f>
        <v>11643.414766504</v>
      </c>
      <c r="G15" s="124" t="n">
        <f aca="false">VLOOKUP($A15,Table,MATCH(G$4,Curves,0))</f>
        <v>3</v>
      </c>
      <c r="H15" s="125" t="n">
        <f aca="false">G15+$H$7</f>
        <v>3</v>
      </c>
      <c r="I15" s="124" t="n">
        <f aca="false">H15</f>
        <v>3</v>
      </c>
      <c r="J15" s="124" t="n">
        <f aca="false">VLOOKUP($A15,Table,MATCH(J$4,Curves,0))</f>
        <v>4</v>
      </c>
      <c r="K15" s="125" t="n">
        <f aca="false">J15+$K$7</f>
        <v>4</v>
      </c>
      <c r="L15" s="126" t="n">
        <f aca="false">K15</f>
        <v>4</v>
      </c>
      <c r="M15" s="124" t="n">
        <f aca="false">VLOOKUP($A15,Table,MATCH(M$4,Curves,0))</f>
        <v>4</v>
      </c>
      <c r="N15" s="125" t="n">
        <f aca="false">M15+$N$7</f>
        <v>4</v>
      </c>
      <c r="O15" s="126" t="n">
        <f aca="false">0.07</f>
        <v>0.07</v>
      </c>
      <c r="P15" s="114"/>
      <c r="Q15" s="126" t="n">
        <f aca="false">M15+J15+G15</f>
        <v>11</v>
      </c>
      <c r="R15" s="126" t="n">
        <f aca="false">N15+K15+H15</f>
        <v>11</v>
      </c>
      <c r="S15" s="126" t="n">
        <f aca="false">O15+L15+I15</f>
        <v>7.07</v>
      </c>
      <c r="T15" s="127"/>
      <c r="U15" s="5" t="n">
        <f aca="false">A16-A15</f>
        <v>31</v>
      </c>
      <c r="V15" s="128" t="n">
        <f aca="false">CHOOSE(F$3,A16+24,A15)</f>
        <v>37438</v>
      </c>
      <c r="W15" s="5" t="n">
        <f aca="false">V15-C$3</f>
        <v>207</v>
      </c>
      <c r="X15" s="124" t="n">
        <f aca="false">VLOOKUP($A15,Table,MATCH(X$4,Curves,0))</f>
        <v>2</v>
      </c>
      <c r="Y15" s="129" t="n">
        <f aca="false">1/(1+CHOOSE(F$3,(X16+($K$3/10000))/2,(X15+($K$3/10000))/2))^(2*W15/365.25)</f>
        <v>0.455817991172253</v>
      </c>
      <c r="Z15" s="5" t="n">
        <f aca="false">IF(AND(mthbeg&lt;=A15,mthend&gt;=A15),1,0)</f>
        <v>1</v>
      </c>
      <c r="AA15" s="5" t="n">
        <f aca="false">U15*Z15</f>
        <v>31</v>
      </c>
      <c r="AC15" s="115" t="n">
        <f aca="false">IF(G8=2,F15*(S15-Q15),F15*(Q15-S15))</f>
        <v>45758.6200323609</v>
      </c>
      <c r="AE15" s="116" t="n">
        <f aca="false">IF($G$3=1,F15*(R15-Q15),F15*(Q15-R15))</f>
        <v>0</v>
      </c>
      <c r="AG15" s="116" t="n">
        <f aca="false">AC15+AE15</f>
        <v>45758.6200323609</v>
      </c>
    </row>
    <row r="16" customFormat="false" ht="12.75" hidden="false" customHeight="false" outlineLevel="0" collapsed="false">
      <c r="A16" s="120" t="n">
        <f aca="false">EDATE(A15,1)</f>
        <v>37469</v>
      </c>
      <c r="B16" s="121" t="n">
        <f aca="false">VLOOKUP(A16,'Inputs-Summary'!$A$32:$B$41,2,FALSE())</f>
        <v>495</v>
      </c>
      <c r="C16" s="122"/>
      <c r="D16" s="123" t="n">
        <f aca="false">B16+C16</f>
        <v>495</v>
      </c>
      <c r="E16" s="111" t="n">
        <f aca="false">IF(Z16=0,0,IF(AND(Z16=1,$H$3=1),D16*U16,IF($H$3=2,D16,"N/A")))</f>
        <v>15345</v>
      </c>
      <c r="F16" s="111" t="n">
        <f aca="false">E16*Y16</f>
        <v>6218.12563459984</v>
      </c>
      <c r="G16" s="124" t="n">
        <f aca="false">VLOOKUP($A16,Table,MATCH(G$4,Curves,0))</f>
        <v>3</v>
      </c>
      <c r="H16" s="125" t="n">
        <f aca="false">G16+$H$7</f>
        <v>3</v>
      </c>
      <c r="I16" s="124" t="n">
        <f aca="false">H16</f>
        <v>3</v>
      </c>
      <c r="J16" s="124" t="n">
        <f aca="false">VLOOKUP($A16,Table,MATCH(J$4,Curves,0))</f>
        <v>4</v>
      </c>
      <c r="K16" s="125" t="n">
        <f aca="false">J16+$K$7</f>
        <v>4</v>
      </c>
      <c r="L16" s="126" t="n">
        <f aca="false">K16</f>
        <v>4</v>
      </c>
      <c r="M16" s="124" t="n">
        <f aca="false">VLOOKUP($A16,Table,MATCH(M$4,Curves,0))</f>
        <v>4</v>
      </c>
      <c r="N16" s="125" t="n">
        <f aca="false">M16+$N$7</f>
        <v>4</v>
      </c>
      <c r="O16" s="126" t="n">
        <f aca="false">0.07</f>
        <v>0.07</v>
      </c>
      <c r="P16" s="114"/>
      <c r="Q16" s="126" t="n">
        <f aca="false">M16+J16+G16</f>
        <v>11</v>
      </c>
      <c r="R16" s="126" t="n">
        <f aca="false">N16+K16+H16</f>
        <v>11</v>
      </c>
      <c r="S16" s="126" t="n">
        <f aca="false">O16+L16+I16</f>
        <v>7.07</v>
      </c>
      <c r="T16" s="127"/>
      <c r="U16" s="5" t="n">
        <f aca="false">A17-A16</f>
        <v>31</v>
      </c>
      <c r="V16" s="128" t="n">
        <f aca="false">CHOOSE(F$3,A17+24,A16)</f>
        <v>37469</v>
      </c>
      <c r="W16" s="5" t="n">
        <f aca="false">V16-C$3</f>
        <v>238</v>
      </c>
      <c r="X16" s="124" t="n">
        <f aca="false">VLOOKUP($A16,Table,MATCH(X$4,Curves,0))</f>
        <v>2</v>
      </c>
      <c r="Y16" s="129" t="n">
        <f aca="false">1/(1+CHOOSE(F$3,(X17+($K$3/10000))/2,(X16+($K$3/10000))/2))^(2*W16/365.25)</f>
        <v>0.405221611899631</v>
      </c>
      <c r="Z16" s="5" t="n">
        <f aca="false">IF(AND(mthbeg&lt;=A16,mthend&gt;=A16),1,0)</f>
        <v>1</v>
      </c>
      <c r="AA16" s="5" t="n">
        <f aca="false">U16*Z16</f>
        <v>31</v>
      </c>
      <c r="AC16" s="115" t="n">
        <f aca="false">IF(G9=2,F16*(S16-Q16),F16*(Q16-S16))</f>
        <v>24437.2337439774</v>
      </c>
      <c r="AE16" s="116" t="n">
        <f aca="false">IF($G$3=1,F16*(R16-Q16),F16*(Q16-R16))</f>
        <v>0</v>
      </c>
      <c r="AG16" s="116" t="n">
        <f aca="false">AC16+AE16</f>
        <v>24437.2337439774</v>
      </c>
    </row>
    <row r="17" customFormat="false" ht="12.75" hidden="false" customHeight="false" outlineLevel="0" collapsed="false">
      <c r="A17" s="120" t="n">
        <f aca="false">EDATE(A16,1)</f>
        <v>37500</v>
      </c>
      <c r="B17" s="121" t="n">
        <f aca="false">VLOOKUP(A17,'Inputs-Summary'!$A$32:$B$41,2,FALSE())</f>
        <v>440</v>
      </c>
      <c r="C17" s="122"/>
      <c r="D17" s="123" t="n">
        <f aca="false">B17+C17</f>
        <v>440</v>
      </c>
      <c r="E17" s="111" t="n">
        <f aca="false">IF(Z17=0,0,IF(AND(Z17=1,$H$3=1),D17*U17,IF($H$3=2,D17,"N/A")))</f>
        <v>13200</v>
      </c>
      <c r="F17" s="111" t="n">
        <f aca="false">E17*Y17</f>
        <v>4755.18773871295</v>
      </c>
      <c r="G17" s="124" t="n">
        <f aca="false">VLOOKUP($A17,Table,MATCH(G$4,Curves,0))</f>
        <v>3</v>
      </c>
      <c r="H17" s="125" t="n">
        <f aca="false">G17+$H$7</f>
        <v>3</v>
      </c>
      <c r="I17" s="124" t="n">
        <f aca="false">H17</f>
        <v>3</v>
      </c>
      <c r="J17" s="124" t="n">
        <f aca="false">VLOOKUP($A17,Table,MATCH(J$4,Curves,0))</f>
        <v>4</v>
      </c>
      <c r="K17" s="125" t="n">
        <f aca="false">J17+$K$7</f>
        <v>4</v>
      </c>
      <c r="L17" s="126" t="n">
        <f aca="false">K17</f>
        <v>4</v>
      </c>
      <c r="M17" s="124" t="n">
        <f aca="false">VLOOKUP($A17,Table,MATCH(M$4,Curves,0))</f>
        <v>4</v>
      </c>
      <c r="N17" s="125" t="n">
        <f aca="false">M17+$N$7</f>
        <v>4</v>
      </c>
      <c r="O17" s="126" t="n">
        <f aca="false">0.07</f>
        <v>0.07</v>
      </c>
      <c r="P17" s="114"/>
      <c r="Q17" s="126" t="n">
        <f aca="false">M17+J17+G17</f>
        <v>11</v>
      </c>
      <c r="R17" s="126" t="n">
        <f aca="false">N17+K17+H17</f>
        <v>11</v>
      </c>
      <c r="S17" s="126" t="n">
        <f aca="false">O17+L17+I17</f>
        <v>7.07</v>
      </c>
      <c r="T17" s="127"/>
      <c r="U17" s="5" t="n">
        <f aca="false">A18-A17</f>
        <v>30</v>
      </c>
      <c r="V17" s="128" t="n">
        <f aca="false">CHOOSE(F$3,A18+24,A17)</f>
        <v>37500</v>
      </c>
      <c r="W17" s="5" t="n">
        <f aca="false">V17-C$3</f>
        <v>269</v>
      </c>
      <c r="X17" s="124" t="n">
        <f aca="false">VLOOKUP($A17,Table,MATCH(X$4,Curves,0))</f>
        <v>2</v>
      </c>
      <c r="Y17" s="129" t="n">
        <f aca="false">1/(1+CHOOSE(F$3,(X18+($K$3/10000))/2,(X17+($K$3/10000))/2))^(2*W17/365.25)</f>
        <v>0.360241495357042</v>
      </c>
      <c r="Z17" s="5" t="n">
        <f aca="false">IF(AND(mthbeg&lt;=A17,mthend&gt;=A17),1,0)</f>
        <v>1</v>
      </c>
      <c r="AA17" s="5" t="n">
        <f aca="false">U17*Z17</f>
        <v>30</v>
      </c>
      <c r="AC17" s="115" t="n">
        <f aca="false">IF(G10=2,F17*(S17-Q17),F17*(Q17-S17))</f>
        <v>18687.8878131419</v>
      </c>
      <c r="AE17" s="116" t="n">
        <f aca="false">IF($G$3=1,F17*(R17-Q17),F17*(Q17-R17))</f>
        <v>0</v>
      </c>
      <c r="AG17" s="116" t="n">
        <f aca="false">AC17+AE17</f>
        <v>18687.8878131419</v>
      </c>
    </row>
    <row r="18" customFormat="false" ht="12.75" hidden="false" customHeight="false" outlineLevel="0" collapsed="false">
      <c r="A18" s="120" t="n">
        <f aca="false">EDATE(A17,1)</f>
        <v>37530</v>
      </c>
      <c r="B18" s="121" t="n">
        <f aca="false">VLOOKUP(A18,'Inputs-Summary'!$A$32:$B$41,2,FALSE())</f>
        <v>1095</v>
      </c>
      <c r="C18" s="122"/>
      <c r="D18" s="123" t="n">
        <f aca="false">B18+C18</f>
        <v>1095</v>
      </c>
      <c r="E18" s="111" t="n">
        <f aca="false">IF(Z18=0,0,IF(AND(Z18=1,$H$3=1),D18*U18,IF($H$3=2,D18,"N/A")))</f>
        <v>33945</v>
      </c>
      <c r="F18" s="111" t="n">
        <f aca="false">E18*Y18</f>
        <v>10912.3688473684</v>
      </c>
      <c r="G18" s="124" t="n">
        <f aca="false">VLOOKUP($A18,Table,MATCH(G$4,Curves,0))</f>
        <v>3</v>
      </c>
      <c r="H18" s="125" t="n">
        <f aca="false">G18+$H$7</f>
        <v>3</v>
      </c>
      <c r="I18" s="124" t="n">
        <f aca="false">H18</f>
        <v>3</v>
      </c>
      <c r="J18" s="124" t="n">
        <f aca="false">VLOOKUP($A18,Table,MATCH(J$4,Curves,0))</f>
        <v>4</v>
      </c>
      <c r="K18" s="125" t="n">
        <f aca="false">J18+$K$7</f>
        <v>4</v>
      </c>
      <c r="L18" s="126" t="n">
        <f aca="false">K18</f>
        <v>4</v>
      </c>
      <c r="M18" s="124" t="n">
        <f aca="false">VLOOKUP($A18,Table,MATCH(M$4,Curves,0))</f>
        <v>4</v>
      </c>
      <c r="N18" s="125" t="n">
        <f aca="false">M18+$N$7</f>
        <v>4</v>
      </c>
      <c r="O18" s="126" t="n">
        <f aca="false">0.07</f>
        <v>0.07</v>
      </c>
      <c r="P18" s="114"/>
      <c r="Q18" s="126" t="n">
        <f aca="false">M18+J18+G18</f>
        <v>11</v>
      </c>
      <c r="R18" s="126" t="n">
        <f aca="false">N18+K18+H18</f>
        <v>11</v>
      </c>
      <c r="S18" s="126" t="n">
        <f aca="false">O18+L18+I18</f>
        <v>7.07</v>
      </c>
      <c r="T18" s="127"/>
      <c r="U18" s="5" t="n">
        <f aca="false">A19-A18</f>
        <v>31</v>
      </c>
      <c r="V18" s="128" t="n">
        <f aca="false">CHOOSE(F$3,A19+24,A18)</f>
        <v>37530</v>
      </c>
      <c r="W18" s="5" t="n">
        <f aca="false">V18-C$3</f>
        <v>299</v>
      </c>
      <c r="X18" s="124" t="n">
        <f aca="false">VLOOKUP($A18,Table,MATCH(X$4,Curves,0))</f>
        <v>2</v>
      </c>
      <c r="Y18" s="129" t="n">
        <f aca="false">1/(1+CHOOSE(F$3,(X19+($K$3/10000))/2,(X18+($K$3/10000))/2))^(2*W18/365.25)</f>
        <v>0.321472053244023</v>
      </c>
      <c r="Z18" s="5" t="n">
        <f aca="false">IF(AND(mthbeg&lt;=A18,mthend&gt;=A18),1,0)</f>
        <v>1</v>
      </c>
      <c r="AA18" s="5" t="n">
        <f aca="false">U18*Z18</f>
        <v>31</v>
      </c>
      <c r="AC18" s="115" t="n">
        <f aca="false">IF(G11=2,F18*(S18-Q18),F18*(Q18-S18))</f>
        <v>42885.6095701577</v>
      </c>
      <c r="AE18" s="116" t="n">
        <f aca="false">IF($G$3=1,F18*(R18-Q18),F18*(Q18-R18))</f>
        <v>0</v>
      </c>
      <c r="AG18" s="116" t="n">
        <f aca="false">AC18+AE18</f>
        <v>42885.6095701577</v>
      </c>
    </row>
    <row r="19" customFormat="false" ht="12.75" hidden="false" customHeight="false" outlineLevel="0" collapsed="false">
      <c r="A19" s="120" t="n">
        <f aca="false">EDATE(A18,1)</f>
        <v>37561</v>
      </c>
      <c r="B19" s="121" t="e">
        <f aca="false">VLOOKUP(A19,'Inputs-Summary'!$A$32:$B$41,2,FALSE())</f>
        <v>#N/A</v>
      </c>
      <c r="C19" s="122"/>
      <c r="D19" s="123" t="e">
        <f aca="false">B19+C19</f>
        <v>#N/A</v>
      </c>
      <c r="E19" s="111" t="n">
        <f aca="false">IF(Z19=0,0,IF(AND(Z19=1,$H$3=1),D19*U19,IF($H$3=2,D19,"N/A")))</f>
        <v>0</v>
      </c>
      <c r="F19" s="111" t="n">
        <f aca="false">E19*Y19</f>
        <v>0</v>
      </c>
      <c r="G19" s="124" t="n">
        <f aca="false">VLOOKUP($A19,Table,MATCH(G$4,Curves,0))</f>
        <v>3</v>
      </c>
      <c r="H19" s="125" t="n">
        <f aca="false">G19+$H$7</f>
        <v>3</v>
      </c>
      <c r="I19" s="124" t="n">
        <f aca="false">H19</f>
        <v>3</v>
      </c>
      <c r="J19" s="124" t="n">
        <f aca="false">VLOOKUP($A19,Table,MATCH(J$4,Curves,0))</f>
        <v>4</v>
      </c>
      <c r="K19" s="125" t="n">
        <f aca="false">J19+$K$7</f>
        <v>4</v>
      </c>
      <c r="L19" s="126" t="n">
        <f aca="false">K19</f>
        <v>4</v>
      </c>
      <c r="M19" s="124" t="n">
        <f aca="false">VLOOKUP($A19,Table,MATCH(M$4,Curves,0))</f>
        <v>4</v>
      </c>
      <c r="N19" s="125" t="n">
        <f aca="false">M19+$N$7</f>
        <v>4</v>
      </c>
      <c r="O19" s="126" t="n">
        <f aca="false">0.07</f>
        <v>0.07</v>
      </c>
      <c r="P19" s="114"/>
      <c r="Q19" s="126" t="n">
        <f aca="false">M19+J19+G19</f>
        <v>11</v>
      </c>
      <c r="R19" s="126" t="n">
        <f aca="false">N19+K19+H19</f>
        <v>11</v>
      </c>
      <c r="S19" s="126" t="n">
        <f aca="false">O19+L19+I19</f>
        <v>7.07</v>
      </c>
      <c r="T19" s="127"/>
      <c r="U19" s="5" t="n">
        <f aca="false">A20-A19</f>
        <v>30</v>
      </c>
      <c r="V19" s="128" t="n">
        <f aca="false">CHOOSE(F$3,A20+24,A19)</f>
        <v>37561</v>
      </c>
      <c r="W19" s="5" t="n">
        <f aca="false">V19-C$3</f>
        <v>330</v>
      </c>
      <c r="X19" s="124" t="n">
        <f aca="false">VLOOKUP($A19,Table,MATCH(X$4,Curves,0))</f>
        <v>2</v>
      </c>
      <c r="Y19" s="129" t="n">
        <f aca="false">1/(1+CHOOSE(F$3,(X20+($K$3/10000))/2,(X19+($K$3/10000))/2))^(2*W19/365.25)</f>
        <v>0.285788244692165</v>
      </c>
      <c r="Z19" s="5" t="n">
        <f aca="false">IF(AND(mthbeg&lt;=A19,mthend&gt;=A19),1,0)</f>
        <v>0</v>
      </c>
      <c r="AA19" s="5" t="n">
        <f aca="false">U19*Z19</f>
        <v>0</v>
      </c>
      <c r="AC19" s="115" t="n">
        <f aca="false">IF(G12=2,F19*(S19-Q19),F19*(Q19-S19))</f>
        <v>0</v>
      </c>
      <c r="AE19" s="116" t="n">
        <f aca="false">IF($G$3=1,F19*(R19-Q19),F19*(Q19-R19))</f>
        <v>0</v>
      </c>
      <c r="AG19" s="116" t="n">
        <f aca="false">AC19+AE19</f>
        <v>0</v>
      </c>
    </row>
    <row r="20" customFormat="false" ht="12.75" hidden="false" customHeight="false" outlineLevel="0" collapsed="false">
      <c r="A20" s="120" t="n">
        <f aca="false">EDATE(A19,1)</f>
        <v>37591</v>
      </c>
      <c r="B20" s="121" t="e">
        <f aca="false">VLOOKUP(A20,'Inputs-Summary'!$A$32:$B$41,2,FALSE())</f>
        <v>#N/A</v>
      </c>
      <c r="C20" s="122"/>
      <c r="D20" s="123" t="e">
        <f aca="false">B20+C20</f>
        <v>#N/A</v>
      </c>
      <c r="E20" s="111" t="n">
        <f aca="false">IF(Z20=0,0,IF(AND(Z20=1,$H$3=1),D20*U20,IF($H$3=2,D20,"N/A")))</f>
        <v>0</v>
      </c>
      <c r="F20" s="111" t="n">
        <f aca="false">E20*Y20</f>
        <v>0</v>
      </c>
      <c r="G20" s="124" t="n">
        <f aca="false">VLOOKUP($A20,Table,MATCH(G$4,Curves,0))</f>
        <v>3</v>
      </c>
      <c r="H20" s="125" t="n">
        <f aca="false">G20+$H$7</f>
        <v>3</v>
      </c>
      <c r="I20" s="124" t="n">
        <f aca="false">H20</f>
        <v>3</v>
      </c>
      <c r="J20" s="124" t="n">
        <f aca="false">VLOOKUP($A20,Table,MATCH(J$4,Curves,0))</f>
        <v>4</v>
      </c>
      <c r="K20" s="125" t="n">
        <f aca="false">J20+$K$7</f>
        <v>4</v>
      </c>
      <c r="L20" s="126" t="n">
        <f aca="false">K20</f>
        <v>4</v>
      </c>
      <c r="M20" s="124" t="n">
        <f aca="false">VLOOKUP($A20,Table,MATCH(M$4,Curves,0))</f>
        <v>4</v>
      </c>
      <c r="N20" s="125" t="n">
        <f aca="false">M20+$N$7</f>
        <v>4</v>
      </c>
      <c r="O20" s="126" t="n">
        <f aca="false">0.07</f>
        <v>0.07</v>
      </c>
      <c r="P20" s="114"/>
      <c r="Q20" s="126" t="n">
        <f aca="false">M20+J20+G20</f>
        <v>11</v>
      </c>
      <c r="R20" s="126" t="n">
        <f aca="false">N20+K20+H20</f>
        <v>11</v>
      </c>
      <c r="S20" s="126" t="n">
        <f aca="false">O20+L20+I20</f>
        <v>7.07</v>
      </c>
      <c r="T20" s="127"/>
      <c r="U20" s="5" t="n">
        <f aca="false">A21-A20</f>
        <v>31</v>
      </c>
      <c r="V20" s="128" t="n">
        <f aca="false">CHOOSE(F$3,A21+24,A20)</f>
        <v>37591</v>
      </c>
      <c r="W20" s="5" t="n">
        <f aca="false">V20-C$3</f>
        <v>360</v>
      </c>
      <c r="X20" s="124" t="n">
        <f aca="false">VLOOKUP($A20,Table,MATCH(X$4,Curves,0))</f>
        <v>2</v>
      </c>
      <c r="Y20" s="129" t="n">
        <f aca="false">1/(1+CHOOSE(F$3,(X21+($K$3/10000))/2,(X20+($K$3/10000))/2))^(2*W20/365.25)</f>
        <v>0.255031513577132</v>
      </c>
      <c r="Z20" s="5" t="n">
        <f aca="false">IF(AND(mthbeg&lt;=A20,mthend&gt;=A20),1,0)</f>
        <v>0</v>
      </c>
      <c r="AA20" s="5" t="n">
        <f aca="false">U20*Z20</f>
        <v>0</v>
      </c>
      <c r="AC20" s="115" t="n">
        <f aca="false">IF(G13=2,F20*(S20-Q20),F20*(Q20-S20))</f>
        <v>0</v>
      </c>
      <c r="AE20" s="116" t="n">
        <f aca="false">IF($G$3=1,F20*(R20-Q20),F20*(Q20-R20))</f>
        <v>0</v>
      </c>
      <c r="AG20" s="116" t="n">
        <f aca="false">AC20+AE20</f>
        <v>0</v>
      </c>
    </row>
    <row r="21" customFormat="false" ht="12.75" hidden="false" customHeight="false" outlineLevel="0" collapsed="false">
      <c r="A21" s="120" t="n">
        <f aca="false">EDATE(A20,1)</f>
        <v>37622</v>
      </c>
      <c r="B21" s="121" t="e">
        <f aca="false">VLOOKUP(A21,'Inputs-Summary'!$A$32:$B$41,2,FALSE())</f>
        <v>#N/A</v>
      </c>
      <c r="C21" s="122"/>
      <c r="D21" s="123" t="e">
        <f aca="false">B21+C21</f>
        <v>#N/A</v>
      </c>
      <c r="E21" s="111" t="n">
        <f aca="false">IF(Z21=0,0,IF(AND(Z21=1,$H$3=1),D21*U21,IF($H$3=2,D21,"N/A")))</f>
        <v>0</v>
      </c>
      <c r="F21" s="111" t="n">
        <f aca="false">E21*Y21</f>
        <v>0</v>
      </c>
      <c r="G21" s="124" t="n">
        <f aca="false">VLOOKUP($A21,Table,MATCH(G$4,Curves,0))</f>
        <v>3</v>
      </c>
      <c r="H21" s="125" t="n">
        <f aca="false">G21+$H$7</f>
        <v>3</v>
      </c>
      <c r="I21" s="124" t="n">
        <f aca="false">H21</f>
        <v>3</v>
      </c>
      <c r="J21" s="124" t="n">
        <f aca="false">VLOOKUP($A21,Table,MATCH(J$4,Curves,0))</f>
        <v>4</v>
      </c>
      <c r="K21" s="125" t="n">
        <f aca="false">J21+$K$7</f>
        <v>4</v>
      </c>
      <c r="L21" s="126" t="n">
        <f aca="false">K21</f>
        <v>4</v>
      </c>
      <c r="M21" s="124" t="n">
        <f aca="false">VLOOKUP($A21,Table,MATCH(M$4,Curves,0))</f>
        <v>4</v>
      </c>
      <c r="N21" s="125" t="n">
        <f aca="false">M21+$N$7</f>
        <v>4</v>
      </c>
      <c r="O21" s="126" t="n">
        <f aca="false">0.07</f>
        <v>0.07</v>
      </c>
      <c r="P21" s="114"/>
      <c r="Q21" s="126" t="n">
        <f aca="false">M21+J21+G21</f>
        <v>11</v>
      </c>
      <c r="R21" s="126" t="n">
        <f aca="false">N21+K21+H21</f>
        <v>11</v>
      </c>
      <c r="S21" s="126" t="n">
        <f aca="false">O21+L21+I21</f>
        <v>7.07</v>
      </c>
      <c r="T21" s="127"/>
      <c r="U21" s="5" t="n">
        <f aca="false">A22-A21</f>
        <v>31</v>
      </c>
      <c r="V21" s="128" t="n">
        <f aca="false">CHOOSE(F$3,A22+24,A21)</f>
        <v>37622</v>
      </c>
      <c r="W21" s="5" t="n">
        <f aca="false">V21-C$3</f>
        <v>391</v>
      </c>
      <c r="X21" s="124" t="n">
        <f aca="false">VLOOKUP($A21,Table,MATCH(X$4,Curves,0))</f>
        <v>2</v>
      </c>
      <c r="Y21" s="129" t="n">
        <f aca="false">1/(1+CHOOSE(F$3,(X22+($K$3/10000))/2,(X21+($K$3/10000))/2))^(2*W21/365.25)</f>
        <v>0.226722689798074</v>
      </c>
      <c r="Z21" s="5" t="n">
        <f aca="false">IF(AND(mthbeg&lt;=A21,mthend&gt;=A21),1,0)</f>
        <v>0</v>
      </c>
      <c r="AA21" s="5" t="n">
        <f aca="false">U21*Z21</f>
        <v>0</v>
      </c>
      <c r="AC21" s="115" t="n">
        <f aca="false">IF(G14=2,F21*(S21-Q21),F21*(Q21-S21))</f>
        <v>0</v>
      </c>
      <c r="AE21" s="116" t="n">
        <f aca="false">IF($G$3=1,F21*(R21-Q21),F21*(Q21-R21))</f>
        <v>0</v>
      </c>
      <c r="AG21" s="116" t="n">
        <f aca="false">AC21+AE21</f>
        <v>0</v>
      </c>
    </row>
    <row r="22" customFormat="false" ht="12.75" hidden="false" customHeight="false" outlineLevel="0" collapsed="false">
      <c r="A22" s="120" t="n">
        <f aca="false">EDATE(A21,1)</f>
        <v>37653</v>
      </c>
      <c r="B22" s="121" t="e">
        <f aca="false">VLOOKUP(A22,'Inputs-Summary'!$A$32:$B$41,2,FALSE())</f>
        <v>#N/A</v>
      </c>
      <c r="C22" s="122"/>
      <c r="D22" s="123" t="e">
        <f aca="false">B22+C22</f>
        <v>#N/A</v>
      </c>
      <c r="E22" s="111" t="n">
        <f aca="false">IF(Z22=0,0,IF(AND(Z22=1,$H$3=1),D22*U22,IF($H$3=2,D22,"N/A")))</f>
        <v>0</v>
      </c>
      <c r="F22" s="111" t="n">
        <f aca="false">E22*Y22</f>
        <v>0</v>
      </c>
      <c r="G22" s="124" t="n">
        <f aca="false">VLOOKUP($A22,Table,MATCH(G$4,Curves,0))</f>
        <v>3</v>
      </c>
      <c r="H22" s="125" t="n">
        <f aca="false">G22+$H$7</f>
        <v>3</v>
      </c>
      <c r="I22" s="124" t="n">
        <f aca="false">H22</f>
        <v>3</v>
      </c>
      <c r="J22" s="124" t="n">
        <f aca="false">VLOOKUP($A22,Table,MATCH(J$4,Curves,0))</f>
        <v>4</v>
      </c>
      <c r="K22" s="125" t="n">
        <f aca="false">J22+$K$7</f>
        <v>4</v>
      </c>
      <c r="L22" s="126" t="n">
        <f aca="false">K22</f>
        <v>4</v>
      </c>
      <c r="M22" s="124" t="n">
        <f aca="false">VLOOKUP($A22,Table,MATCH(M$4,Curves,0))</f>
        <v>4</v>
      </c>
      <c r="N22" s="125" t="n">
        <f aca="false">M22+$N$7</f>
        <v>4</v>
      </c>
      <c r="O22" s="126" t="n">
        <f aca="false">0.07</f>
        <v>0.07</v>
      </c>
      <c r="P22" s="114"/>
      <c r="Q22" s="126" t="n">
        <f aca="false">M22+J22+G22</f>
        <v>11</v>
      </c>
      <c r="R22" s="126" t="n">
        <f aca="false">N22+K22+H22</f>
        <v>11</v>
      </c>
      <c r="S22" s="126" t="n">
        <f aca="false">O22+L22+I22</f>
        <v>7.07</v>
      </c>
      <c r="T22" s="127"/>
      <c r="U22" s="5" t="n">
        <f aca="false">A23-A22</f>
        <v>28</v>
      </c>
      <c r="V22" s="128" t="n">
        <f aca="false">CHOOSE(F$3,A23+24,A22)</f>
        <v>37653</v>
      </c>
      <c r="W22" s="5" t="n">
        <f aca="false">V22-C$3</f>
        <v>422</v>
      </c>
      <c r="X22" s="124" t="n">
        <f aca="false">VLOOKUP($A22,Table,MATCH(X$4,Curves,0))</f>
        <v>2</v>
      </c>
      <c r="Y22" s="129" t="n">
        <f aca="false">1/(1+CHOOSE(F$3,(X23+($K$3/10000))/2,(X22+($K$3/10000))/2))^(2*W22/365.25)</f>
        <v>0.2015561816196</v>
      </c>
      <c r="Z22" s="5" t="n">
        <f aca="false">IF(AND(mthbeg&lt;=A22,mthend&gt;=A22),1,0)</f>
        <v>0</v>
      </c>
      <c r="AA22" s="5" t="n">
        <f aca="false">U22*Z22</f>
        <v>0</v>
      </c>
      <c r="AC22" s="115" t="n">
        <f aca="false">IF(G15=2,F22*(S22-Q22),F22*(Q22-S22))</f>
        <v>0</v>
      </c>
      <c r="AE22" s="116" t="n">
        <f aca="false">IF($G$3=1,F22*(R22-Q22),F22*(Q22-R22))</f>
        <v>0</v>
      </c>
      <c r="AG22" s="116" t="n">
        <f aca="false">AC22+AE22</f>
        <v>0</v>
      </c>
    </row>
    <row r="23" customFormat="false" ht="12.75" hidden="false" customHeight="false" outlineLevel="0" collapsed="false">
      <c r="A23" s="120" t="n">
        <f aca="false">EDATE(A22,1)</f>
        <v>37681</v>
      </c>
      <c r="B23" s="121" t="e">
        <f aca="false">VLOOKUP(A23,'Inputs-Summary'!$A$32:$B$41,2,FALSE())</f>
        <v>#N/A</v>
      </c>
      <c r="C23" s="122"/>
      <c r="D23" s="123" t="e">
        <f aca="false">B23+C23</f>
        <v>#N/A</v>
      </c>
      <c r="E23" s="111" t="n">
        <f aca="false">IF(Z23=0,0,IF(AND(Z23=1,$H$3=1),D23*U23,IF($H$3=2,D23,"N/A")))</f>
        <v>0</v>
      </c>
      <c r="F23" s="111" t="n">
        <f aca="false">E23*Y23</f>
        <v>0</v>
      </c>
      <c r="G23" s="124" t="n">
        <f aca="false">VLOOKUP($A23,Table,MATCH(G$4,Curves,0))</f>
        <v>3</v>
      </c>
      <c r="H23" s="125" t="n">
        <f aca="false">G23+$H$7</f>
        <v>3</v>
      </c>
      <c r="I23" s="124" t="n">
        <f aca="false">H23</f>
        <v>3</v>
      </c>
      <c r="J23" s="124" t="n">
        <f aca="false">VLOOKUP($A23,Table,MATCH(J$4,Curves,0))</f>
        <v>4</v>
      </c>
      <c r="K23" s="125" t="n">
        <f aca="false">J23+$K$7</f>
        <v>4</v>
      </c>
      <c r="L23" s="126" t="n">
        <f aca="false">K23</f>
        <v>4</v>
      </c>
      <c r="M23" s="124" t="n">
        <f aca="false">VLOOKUP($A23,Table,MATCH(M$4,Curves,0))</f>
        <v>4</v>
      </c>
      <c r="N23" s="125" t="n">
        <f aca="false">M23+$N$7</f>
        <v>4</v>
      </c>
      <c r="O23" s="126" t="n">
        <f aca="false">0.07</f>
        <v>0.07</v>
      </c>
      <c r="P23" s="114"/>
      <c r="Q23" s="126" t="n">
        <f aca="false">M23+J23+G23</f>
        <v>11</v>
      </c>
      <c r="R23" s="126" t="n">
        <f aca="false">N23+K23+H23</f>
        <v>11</v>
      </c>
      <c r="S23" s="126" t="n">
        <f aca="false">O23+L23+I23</f>
        <v>7.07</v>
      </c>
      <c r="T23" s="127"/>
      <c r="U23" s="5" t="n">
        <f aca="false">A24-A23</f>
        <v>31</v>
      </c>
      <c r="V23" s="128" t="n">
        <f aca="false">CHOOSE(F$3,A24+24,A23)</f>
        <v>37681</v>
      </c>
      <c r="W23" s="5" t="n">
        <f aca="false">V23-C$3</f>
        <v>450</v>
      </c>
      <c r="X23" s="124" t="n">
        <f aca="false">VLOOKUP($A23,Table,MATCH(X$4,Curves,0))</f>
        <v>2</v>
      </c>
      <c r="Y23" s="129" t="n">
        <f aca="false">1/(1+CHOOSE(F$3,(X24+($K$3/10000))/2,(X23+($K$3/10000))/2))^(2*W23/365.25)</f>
        <v>0.181235099459571</v>
      </c>
      <c r="Z23" s="5" t="n">
        <f aca="false">IF(AND(mthbeg&lt;=A23,mthend&gt;=A23),1,0)</f>
        <v>0</v>
      </c>
      <c r="AA23" s="5" t="n">
        <f aca="false">U23*Z23</f>
        <v>0</v>
      </c>
      <c r="AC23" s="115" t="n">
        <f aca="false">IF(G16=2,F23*(S23-Q23),F23*(Q23-S23))</f>
        <v>0</v>
      </c>
      <c r="AE23" s="116" t="n">
        <f aca="false">IF($G$3=1,F23*(R23-Q23),F23*(Q23-R23))</f>
        <v>0</v>
      </c>
      <c r="AG23" s="116" t="n">
        <f aca="false">AC23+AE23</f>
        <v>0</v>
      </c>
    </row>
    <row r="24" customFormat="false" ht="12.75" hidden="false" customHeight="false" outlineLevel="0" collapsed="false">
      <c r="A24" s="120" t="n">
        <f aca="false">EDATE(A23,1)</f>
        <v>37712</v>
      </c>
      <c r="B24" s="121" t="e">
        <f aca="false">VLOOKUP(A24,'Inputs-Summary'!$A$32:$B$41,2,FALSE())</f>
        <v>#N/A</v>
      </c>
      <c r="C24" s="122"/>
      <c r="D24" s="123" t="e">
        <f aca="false">B24+C24</f>
        <v>#N/A</v>
      </c>
      <c r="E24" s="111" t="n">
        <f aca="false">IF(Z24=0,0,IF(AND(Z24=1,$H$3=1),D24*U24,IF($H$3=2,D24,"N/A")))</f>
        <v>0</v>
      </c>
      <c r="F24" s="111" t="n">
        <f aca="false">E24*Y24</f>
        <v>0</v>
      </c>
      <c r="G24" s="124" t="n">
        <f aca="false">VLOOKUP($A24,Table,MATCH(G$4,Curves,0))</f>
        <v>3</v>
      </c>
      <c r="H24" s="125" t="n">
        <f aca="false">G24+$H$7</f>
        <v>3</v>
      </c>
      <c r="I24" s="124" t="n">
        <f aca="false">H24</f>
        <v>3</v>
      </c>
      <c r="J24" s="124" t="n">
        <f aca="false">VLOOKUP($A24,Table,MATCH(J$4,Curves,0))</f>
        <v>4</v>
      </c>
      <c r="K24" s="125" t="n">
        <f aca="false">J24+$K$7</f>
        <v>4</v>
      </c>
      <c r="L24" s="126" t="n">
        <f aca="false">K24</f>
        <v>4</v>
      </c>
      <c r="M24" s="124" t="n">
        <f aca="false">VLOOKUP($A24,Table,MATCH(M$4,Curves,0))</f>
        <v>4</v>
      </c>
      <c r="N24" s="125" t="n">
        <f aca="false">M24+$N$7</f>
        <v>4</v>
      </c>
      <c r="O24" s="126" t="n">
        <f aca="false">0.07</f>
        <v>0.07</v>
      </c>
      <c r="P24" s="114"/>
      <c r="Q24" s="126" t="n">
        <f aca="false">M24+J24+G24</f>
        <v>11</v>
      </c>
      <c r="R24" s="126" t="n">
        <f aca="false">N24+K24+H24</f>
        <v>11</v>
      </c>
      <c r="S24" s="126" t="n">
        <f aca="false">O24+L24+I24</f>
        <v>7.07</v>
      </c>
      <c r="T24" s="127"/>
      <c r="U24" s="5" t="n">
        <f aca="false">A25-A24</f>
        <v>30</v>
      </c>
      <c r="V24" s="128" t="n">
        <f aca="false">CHOOSE(F$3,A25+24,A24)</f>
        <v>37712</v>
      </c>
      <c r="W24" s="5" t="n">
        <f aca="false">V24-C$3</f>
        <v>481</v>
      </c>
      <c r="X24" s="124" t="n">
        <f aca="false">VLOOKUP($A24,Table,MATCH(X$4,Curves,0))</f>
        <v>2</v>
      </c>
      <c r="Y24" s="129" t="n">
        <f aca="false">1/(1+CHOOSE(F$3,(X25+($K$3/10000))/2,(X24+($K$3/10000))/2))^(2*W24/365.25)</f>
        <v>0.16111777191358</v>
      </c>
      <c r="Z24" s="5" t="n">
        <f aca="false">IF(AND(mthbeg&lt;=A24,mthend&gt;=A24),1,0)</f>
        <v>0</v>
      </c>
      <c r="AA24" s="5" t="n">
        <f aca="false">U24*Z24</f>
        <v>0</v>
      </c>
      <c r="AC24" s="115" t="n">
        <f aca="false">IF(G17=2,F24*(S24-Q24),F24*(Q24-S24))</f>
        <v>0</v>
      </c>
      <c r="AE24" s="116" t="n">
        <f aca="false">IF($G$3=1,F24*(R24-Q24),F24*(Q24-R24))</f>
        <v>0</v>
      </c>
      <c r="AG24" s="116" t="n">
        <f aca="false">AC24+AE24</f>
        <v>0</v>
      </c>
    </row>
    <row r="25" customFormat="false" ht="12.75" hidden="false" customHeight="false" outlineLevel="0" collapsed="false">
      <c r="A25" s="120" t="n">
        <f aca="false">EDATE(A24,1)</f>
        <v>37742</v>
      </c>
      <c r="B25" s="121" t="e">
        <f aca="false">VLOOKUP(A25,'Inputs-Summary'!$A$32:$B$41,2,FALSE())</f>
        <v>#N/A</v>
      </c>
      <c r="C25" s="122"/>
      <c r="D25" s="123" t="e">
        <f aca="false">B25+C25</f>
        <v>#N/A</v>
      </c>
      <c r="E25" s="111" t="n">
        <f aca="false">IF(Z25=0,0,IF(AND(Z25=1,$H$3=1),D25*U25,IF($H$3=2,D25,"N/A")))</f>
        <v>0</v>
      </c>
      <c r="F25" s="111" t="n">
        <f aca="false">E25*Y25</f>
        <v>0</v>
      </c>
      <c r="G25" s="124" t="n">
        <f aca="false">VLOOKUP($A25,Table,MATCH(G$4,Curves,0))</f>
        <v>3</v>
      </c>
      <c r="H25" s="125" t="n">
        <f aca="false">G25+$H$7</f>
        <v>3</v>
      </c>
      <c r="I25" s="124" t="n">
        <f aca="false">H25</f>
        <v>3</v>
      </c>
      <c r="J25" s="124" t="n">
        <f aca="false">VLOOKUP($A25,Table,MATCH(J$4,Curves,0))</f>
        <v>4</v>
      </c>
      <c r="K25" s="125" t="n">
        <f aca="false">J25+$K$7</f>
        <v>4</v>
      </c>
      <c r="L25" s="126" t="n">
        <f aca="false">K25</f>
        <v>4</v>
      </c>
      <c r="M25" s="124" t="n">
        <f aca="false">VLOOKUP($A25,Table,MATCH(M$4,Curves,0))</f>
        <v>4</v>
      </c>
      <c r="N25" s="125" t="n">
        <f aca="false">M25+$N$7</f>
        <v>4</v>
      </c>
      <c r="O25" s="126" t="n">
        <f aca="false">0.07</f>
        <v>0.07</v>
      </c>
      <c r="P25" s="114"/>
      <c r="Q25" s="126" t="n">
        <f aca="false">M25+J25+G25</f>
        <v>11</v>
      </c>
      <c r="R25" s="126" t="n">
        <f aca="false">N25+K25+H25</f>
        <v>11</v>
      </c>
      <c r="S25" s="126" t="n">
        <f aca="false">O25+L25+I25</f>
        <v>7.07</v>
      </c>
      <c r="T25" s="127"/>
      <c r="U25" s="5" t="n">
        <f aca="false">A26-A25</f>
        <v>31</v>
      </c>
      <c r="V25" s="128" t="n">
        <f aca="false">CHOOSE(F$3,A26+24,A25)</f>
        <v>37742</v>
      </c>
      <c r="W25" s="5" t="n">
        <f aca="false">V25-C$3</f>
        <v>511</v>
      </c>
      <c r="X25" s="124" t="n">
        <f aca="false">VLOOKUP($A25,Table,MATCH(X$4,Curves,0))</f>
        <v>2</v>
      </c>
      <c r="Y25" s="129" t="n">
        <f aca="false">1/(1+CHOOSE(F$3,(X26+($K$3/10000))/2,(X25+($K$3/10000))/2))^(2*W25/365.25)</f>
        <v>0.143778164422247</v>
      </c>
      <c r="Z25" s="5" t="n">
        <f aca="false">IF(AND(mthbeg&lt;=A25,mthend&gt;=A25),1,0)</f>
        <v>0</v>
      </c>
      <c r="AA25" s="5" t="n">
        <f aca="false">U25*Z25</f>
        <v>0</v>
      </c>
      <c r="AC25" s="115" t="n">
        <f aca="false">IF(G18=2,F25*(S25-Q25),F25*(Q25-S25))</f>
        <v>0</v>
      </c>
      <c r="AE25" s="116" t="n">
        <f aca="false">IF($G$3=1,F25*(R25-Q25),F25*(Q25-R25))</f>
        <v>0</v>
      </c>
      <c r="AG25" s="116" t="n">
        <f aca="false">AC25+AE25</f>
        <v>0</v>
      </c>
    </row>
    <row r="26" customFormat="false" ht="12.75" hidden="false" customHeight="false" outlineLevel="0" collapsed="false">
      <c r="A26" s="120" t="n">
        <f aca="false">EDATE(A25,1)</f>
        <v>37773</v>
      </c>
      <c r="B26" s="121" t="e">
        <f aca="false">VLOOKUP(A26,'Inputs-Summary'!$A$32:$B$41,2,FALSE())</f>
        <v>#N/A</v>
      </c>
      <c r="C26" s="122"/>
      <c r="D26" s="123" t="e">
        <f aca="false">B26+C26</f>
        <v>#N/A</v>
      </c>
      <c r="E26" s="111" t="n">
        <f aca="false">IF(Z26=0,0,IF(AND(Z26=1,$H$3=1),D26*U26,IF($H$3=2,D26,"N/A")))</f>
        <v>0</v>
      </c>
      <c r="F26" s="111" t="n">
        <f aca="false">E26*Y26</f>
        <v>0</v>
      </c>
      <c r="G26" s="124" t="n">
        <f aca="false">VLOOKUP($A26,Table,MATCH(G$4,Curves,0))</f>
        <v>3</v>
      </c>
      <c r="H26" s="125" t="n">
        <f aca="false">G26+$H$7</f>
        <v>3</v>
      </c>
      <c r="I26" s="124" t="n">
        <f aca="false">H26</f>
        <v>3</v>
      </c>
      <c r="J26" s="124" t="n">
        <f aca="false">VLOOKUP($A26,Table,MATCH(J$4,Curves,0))</f>
        <v>4</v>
      </c>
      <c r="K26" s="125" t="n">
        <f aca="false">J26+$K$7</f>
        <v>4</v>
      </c>
      <c r="L26" s="126" t="n">
        <f aca="false">K26</f>
        <v>4</v>
      </c>
      <c r="M26" s="124" t="n">
        <f aca="false">VLOOKUP($A26,Table,MATCH(M$4,Curves,0))</f>
        <v>4</v>
      </c>
      <c r="N26" s="125" t="n">
        <f aca="false">M26+$N$7</f>
        <v>4</v>
      </c>
      <c r="O26" s="126" t="n">
        <f aca="false">0.07</f>
        <v>0.07</v>
      </c>
      <c r="P26" s="114"/>
      <c r="Q26" s="126" t="n">
        <f aca="false">M26+J26+G26</f>
        <v>11</v>
      </c>
      <c r="R26" s="126" t="n">
        <f aca="false">N26+K26+H26</f>
        <v>11</v>
      </c>
      <c r="S26" s="126" t="n">
        <f aca="false">O26+L26+I26</f>
        <v>7.07</v>
      </c>
      <c r="T26" s="127"/>
      <c r="U26" s="5" t="n">
        <f aca="false">A27-A26</f>
        <v>30</v>
      </c>
      <c r="V26" s="128" t="n">
        <f aca="false">CHOOSE(F$3,A27+24,A26)</f>
        <v>37773</v>
      </c>
      <c r="W26" s="5" t="n">
        <f aca="false">V26-C$3</f>
        <v>542</v>
      </c>
      <c r="X26" s="124" t="n">
        <f aca="false">VLOOKUP($A26,Table,MATCH(X$4,Curves,0))</f>
        <v>2</v>
      </c>
      <c r="Y26" s="129" t="n">
        <f aca="false">1/(1+CHOOSE(F$3,(X27+($K$3/10000))/2,(X26+($K$3/10000))/2))^(2*W26/365.25)</f>
        <v>0.127818604512115</v>
      </c>
      <c r="Z26" s="5" t="n">
        <f aca="false">IF(AND(mthbeg&lt;=A26,mthend&gt;=A26),1,0)</f>
        <v>0</v>
      </c>
      <c r="AA26" s="5" t="n">
        <f aca="false">U26*Z26</f>
        <v>0</v>
      </c>
      <c r="AC26" s="115" t="n">
        <f aca="false">IF(G19=2,F26*(S26-Q26),F26*(Q26-S26))</f>
        <v>0</v>
      </c>
      <c r="AE26" s="116" t="n">
        <f aca="false">IF($G$3=1,F26*(R26-Q26),F26*(Q26-R26))</f>
        <v>0</v>
      </c>
      <c r="AG26" s="116" t="n">
        <f aca="false">AC26+AE26</f>
        <v>0</v>
      </c>
    </row>
    <row r="27" customFormat="false" ht="12.75" hidden="false" customHeight="false" outlineLevel="0" collapsed="false">
      <c r="A27" s="120" t="n">
        <f aca="false">EDATE(A26,1)</f>
        <v>37803</v>
      </c>
      <c r="B27" s="121" t="e">
        <f aca="false">VLOOKUP(A27,'Inputs-Summary'!$A$32:$B$41,2,FALSE())</f>
        <v>#N/A</v>
      </c>
      <c r="C27" s="122"/>
      <c r="D27" s="123" t="e">
        <f aca="false">B27+C27</f>
        <v>#N/A</v>
      </c>
      <c r="E27" s="111" t="n">
        <f aca="false">IF(Z27=0,0,IF(AND(Z27=1,$H$3=1),D27*U27,IF($H$3=2,D27,"N/A")))</f>
        <v>0</v>
      </c>
      <c r="F27" s="111" t="n">
        <f aca="false">E27*Y27</f>
        <v>0</v>
      </c>
      <c r="G27" s="124" t="n">
        <f aca="false">VLOOKUP($A27,Table,MATCH(G$4,Curves,0))</f>
        <v>3</v>
      </c>
      <c r="H27" s="125" t="n">
        <f aca="false">G27+$H$7</f>
        <v>3</v>
      </c>
      <c r="I27" s="124" t="n">
        <f aca="false">H27</f>
        <v>3</v>
      </c>
      <c r="J27" s="124" t="n">
        <f aca="false">VLOOKUP($A27,Table,MATCH(J$4,Curves,0))</f>
        <v>4</v>
      </c>
      <c r="K27" s="125" t="n">
        <f aca="false">J27+$K$7</f>
        <v>4</v>
      </c>
      <c r="L27" s="126" t="n">
        <f aca="false">K27</f>
        <v>4</v>
      </c>
      <c r="M27" s="124" t="n">
        <f aca="false">VLOOKUP($A27,Table,MATCH(M$4,Curves,0))</f>
        <v>4</v>
      </c>
      <c r="N27" s="125" t="n">
        <f aca="false">M27+$N$7</f>
        <v>4</v>
      </c>
      <c r="O27" s="126" t="n">
        <f aca="false">0.07</f>
        <v>0.07</v>
      </c>
      <c r="P27" s="114"/>
      <c r="Q27" s="126" t="n">
        <f aca="false">M27+J27+G27</f>
        <v>11</v>
      </c>
      <c r="R27" s="126" t="n">
        <f aca="false">N27+K27+H27</f>
        <v>11</v>
      </c>
      <c r="S27" s="126" t="n">
        <f aca="false">O27+L27+I27</f>
        <v>7.07</v>
      </c>
      <c r="T27" s="127"/>
      <c r="U27" s="5" t="n">
        <f aca="false">A28-A27</f>
        <v>31</v>
      </c>
      <c r="V27" s="128" t="n">
        <f aca="false">CHOOSE(F$3,A28+24,A27)</f>
        <v>37803</v>
      </c>
      <c r="W27" s="5" t="n">
        <f aca="false">V27-C$3</f>
        <v>572</v>
      </c>
      <c r="X27" s="124" t="n">
        <f aca="false">VLOOKUP($A27,Table,MATCH(X$4,Curves,0))</f>
        <v>2</v>
      </c>
      <c r="Y27" s="129" t="n">
        <f aca="false">1/(1+CHOOSE(F$3,(X28+($K$3/10000))/2,(X27+($K$3/10000))/2))^(2*W27/365.25)</f>
        <v>0.114062676745693</v>
      </c>
      <c r="Z27" s="5" t="n">
        <f aca="false">IF(AND(mthbeg&lt;=A27,mthend&gt;=A27),1,0)</f>
        <v>0</v>
      </c>
      <c r="AA27" s="5" t="n">
        <f aca="false">U27*Z27</f>
        <v>0</v>
      </c>
      <c r="AC27" s="115" t="n">
        <f aca="false">IF(G20=2,F27*(S27-Q27),F27*(Q27-S27))</f>
        <v>0</v>
      </c>
      <c r="AE27" s="116" t="n">
        <f aca="false">IF($G$3=1,F27*(R27-Q27),F27*(Q27-R27))</f>
        <v>0</v>
      </c>
      <c r="AG27" s="116" t="n">
        <f aca="false">AC27+AE27</f>
        <v>0</v>
      </c>
    </row>
    <row r="28" customFormat="false" ht="12.75" hidden="false" customHeight="false" outlineLevel="0" collapsed="false">
      <c r="A28" s="120" t="n">
        <f aca="false">EDATE(A27,1)</f>
        <v>37834</v>
      </c>
      <c r="B28" s="121" t="e">
        <f aca="false">VLOOKUP(A28,'Inputs-Summary'!$A$32:$B$41,2,FALSE())</f>
        <v>#N/A</v>
      </c>
      <c r="C28" s="122"/>
      <c r="D28" s="123" t="e">
        <f aca="false">B28+C28</f>
        <v>#N/A</v>
      </c>
      <c r="E28" s="111" t="n">
        <f aca="false">IF(Z28=0,0,IF(AND(Z28=1,$H$3=1),D28*U28,IF($H$3=2,D28,"N/A")))</f>
        <v>0</v>
      </c>
      <c r="F28" s="111" t="n">
        <f aca="false">E28*Y28</f>
        <v>0</v>
      </c>
      <c r="G28" s="124" t="n">
        <f aca="false">VLOOKUP($A28,Table,MATCH(G$4,Curves,0))</f>
        <v>3</v>
      </c>
      <c r="H28" s="125" t="n">
        <f aca="false">G28+$H$7</f>
        <v>3</v>
      </c>
      <c r="I28" s="124" t="n">
        <f aca="false">H28</f>
        <v>3</v>
      </c>
      <c r="J28" s="124" t="n">
        <f aca="false">VLOOKUP($A28,Table,MATCH(J$4,Curves,0))</f>
        <v>4</v>
      </c>
      <c r="K28" s="125" t="n">
        <f aca="false">J28+$K$7</f>
        <v>4</v>
      </c>
      <c r="L28" s="126" t="n">
        <f aca="false">K28</f>
        <v>4</v>
      </c>
      <c r="M28" s="124" t="n">
        <f aca="false">VLOOKUP($A28,Table,MATCH(M$4,Curves,0))</f>
        <v>4</v>
      </c>
      <c r="N28" s="125" t="n">
        <f aca="false">M28+$N$7</f>
        <v>4</v>
      </c>
      <c r="O28" s="126" t="n">
        <f aca="false">0.07</f>
        <v>0.07</v>
      </c>
      <c r="P28" s="114"/>
      <c r="Q28" s="126" t="n">
        <f aca="false">M28+J28+G28</f>
        <v>11</v>
      </c>
      <c r="R28" s="126" t="n">
        <f aca="false">N28+K28+H28</f>
        <v>11</v>
      </c>
      <c r="S28" s="126" t="n">
        <f aca="false">O28+L28+I28</f>
        <v>7.07</v>
      </c>
      <c r="T28" s="127"/>
      <c r="U28" s="5" t="n">
        <f aca="false">A29-A28</f>
        <v>31</v>
      </c>
      <c r="V28" s="128" t="n">
        <f aca="false">CHOOSE(F$3,A29+24,A28)</f>
        <v>37834</v>
      </c>
      <c r="W28" s="5" t="n">
        <f aca="false">V28-C$3</f>
        <v>603</v>
      </c>
      <c r="X28" s="124" t="n">
        <f aca="false">VLOOKUP($A28,Table,MATCH(X$4,Curves,0))</f>
        <v>2</v>
      </c>
      <c r="Y28" s="129" t="n">
        <f aca="false">1/(1+CHOOSE(F$3,(X29+($K$3/10000))/2,(X28+($K$3/10000))/2))^(2*W28/365.25)</f>
        <v>0.10140157392561</v>
      </c>
      <c r="Z28" s="5" t="n">
        <f aca="false">IF(AND(mthbeg&lt;=A28,mthend&gt;=A28),1,0)</f>
        <v>0</v>
      </c>
      <c r="AA28" s="5" t="n">
        <f aca="false">U28*Z28</f>
        <v>0</v>
      </c>
      <c r="AC28" s="115" t="n">
        <f aca="false">IF(G21=2,F28*(S28-Q28),F28*(Q28-S28))</f>
        <v>0</v>
      </c>
      <c r="AE28" s="116" t="n">
        <f aca="false">IF($G$3=1,F28*(R28-Q28),F28*(Q28-R28))</f>
        <v>0</v>
      </c>
      <c r="AG28" s="116" t="n">
        <f aca="false">AC28+AE28</f>
        <v>0</v>
      </c>
    </row>
    <row r="29" customFormat="false" ht="12.75" hidden="false" customHeight="false" outlineLevel="0" collapsed="false">
      <c r="A29" s="120" t="n">
        <f aca="false">EDATE(A28,1)</f>
        <v>37865</v>
      </c>
      <c r="B29" s="121" t="e">
        <f aca="false">VLOOKUP(A29,'Inputs-Summary'!$A$32:$B$41,2,FALSE())</f>
        <v>#N/A</v>
      </c>
      <c r="C29" s="122"/>
      <c r="D29" s="123" t="e">
        <f aca="false">B29+C29</f>
        <v>#N/A</v>
      </c>
      <c r="E29" s="111" t="n">
        <f aca="false">IF(Z29=0,0,IF(AND(Z29=1,$H$3=1),D29*U29,IF($H$3=2,D29,"N/A")))</f>
        <v>0</v>
      </c>
      <c r="F29" s="111" t="n">
        <f aca="false">E29*Y29</f>
        <v>0</v>
      </c>
      <c r="G29" s="124" t="n">
        <f aca="false">VLOOKUP($A29,Table,MATCH(G$4,Curves,0))</f>
        <v>3</v>
      </c>
      <c r="H29" s="125" t="n">
        <f aca="false">G29+$H$7</f>
        <v>3</v>
      </c>
      <c r="I29" s="124" t="n">
        <f aca="false">H29</f>
        <v>3</v>
      </c>
      <c r="J29" s="124" t="n">
        <f aca="false">VLOOKUP($A29,Table,MATCH(J$4,Curves,0))</f>
        <v>4</v>
      </c>
      <c r="K29" s="125" t="n">
        <f aca="false">J29+$K$7</f>
        <v>4</v>
      </c>
      <c r="L29" s="126" t="n">
        <f aca="false">K29</f>
        <v>4</v>
      </c>
      <c r="M29" s="124" t="n">
        <f aca="false">VLOOKUP($A29,Table,MATCH(M$4,Curves,0))</f>
        <v>4</v>
      </c>
      <c r="N29" s="125" t="n">
        <f aca="false">M29+$N$7</f>
        <v>4</v>
      </c>
      <c r="O29" s="126" t="n">
        <f aca="false">0.07</f>
        <v>0.07</v>
      </c>
      <c r="P29" s="114"/>
      <c r="Q29" s="126" t="n">
        <f aca="false">M29+J29+G29</f>
        <v>11</v>
      </c>
      <c r="R29" s="126" t="n">
        <f aca="false">N29+K29+H29</f>
        <v>11</v>
      </c>
      <c r="S29" s="126" t="n">
        <f aca="false">O29+L29+I29</f>
        <v>7.07</v>
      </c>
      <c r="T29" s="127"/>
      <c r="U29" s="5" t="n">
        <f aca="false">A30-A29</f>
        <v>30</v>
      </c>
      <c r="V29" s="128" t="n">
        <f aca="false">CHOOSE(F$3,A30+24,A29)</f>
        <v>37865</v>
      </c>
      <c r="W29" s="5" t="n">
        <f aca="false">V29-C$3</f>
        <v>634</v>
      </c>
      <c r="X29" s="124" t="n">
        <f aca="false">VLOOKUP($A29,Table,MATCH(X$4,Curves,0))</f>
        <v>2</v>
      </c>
      <c r="Y29" s="129" t="n">
        <f aca="false">1/(1+CHOOSE(F$3,(X30+($K$3/10000))/2,(X29+($K$3/10000))/2))^(2*W29/365.25)</f>
        <v>0.0901458696915883</v>
      </c>
      <c r="Z29" s="5" t="n">
        <f aca="false">IF(AND(mthbeg&lt;=A29,mthend&gt;=A29),1,0)</f>
        <v>0</v>
      </c>
      <c r="AA29" s="5" t="n">
        <f aca="false">U29*Z29</f>
        <v>0</v>
      </c>
      <c r="AC29" s="115" t="n">
        <f aca="false">IF(G22=2,F29*(S29-Q29),F29*(Q29-S29))</f>
        <v>0</v>
      </c>
      <c r="AE29" s="116" t="n">
        <f aca="false">IF($G$3=1,F29*(R29-Q29),F29*(Q29-R29))</f>
        <v>0</v>
      </c>
      <c r="AG29" s="116" t="n">
        <f aca="false">AC29+AE29</f>
        <v>0</v>
      </c>
    </row>
    <row r="30" customFormat="false" ht="12.75" hidden="false" customHeight="false" outlineLevel="0" collapsed="false">
      <c r="A30" s="120" t="n">
        <f aca="false">EDATE(A29,1)</f>
        <v>37895</v>
      </c>
      <c r="B30" s="121" t="e">
        <f aca="false">VLOOKUP(A30,'Inputs-Summary'!$A$32:$B$41,2,FALSE())</f>
        <v>#N/A</v>
      </c>
      <c r="C30" s="122"/>
      <c r="D30" s="123" t="e">
        <f aca="false">B30+C30</f>
        <v>#N/A</v>
      </c>
      <c r="E30" s="111" t="n">
        <f aca="false">IF(Z30=0,0,IF(AND(Z30=1,$H$3=1),D30*U30,IF($H$3=2,D30,"N/A")))</f>
        <v>0</v>
      </c>
      <c r="F30" s="111" t="n">
        <f aca="false">E30*Y30</f>
        <v>0</v>
      </c>
      <c r="G30" s="124" t="n">
        <f aca="false">VLOOKUP($A30,Table,MATCH(G$4,Curves,0))</f>
        <v>3</v>
      </c>
      <c r="H30" s="125" t="n">
        <f aca="false">G30+$H$7</f>
        <v>3</v>
      </c>
      <c r="I30" s="124" t="n">
        <f aca="false">H30</f>
        <v>3</v>
      </c>
      <c r="J30" s="124" t="n">
        <f aca="false">VLOOKUP($A30,Table,MATCH(J$4,Curves,0))</f>
        <v>4</v>
      </c>
      <c r="K30" s="125" t="n">
        <f aca="false">J30+$K$7</f>
        <v>4</v>
      </c>
      <c r="L30" s="126" t="n">
        <f aca="false">K30</f>
        <v>4</v>
      </c>
      <c r="M30" s="124" t="n">
        <f aca="false">VLOOKUP($A30,Table,MATCH(M$4,Curves,0))</f>
        <v>4</v>
      </c>
      <c r="N30" s="125" t="n">
        <f aca="false">M30+$N$7</f>
        <v>4</v>
      </c>
      <c r="O30" s="126" t="n">
        <f aca="false">0.07</f>
        <v>0.07</v>
      </c>
      <c r="P30" s="114"/>
      <c r="Q30" s="126" t="n">
        <f aca="false">M30+J30+G30</f>
        <v>11</v>
      </c>
      <c r="R30" s="126" t="n">
        <f aca="false">N30+K30+H30</f>
        <v>11</v>
      </c>
      <c r="S30" s="126" t="n">
        <f aca="false">O30+L30+I30</f>
        <v>7.07</v>
      </c>
      <c r="T30" s="127"/>
      <c r="U30" s="5" t="n">
        <f aca="false">A31-A30</f>
        <v>31</v>
      </c>
      <c r="V30" s="128" t="n">
        <f aca="false">CHOOSE(F$3,A31+24,A30)</f>
        <v>37895</v>
      </c>
      <c r="W30" s="5" t="n">
        <f aca="false">V30-C$3</f>
        <v>664</v>
      </c>
      <c r="X30" s="124" t="n">
        <f aca="false">VLOOKUP($A30,Table,MATCH(X$4,Curves,0))</f>
        <v>2</v>
      </c>
      <c r="Y30" s="129" t="n">
        <f aca="false">1/(1+CHOOSE(F$3,(X31+($K$3/10000))/2,(X30+($K$3/10000))/2))^(2*W30/365.25)</f>
        <v>0.0804443080398083</v>
      </c>
      <c r="Z30" s="5" t="n">
        <f aca="false">IF(AND(mthbeg&lt;=A30,mthend&gt;=A30),1,0)</f>
        <v>0</v>
      </c>
      <c r="AA30" s="5" t="n">
        <f aca="false">U30*Z30</f>
        <v>0</v>
      </c>
      <c r="AC30" s="115" t="n">
        <f aca="false">IF(G23=2,F30*(S30-Q30),F30*(Q30-S30))</f>
        <v>0</v>
      </c>
      <c r="AE30" s="116" t="n">
        <f aca="false">IF($G$3=1,F30*(R30-Q30),F30*(Q30-R30))</f>
        <v>0</v>
      </c>
      <c r="AG30" s="116" t="n">
        <f aca="false">AC30+AE30</f>
        <v>0</v>
      </c>
    </row>
    <row r="31" customFormat="false" ht="12.75" hidden="false" customHeight="false" outlineLevel="0" collapsed="false">
      <c r="A31" s="120" t="n">
        <f aca="false">EDATE(A30,1)</f>
        <v>37926</v>
      </c>
      <c r="B31" s="121" t="e">
        <f aca="false">VLOOKUP(A31,'Inputs-Summary'!$A$32:$B$41,2,FALSE())</f>
        <v>#N/A</v>
      </c>
      <c r="C31" s="122"/>
      <c r="D31" s="123" t="e">
        <f aca="false">B31+C31</f>
        <v>#N/A</v>
      </c>
      <c r="E31" s="111" t="n">
        <f aca="false">IF(Z31=0,0,IF(AND(Z31=1,$H$3=1),D31*U31,IF($H$3=2,D31,"N/A")))</f>
        <v>0</v>
      </c>
      <c r="F31" s="111" t="n">
        <f aca="false">E31*Y31</f>
        <v>0</v>
      </c>
      <c r="G31" s="124" t="n">
        <f aca="false">VLOOKUP($A31,Table,MATCH(G$4,Curves,0))</f>
        <v>3</v>
      </c>
      <c r="H31" s="125" t="n">
        <f aca="false">G31+$H$7</f>
        <v>3</v>
      </c>
      <c r="I31" s="124" t="n">
        <f aca="false">H31</f>
        <v>3</v>
      </c>
      <c r="J31" s="124" t="n">
        <f aca="false">VLOOKUP($A31,Table,MATCH(J$4,Curves,0))</f>
        <v>4</v>
      </c>
      <c r="K31" s="125" t="n">
        <f aca="false">J31+$K$7</f>
        <v>4</v>
      </c>
      <c r="L31" s="126" t="n">
        <f aca="false">K31</f>
        <v>4</v>
      </c>
      <c r="M31" s="124" t="n">
        <f aca="false">VLOOKUP($A31,Table,MATCH(M$4,Curves,0))</f>
        <v>4</v>
      </c>
      <c r="N31" s="125" t="n">
        <f aca="false">M31+$N$7</f>
        <v>4</v>
      </c>
      <c r="O31" s="126" t="n">
        <f aca="false">0.07</f>
        <v>0.07</v>
      </c>
      <c r="P31" s="114"/>
      <c r="Q31" s="126" t="n">
        <f aca="false">M31+J31+G31</f>
        <v>11</v>
      </c>
      <c r="R31" s="126" t="n">
        <f aca="false">N31+K31+H31</f>
        <v>11</v>
      </c>
      <c r="S31" s="126" t="n">
        <f aca="false">O31+L31+I31</f>
        <v>7.07</v>
      </c>
      <c r="T31" s="127"/>
      <c r="U31" s="5" t="n">
        <f aca="false">A32-A31</f>
        <v>30</v>
      </c>
      <c r="V31" s="128" t="n">
        <f aca="false">CHOOSE(F$3,A32+24,A31)</f>
        <v>37926</v>
      </c>
      <c r="W31" s="5" t="n">
        <f aca="false">V31-C$3</f>
        <v>695</v>
      </c>
      <c r="X31" s="124" t="n">
        <f aca="false">VLOOKUP($A31,Table,MATCH(X$4,Curves,0))</f>
        <v>2</v>
      </c>
      <c r="Y31" s="129" t="n">
        <f aca="false">1/(1+CHOOSE(F$3,(X32+($K$3/10000))/2,(X31+($K$3/10000))/2))^(2*W31/365.25)</f>
        <v>0.0715148870894894</v>
      </c>
      <c r="Z31" s="5" t="n">
        <f aca="false">IF(AND(mthbeg&lt;=A31,mthend&gt;=A31),1,0)</f>
        <v>0</v>
      </c>
      <c r="AA31" s="5" t="n">
        <f aca="false">U31*Z31</f>
        <v>0</v>
      </c>
      <c r="AC31" s="115" t="n">
        <f aca="false">IF(G24=2,F31*(S31-Q31),F31*(Q31-S31))</f>
        <v>0</v>
      </c>
      <c r="AE31" s="116" t="n">
        <f aca="false">IF($G$3=1,F31*(R31-Q31),F31*(Q31-R31))</f>
        <v>0</v>
      </c>
      <c r="AG31" s="116" t="n">
        <f aca="false">AC31+AE31</f>
        <v>0</v>
      </c>
    </row>
    <row r="32" customFormat="false" ht="12.75" hidden="false" customHeight="false" outlineLevel="0" collapsed="false">
      <c r="A32" s="120" t="n">
        <f aca="false">EDATE(A31,1)</f>
        <v>37956</v>
      </c>
      <c r="B32" s="121" t="e">
        <f aca="false">VLOOKUP(A32,'Inputs-Summary'!$A$32:$B$41,2,FALSE())</f>
        <v>#N/A</v>
      </c>
      <c r="C32" s="122"/>
      <c r="D32" s="123" t="e">
        <f aca="false">B32+C32</f>
        <v>#N/A</v>
      </c>
      <c r="E32" s="111" t="n">
        <f aca="false">IF(Z32=0,0,IF(AND(Z32=1,$H$3=1),D32*U32,IF($H$3=2,D32,"N/A")))</f>
        <v>0</v>
      </c>
      <c r="F32" s="111" t="n">
        <f aca="false">E32*Y32</f>
        <v>0</v>
      </c>
      <c r="G32" s="124" t="n">
        <f aca="false">VLOOKUP($A32,Table,MATCH(G$4,Curves,0))</f>
        <v>3</v>
      </c>
      <c r="H32" s="125" t="n">
        <f aca="false">G32+$H$7</f>
        <v>3</v>
      </c>
      <c r="I32" s="124" t="n">
        <f aca="false">H32</f>
        <v>3</v>
      </c>
      <c r="J32" s="124" t="n">
        <f aca="false">VLOOKUP($A32,Table,MATCH(J$4,Curves,0))</f>
        <v>4</v>
      </c>
      <c r="K32" s="125" t="n">
        <f aca="false">J32+$K$7</f>
        <v>4</v>
      </c>
      <c r="L32" s="126" t="n">
        <f aca="false">K32</f>
        <v>4</v>
      </c>
      <c r="M32" s="124" t="n">
        <f aca="false">VLOOKUP($A32,Table,MATCH(M$4,Curves,0))</f>
        <v>4</v>
      </c>
      <c r="N32" s="125" t="n">
        <f aca="false">M32+$N$7</f>
        <v>4</v>
      </c>
      <c r="O32" s="126" t="n">
        <f aca="false">0.07</f>
        <v>0.07</v>
      </c>
      <c r="P32" s="114"/>
      <c r="Q32" s="126" t="n">
        <f aca="false">M32+J32+G32</f>
        <v>11</v>
      </c>
      <c r="R32" s="126" t="n">
        <f aca="false">N32+K32+H32</f>
        <v>11</v>
      </c>
      <c r="S32" s="126" t="n">
        <f aca="false">O32+L32+I32</f>
        <v>7.07</v>
      </c>
      <c r="T32" s="127"/>
      <c r="U32" s="5" t="n">
        <f aca="false">A33-A32</f>
        <v>31</v>
      </c>
      <c r="V32" s="128" t="n">
        <f aca="false">CHOOSE(F$3,A33+24,A32)</f>
        <v>37956</v>
      </c>
      <c r="W32" s="5" t="n">
        <f aca="false">V32-C$3</f>
        <v>725</v>
      </c>
      <c r="X32" s="124" t="n">
        <f aca="false">VLOOKUP($A32,Table,MATCH(X$4,Curves,0))</f>
        <v>2</v>
      </c>
      <c r="Y32" s="129" t="n">
        <f aca="false">1/(1+CHOOSE(F$3,(X33+($K$3/10000))/2,(X32+($K$3/10000))/2))^(2*W32/365.25)</f>
        <v>0.0638184048380845</v>
      </c>
      <c r="Z32" s="5" t="n">
        <f aca="false">IF(AND(mthbeg&lt;=A32,mthend&gt;=A32),1,0)</f>
        <v>0</v>
      </c>
      <c r="AA32" s="5" t="n">
        <f aca="false">U32*Z32</f>
        <v>0</v>
      </c>
      <c r="AC32" s="115" t="n">
        <f aca="false">IF(G25=2,F32*(S32-Q32),F32*(Q32-S32))</f>
        <v>0</v>
      </c>
      <c r="AE32" s="116" t="n">
        <f aca="false">IF($G$3=1,F32*(R32-Q32),F32*(Q32-R32))</f>
        <v>0</v>
      </c>
      <c r="AG32" s="116" t="n">
        <f aca="false">AC32+AE32</f>
        <v>0</v>
      </c>
    </row>
    <row r="33" customFormat="false" ht="12.75" hidden="false" customHeight="false" outlineLevel="0" collapsed="false">
      <c r="A33" s="120" t="n">
        <f aca="false">EDATE(A32,1)</f>
        <v>37987</v>
      </c>
      <c r="B33" s="121" t="e">
        <f aca="false">VLOOKUP(A33,'Inputs-Summary'!$A$32:$B$41,2,FALSE())</f>
        <v>#N/A</v>
      </c>
      <c r="C33" s="122"/>
      <c r="D33" s="123" t="e">
        <f aca="false">B33+C33</f>
        <v>#N/A</v>
      </c>
      <c r="E33" s="111" t="n">
        <f aca="false">IF(Z33=0,0,IF(AND(Z33=1,$H$3=1),D33*U33,IF($H$3=2,D33,"N/A")))</f>
        <v>0</v>
      </c>
      <c r="F33" s="111" t="n">
        <f aca="false">E33*Y33</f>
        <v>0</v>
      </c>
      <c r="G33" s="124" t="n">
        <f aca="false">VLOOKUP($A33,Table,MATCH(G$4,Curves,0))</f>
        <v>3</v>
      </c>
      <c r="H33" s="125" t="n">
        <f aca="false">G33+$H$7</f>
        <v>3</v>
      </c>
      <c r="I33" s="124" t="n">
        <f aca="false">H33</f>
        <v>3</v>
      </c>
      <c r="J33" s="124" t="n">
        <f aca="false">VLOOKUP($A33,Table,MATCH(J$4,Curves,0))</f>
        <v>4</v>
      </c>
      <c r="K33" s="125" t="n">
        <f aca="false">J33+$K$7</f>
        <v>4</v>
      </c>
      <c r="L33" s="126" t="n">
        <f aca="false">K33</f>
        <v>4</v>
      </c>
      <c r="M33" s="124" t="n">
        <f aca="false">VLOOKUP($A33,Table,MATCH(M$4,Curves,0))</f>
        <v>4</v>
      </c>
      <c r="N33" s="125" t="n">
        <f aca="false">M33+$N$7</f>
        <v>4</v>
      </c>
      <c r="O33" s="126" t="n">
        <f aca="false">0.07</f>
        <v>0.07</v>
      </c>
      <c r="P33" s="114"/>
      <c r="Q33" s="126" t="n">
        <f aca="false">M33+J33+G33</f>
        <v>11</v>
      </c>
      <c r="R33" s="126" t="n">
        <f aca="false">N33+K33+H33</f>
        <v>11</v>
      </c>
      <c r="S33" s="126" t="n">
        <f aca="false">O33+L33+I33</f>
        <v>7.07</v>
      </c>
      <c r="T33" s="127"/>
      <c r="U33" s="5" t="n">
        <f aca="false">A34-A33</f>
        <v>31</v>
      </c>
      <c r="V33" s="128" t="n">
        <f aca="false">CHOOSE(F$3,A34+24,A33)</f>
        <v>37987</v>
      </c>
      <c r="W33" s="5" t="n">
        <f aca="false">V33-C$3</f>
        <v>756</v>
      </c>
      <c r="X33" s="124" t="n">
        <f aca="false">VLOOKUP($A33,Table,MATCH(X$4,Curves,0))</f>
        <v>2</v>
      </c>
      <c r="Y33" s="129" t="n">
        <f aca="false">1/(1+CHOOSE(F$3,(X34+($K$3/10000))/2,(X33+($K$3/10000))/2))^(2*W33/365.25)</f>
        <v>0.0567344803807429</v>
      </c>
      <c r="Z33" s="5" t="n">
        <f aca="false">IF(AND(mthbeg&lt;=A33,mthend&gt;=A33),1,0)</f>
        <v>0</v>
      </c>
      <c r="AA33" s="5" t="n">
        <f aca="false">U33*Z33</f>
        <v>0</v>
      </c>
      <c r="AC33" s="115" t="n">
        <f aca="false">IF(G26=2,F33*(S33-Q33),F33*(Q33-S33))</f>
        <v>0</v>
      </c>
      <c r="AE33" s="116" t="n">
        <f aca="false">IF($G$3=1,F33*(R33-Q33),F33*(Q33-R33))</f>
        <v>0</v>
      </c>
      <c r="AG33" s="116" t="n">
        <f aca="false">AC33+AE33</f>
        <v>0</v>
      </c>
    </row>
    <row r="34" customFormat="false" ht="12.75" hidden="false" customHeight="false" outlineLevel="0" collapsed="false">
      <c r="A34" s="120" t="n">
        <f aca="false">EDATE(A33,1)</f>
        <v>38018</v>
      </c>
      <c r="B34" s="121" t="e">
        <f aca="false">VLOOKUP(A34,'Inputs-Summary'!$A$32:$B$41,2,FALSE())</f>
        <v>#N/A</v>
      </c>
      <c r="C34" s="122"/>
      <c r="D34" s="123" t="e">
        <f aca="false">B34+C34</f>
        <v>#N/A</v>
      </c>
      <c r="E34" s="111" t="n">
        <f aca="false">IF(Z34=0,0,IF(AND(Z34=1,$H$3=1),D34*U34,IF($H$3=2,D34,"N/A")))</f>
        <v>0</v>
      </c>
      <c r="F34" s="111" t="n">
        <f aca="false">E34*Y34</f>
        <v>0</v>
      </c>
      <c r="G34" s="124" t="n">
        <f aca="false">VLOOKUP($A34,Table,MATCH(G$4,Curves,0))</f>
        <v>3</v>
      </c>
      <c r="H34" s="125" t="n">
        <f aca="false">G34+$H$7</f>
        <v>3</v>
      </c>
      <c r="I34" s="124" t="n">
        <f aca="false">H34</f>
        <v>3</v>
      </c>
      <c r="J34" s="124" t="n">
        <f aca="false">VLOOKUP($A34,Table,MATCH(J$4,Curves,0))</f>
        <v>4</v>
      </c>
      <c r="K34" s="125" t="n">
        <f aca="false">J34+$K$7</f>
        <v>4</v>
      </c>
      <c r="L34" s="126" t="n">
        <f aca="false">K34</f>
        <v>4</v>
      </c>
      <c r="M34" s="124" t="n">
        <f aca="false">VLOOKUP($A34,Table,MATCH(M$4,Curves,0))</f>
        <v>4</v>
      </c>
      <c r="N34" s="125" t="n">
        <f aca="false">M34+$N$7</f>
        <v>4</v>
      </c>
      <c r="O34" s="126" t="n">
        <f aca="false">0.07</f>
        <v>0.07</v>
      </c>
      <c r="P34" s="114"/>
      <c r="Q34" s="126" t="n">
        <f aca="false">M34+J34+G34</f>
        <v>11</v>
      </c>
      <c r="R34" s="126" t="n">
        <f aca="false">N34+K34+H34</f>
        <v>11</v>
      </c>
      <c r="S34" s="126" t="n">
        <f aca="false">O34+L34+I34</f>
        <v>7.07</v>
      </c>
      <c r="T34" s="127"/>
      <c r="U34" s="5" t="n">
        <f aca="false">A35-A34</f>
        <v>29</v>
      </c>
      <c r="V34" s="128" t="n">
        <f aca="false">CHOOSE(F$3,A35+24,A34)</f>
        <v>38018</v>
      </c>
      <c r="W34" s="5" t="n">
        <f aca="false">V34-C$3</f>
        <v>787</v>
      </c>
      <c r="X34" s="124" t="n">
        <f aca="false">VLOOKUP($A34,Table,MATCH(X$4,Curves,0))</f>
        <v>2</v>
      </c>
      <c r="Y34" s="129" t="n">
        <f aca="false">1/(1+CHOOSE(F$3,(X35+($K$3/10000))/2,(X34+($K$3/10000))/2))^(2*W34/365.25)</f>
        <v>0.0504368805870252</v>
      </c>
      <c r="Z34" s="5" t="n">
        <f aca="false">IF(AND(mthbeg&lt;=A34,mthend&gt;=A34),1,0)</f>
        <v>0</v>
      </c>
      <c r="AA34" s="5" t="n">
        <f aca="false">U34*Z34</f>
        <v>0</v>
      </c>
      <c r="AC34" s="115" t="n">
        <f aca="false">IF(G27=2,F34*(S34-Q34),F34*(Q34-S34))</f>
        <v>0</v>
      </c>
      <c r="AE34" s="116" t="n">
        <f aca="false">IF($G$3=1,F34*(R34-Q34),F34*(Q34-R34))</f>
        <v>0</v>
      </c>
      <c r="AG34" s="116" t="n">
        <f aca="false">AC34+AE34</f>
        <v>0</v>
      </c>
    </row>
    <row r="35" customFormat="false" ht="12.75" hidden="false" customHeight="false" outlineLevel="0" collapsed="false">
      <c r="A35" s="120" t="n">
        <f aca="false">EDATE(A34,1)</f>
        <v>38047</v>
      </c>
      <c r="B35" s="121" t="e">
        <f aca="false">VLOOKUP(A35,'Inputs-Summary'!$A$32:$B$41,2,FALSE())</f>
        <v>#N/A</v>
      </c>
      <c r="C35" s="122"/>
      <c r="D35" s="123" t="e">
        <f aca="false">B35+C35</f>
        <v>#N/A</v>
      </c>
      <c r="E35" s="111" t="n">
        <f aca="false">IF(Z35=0,0,IF(AND(Z35=1,$H$3=1),D35*U35,IF($H$3=2,D35,"N/A")))</f>
        <v>0</v>
      </c>
      <c r="F35" s="111" t="n">
        <f aca="false">E35*Y35</f>
        <v>0</v>
      </c>
      <c r="G35" s="124" t="n">
        <f aca="false">VLOOKUP($A35,Table,MATCH(G$4,Curves,0))</f>
        <v>3</v>
      </c>
      <c r="H35" s="125" t="n">
        <f aca="false">G35+$H$7</f>
        <v>3</v>
      </c>
      <c r="I35" s="124" t="n">
        <f aca="false">H35</f>
        <v>3</v>
      </c>
      <c r="J35" s="124" t="n">
        <f aca="false">VLOOKUP($A35,Table,MATCH(J$4,Curves,0))</f>
        <v>4</v>
      </c>
      <c r="K35" s="125" t="n">
        <f aca="false">J35+$K$7</f>
        <v>4</v>
      </c>
      <c r="L35" s="126" t="n">
        <f aca="false">K35</f>
        <v>4</v>
      </c>
      <c r="M35" s="124" t="n">
        <f aca="false">VLOOKUP($A35,Table,MATCH(M$4,Curves,0))</f>
        <v>4</v>
      </c>
      <c r="N35" s="125" t="n">
        <f aca="false">M35+$N$7</f>
        <v>4</v>
      </c>
      <c r="O35" s="126" t="n">
        <f aca="false">0.07</f>
        <v>0.07</v>
      </c>
      <c r="P35" s="114"/>
      <c r="Q35" s="126" t="n">
        <f aca="false">M35+J35+G35</f>
        <v>11</v>
      </c>
      <c r="R35" s="126" t="n">
        <f aca="false">N35+K35+H35</f>
        <v>11</v>
      </c>
      <c r="S35" s="126" t="n">
        <f aca="false">O35+L35+I35</f>
        <v>7.07</v>
      </c>
      <c r="T35" s="127"/>
      <c r="U35" s="5" t="n">
        <f aca="false">A36-A35</f>
        <v>31</v>
      </c>
      <c r="V35" s="128" t="n">
        <f aca="false">CHOOSE(F$3,A36+24,A35)</f>
        <v>38047</v>
      </c>
      <c r="W35" s="5" t="n">
        <f aca="false">V35-C$3</f>
        <v>816</v>
      </c>
      <c r="X35" s="124" t="n">
        <f aca="false">VLOOKUP($A35,Table,MATCH(X$4,Curves,0))</f>
        <v>2</v>
      </c>
      <c r="Y35" s="129" t="n">
        <f aca="false">1/(1+CHOOSE(F$3,(X36+($K$3/10000))/2,(X35+($K$3/10000))/2))^(2*W35/365.25)</f>
        <v>0.0451799822888358</v>
      </c>
      <c r="Z35" s="5" t="n">
        <f aca="false">IF(AND(mthbeg&lt;=A35,mthend&gt;=A35),1,0)</f>
        <v>0</v>
      </c>
      <c r="AA35" s="5" t="n">
        <f aca="false">U35*Z35</f>
        <v>0</v>
      </c>
      <c r="AC35" s="115" t="n">
        <f aca="false">IF(G28=2,F35*(S35-Q35),F35*(Q35-S35))</f>
        <v>0</v>
      </c>
      <c r="AE35" s="116" t="n">
        <f aca="false">IF($G$3=1,F35*(R35-Q35),F35*(Q35-R35))</f>
        <v>0</v>
      </c>
      <c r="AG35" s="116" t="n">
        <f aca="false">AC35+AE35</f>
        <v>0</v>
      </c>
    </row>
    <row r="36" customFormat="false" ht="12.75" hidden="false" customHeight="false" outlineLevel="0" collapsed="false">
      <c r="A36" s="120" t="n">
        <f aca="false">EDATE(A35,1)</f>
        <v>38078</v>
      </c>
      <c r="B36" s="121" t="e">
        <f aca="false">VLOOKUP(A36,'Inputs-Summary'!$A$32:$B$41,2,FALSE())</f>
        <v>#N/A</v>
      </c>
      <c r="C36" s="122"/>
      <c r="D36" s="123" t="e">
        <f aca="false">B36+C36</f>
        <v>#N/A</v>
      </c>
      <c r="E36" s="111" t="n">
        <f aca="false">IF(Z36=0,0,IF(AND(Z36=1,$H$3=1),D36*U36,IF($H$3=2,D36,"N/A")))</f>
        <v>0</v>
      </c>
      <c r="F36" s="111" t="n">
        <f aca="false">E36*Y36</f>
        <v>0</v>
      </c>
      <c r="G36" s="124" t="n">
        <f aca="false">VLOOKUP($A36,Table,MATCH(G$4,Curves,0))</f>
        <v>3</v>
      </c>
      <c r="H36" s="125" t="n">
        <f aca="false">G36+$H$7</f>
        <v>3</v>
      </c>
      <c r="I36" s="124" t="n">
        <f aca="false">H36</f>
        <v>3</v>
      </c>
      <c r="J36" s="124" t="n">
        <f aca="false">VLOOKUP($A36,Table,MATCH(J$4,Curves,0))</f>
        <v>4</v>
      </c>
      <c r="K36" s="125" t="n">
        <f aca="false">J36+$K$7</f>
        <v>4</v>
      </c>
      <c r="L36" s="126" t="n">
        <f aca="false">K36</f>
        <v>4</v>
      </c>
      <c r="M36" s="124" t="n">
        <f aca="false">VLOOKUP($A36,Table,MATCH(M$4,Curves,0))</f>
        <v>4</v>
      </c>
      <c r="N36" s="125" t="n">
        <f aca="false">M36+$N$7</f>
        <v>4</v>
      </c>
      <c r="O36" s="126" t="n">
        <f aca="false">0.07</f>
        <v>0.07</v>
      </c>
      <c r="P36" s="114"/>
      <c r="Q36" s="126" t="n">
        <f aca="false">M36+J36+G36</f>
        <v>11</v>
      </c>
      <c r="R36" s="126" t="n">
        <f aca="false">N36+K36+H36</f>
        <v>11</v>
      </c>
      <c r="S36" s="126" t="n">
        <f aca="false">O36+L36+I36</f>
        <v>7.07</v>
      </c>
      <c r="T36" s="127"/>
      <c r="U36" s="5" t="n">
        <f aca="false">A37-A36</f>
        <v>30</v>
      </c>
      <c r="V36" s="128" t="n">
        <f aca="false">CHOOSE(F$3,A37+24,A36)</f>
        <v>38078</v>
      </c>
      <c r="W36" s="5" t="n">
        <f aca="false">V36-C$3</f>
        <v>847</v>
      </c>
      <c r="X36" s="124" t="n">
        <f aca="false">VLOOKUP($A36,Table,MATCH(X$4,Curves,0))</f>
        <v>2</v>
      </c>
      <c r="Y36" s="129" t="n">
        <f aca="false">1/(1+CHOOSE(F$3,(X37+($K$3/10000))/2,(X36+($K$3/10000))/2))^(2*W36/365.25)</f>
        <v>0.0401649465427973</v>
      </c>
      <c r="Z36" s="5" t="n">
        <f aca="false">IF(AND(mthbeg&lt;=A36,mthend&gt;=A36),1,0)</f>
        <v>0</v>
      </c>
      <c r="AA36" s="5" t="n">
        <f aca="false">U36*Z36</f>
        <v>0</v>
      </c>
      <c r="AC36" s="115" t="n">
        <f aca="false">IF(G29=2,F36*(S36-Q36),F36*(Q36-S36))</f>
        <v>0</v>
      </c>
      <c r="AE36" s="116" t="n">
        <f aca="false">IF($G$3=1,F36*(R36-Q36),F36*(Q36-R36))</f>
        <v>0</v>
      </c>
      <c r="AG36" s="116" t="n">
        <f aca="false">AC36+AE36</f>
        <v>0</v>
      </c>
    </row>
    <row r="37" customFormat="false" ht="12.75" hidden="false" customHeight="false" outlineLevel="0" collapsed="false">
      <c r="A37" s="120" t="n">
        <f aca="false">EDATE(A36,1)</f>
        <v>38108</v>
      </c>
      <c r="B37" s="121" t="e">
        <f aca="false">VLOOKUP(A37,'Inputs-Summary'!$A$32:$B$41,2,FALSE())</f>
        <v>#N/A</v>
      </c>
      <c r="C37" s="122"/>
      <c r="D37" s="123" t="e">
        <f aca="false">B37+C37</f>
        <v>#N/A</v>
      </c>
      <c r="E37" s="111" t="n">
        <f aca="false">IF(Z37=0,0,IF(AND(Z37=1,$H$3=1),D37*U37,IF($H$3=2,D37,"N/A")))</f>
        <v>0</v>
      </c>
      <c r="F37" s="111" t="n">
        <f aca="false">E37*Y37</f>
        <v>0</v>
      </c>
      <c r="G37" s="124" t="n">
        <f aca="false">VLOOKUP($A37,Table,MATCH(G$4,Curves,0))</f>
        <v>3</v>
      </c>
      <c r="H37" s="125" t="n">
        <f aca="false">G37+$H$7</f>
        <v>3</v>
      </c>
      <c r="I37" s="124" t="n">
        <f aca="false">H37</f>
        <v>3</v>
      </c>
      <c r="J37" s="124" t="n">
        <f aca="false">VLOOKUP($A37,Table,MATCH(J$4,Curves,0))</f>
        <v>4</v>
      </c>
      <c r="K37" s="125" t="n">
        <f aca="false">J37+$K$7</f>
        <v>4</v>
      </c>
      <c r="L37" s="126" t="n">
        <f aca="false">K37</f>
        <v>4</v>
      </c>
      <c r="M37" s="124" t="n">
        <f aca="false">VLOOKUP($A37,Table,MATCH(M$4,Curves,0))</f>
        <v>4</v>
      </c>
      <c r="N37" s="125" t="n">
        <f aca="false">M37+$N$7</f>
        <v>4</v>
      </c>
      <c r="O37" s="126" t="n">
        <f aca="false">0.07</f>
        <v>0.07</v>
      </c>
      <c r="P37" s="114"/>
      <c r="Q37" s="126" t="n">
        <f aca="false">M37+J37+G37</f>
        <v>11</v>
      </c>
      <c r="R37" s="126" t="n">
        <f aca="false">N37+K37+H37</f>
        <v>11</v>
      </c>
      <c r="S37" s="126" t="n">
        <f aca="false">O37+L37+I37</f>
        <v>7.07</v>
      </c>
      <c r="T37" s="127"/>
      <c r="U37" s="5" t="n">
        <f aca="false">A38-A37</f>
        <v>31</v>
      </c>
      <c r="V37" s="128" t="n">
        <f aca="false">CHOOSE(F$3,A38+24,A37)</f>
        <v>38108</v>
      </c>
      <c r="W37" s="5" t="n">
        <f aca="false">V37-C$3</f>
        <v>877</v>
      </c>
      <c r="X37" s="124" t="n">
        <f aca="false">VLOOKUP($A37,Table,MATCH(X$4,Curves,0))</f>
        <v>2</v>
      </c>
      <c r="Y37" s="129" t="n">
        <f aca="false">1/(1+CHOOSE(F$3,(X38+($K$3/10000))/2,(X37+($K$3/10000))/2))^(2*W37/365.25)</f>
        <v>0.0358423668565784</v>
      </c>
      <c r="Z37" s="5" t="n">
        <f aca="false">IF(AND(mthbeg&lt;=A37,mthend&gt;=A37),1,0)</f>
        <v>0</v>
      </c>
      <c r="AA37" s="5" t="n">
        <f aca="false">U37*Z37</f>
        <v>0</v>
      </c>
      <c r="AC37" s="115" t="n">
        <f aca="false">IF(G30=2,F37*(S37-Q37),F37*(Q37-S37))</f>
        <v>0</v>
      </c>
      <c r="AE37" s="116" t="n">
        <f aca="false">IF($G$3=1,F37*(R37-Q37),F37*(Q37-R37))</f>
        <v>0</v>
      </c>
      <c r="AG37" s="116" t="n">
        <f aca="false">AC37+AE37</f>
        <v>0</v>
      </c>
    </row>
    <row r="38" customFormat="false" ht="12.75" hidden="false" customHeight="false" outlineLevel="0" collapsed="false">
      <c r="A38" s="120" t="n">
        <f aca="false">EDATE(A37,1)</f>
        <v>38139</v>
      </c>
      <c r="B38" s="121" t="e">
        <f aca="false">VLOOKUP(A38,'Inputs-Summary'!$A$32:$B$41,2,FALSE())</f>
        <v>#N/A</v>
      </c>
      <c r="C38" s="122"/>
      <c r="D38" s="123" t="e">
        <f aca="false">B38+C38</f>
        <v>#N/A</v>
      </c>
      <c r="E38" s="111" t="n">
        <f aca="false">IF(Z38=0,0,IF(AND(Z38=1,$H$3=1),D38*U38,IF($H$3=2,D38,"N/A")))</f>
        <v>0</v>
      </c>
      <c r="F38" s="111" t="n">
        <f aca="false">E38*Y38</f>
        <v>0</v>
      </c>
      <c r="G38" s="124" t="n">
        <f aca="false">VLOOKUP($A38,Table,MATCH(G$4,Curves,0))</f>
        <v>3</v>
      </c>
      <c r="H38" s="125" t="n">
        <f aca="false">G38+$H$7</f>
        <v>3</v>
      </c>
      <c r="I38" s="124" t="n">
        <f aca="false">H38</f>
        <v>3</v>
      </c>
      <c r="J38" s="124" t="n">
        <f aca="false">VLOOKUP($A38,Table,MATCH(J$4,Curves,0))</f>
        <v>4</v>
      </c>
      <c r="K38" s="125" t="n">
        <f aca="false">J38+$K$7</f>
        <v>4</v>
      </c>
      <c r="L38" s="126" t="n">
        <f aca="false">K38</f>
        <v>4</v>
      </c>
      <c r="M38" s="124" t="n">
        <f aca="false">VLOOKUP($A38,Table,MATCH(M$4,Curves,0))</f>
        <v>4</v>
      </c>
      <c r="N38" s="125" t="n">
        <f aca="false">M38+$N$7</f>
        <v>4</v>
      </c>
      <c r="O38" s="126" t="n">
        <f aca="false">0.07</f>
        <v>0.07</v>
      </c>
      <c r="P38" s="114"/>
      <c r="Q38" s="126" t="n">
        <f aca="false">M38+J38+G38</f>
        <v>11</v>
      </c>
      <c r="R38" s="126" t="n">
        <f aca="false">N38+K38+H38</f>
        <v>11</v>
      </c>
      <c r="S38" s="126" t="n">
        <f aca="false">O38+L38+I38</f>
        <v>7.07</v>
      </c>
      <c r="T38" s="127"/>
      <c r="U38" s="5" t="n">
        <f aca="false">A39-A38</f>
        <v>30</v>
      </c>
      <c r="V38" s="128" t="n">
        <f aca="false">CHOOSE(F$3,A39+24,A38)</f>
        <v>38139</v>
      </c>
      <c r="W38" s="5" t="n">
        <f aca="false">V38-C$3</f>
        <v>908</v>
      </c>
      <c r="X38" s="124" t="n">
        <f aca="false">VLOOKUP($A38,Table,MATCH(X$4,Curves,0))</f>
        <v>2</v>
      </c>
      <c r="Y38" s="129" t="n">
        <f aca="false">1/(1+CHOOSE(F$3,(X39+($K$3/10000))/2,(X38+($K$3/10000))/2))^(2*W38/365.25)</f>
        <v>0.031863818351198</v>
      </c>
      <c r="Z38" s="5" t="n">
        <f aca="false">IF(AND(mthbeg&lt;=A38,mthend&gt;=A38),1,0)</f>
        <v>0</v>
      </c>
      <c r="AA38" s="5" t="n">
        <f aca="false">U38*Z38</f>
        <v>0</v>
      </c>
      <c r="AC38" s="115" t="n">
        <f aca="false">IF(G31=2,F38*(S38-Q38),F38*(Q38-S38))</f>
        <v>0</v>
      </c>
      <c r="AE38" s="116" t="n">
        <f aca="false">IF($G$3=1,F38*(R38-Q38),F38*(Q38-R38))</f>
        <v>0</v>
      </c>
      <c r="AG38" s="116" t="n">
        <f aca="false">AC38+AE38</f>
        <v>0</v>
      </c>
    </row>
    <row r="39" customFormat="false" ht="12.75" hidden="false" customHeight="false" outlineLevel="0" collapsed="false">
      <c r="A39" s="120" t="n">
        <f aca="false">EDATE(A38,1)</f>
        <v>38169</v>
      </c>
      <c r="B39" s="121" t="e">
        <f aca="false">VLOOKUP(A39,'Inputs-Summary'!$A$32:$B$41,2,FALSE())</f>
        <v>#N/A</v>
      </c>
      <c r="C39" s="122"/>
      <c r="D39" s="123" t="e">
        <f aca="false">B39+C39</f>
        <v>#N/A</v>
      </c>
      <c r="E39" s="111" t="n">
        <f aca="false">IF(Z39=0,0,IF(AND(Z39=1,$H$3=1),D39*U39,IF($H$3=2,D39,"N/A")))</f>
        <v>0</v>
      </c>
      <c r="F39" s="111" t="n">
        <f aca="false">E39*Y39</f>
        <v>0</v>
      </c>
      <c r="G39" s="124" t="n">
        <f aca="false">VLOOKUP($A39,Table,MATCH(G$4,Curves,0))</f>
        <v>3</v>
      </c>
      <c r="H39" s="125" t="n">
        <f aca="false">G39+$H$7</f>
        <v>3</v>
      </c>
      <c r="I39" s="124" t="n">
        <f aca="false">H39</f>
        <v>3</v>
      </c>
      <c r="J39" s="124" t="n">
        <f aca="false">VLOOKUP($A39,Table,MATCH(J$4,Curves,0))</f>
        <v>4</v>
      </c>
      <c r="K39" s="125" t="n">
        <f aca="false">J39+$K$7</f>
        <v>4</v>
      </c>
      <c r="L39" s="126" t="n">
        <f aca="false">K39</f>
        <v>4</v>
      </c>
      <c r="M39" s="124" t="n">
        <f aca="false">VLOOKUP($A39,Table,MATCH(M$4,Curves,0))</f>
        <v>4</v>
      </c>
      <c r="N39" s="125" t="n">
        <f aca="false">M39+$N$7</f>
        <v>4</v>
      </c>
      <c r="O39" s="126" t="n">
        <f aca="false">0.07</f>
        <v>0.07</v>
      </c>
      <c r="P39" s="114"/>
      <c r="Q39" s="126" t="n">
        <f aca="false">M39+J39+G39</f>
        <v>11</v>
      </c>
      <c r="R39" s="126" t="n">
        <f aca="false">N39+K39+H39</f>
        <v>11</v>
      </c>
      <c r="S39" s="126" t="n">
        <f aca="false">O39+L39+I39</f>
        <v>7.07</v>
      </c>
      <c r="T39" s="127"/>
      <c r="U39" s="5" t="n">
        <f aca="false">A40-A39</f>
        <v>31</v>
      </c>
      <c r="V39" s="128" t="n">
        <f aca="false">CHOOSE(F$3,A40+24,A39)</f>
        <v>38169</v>
      </c>
      <c r="W39" s="5" t="n">
        <f aca="false">V39-C$3</f>
        <v>938</v>
      </c>
      <c r="X39" s="124" t="n">
        <f aca="false">VLOOKUP($A39,Table,MATCH(X$4,Curves,0))</f>
        <v>2</v>
      </c>
      <c r="Y39" s="129" t="n">
        <f aca="false">1/(1+CHOOSE(F$3,(X40+($K$3/10000))/2,(X39+($K$3/10000))/2))^(2*W39/365.25)</f>
        <v>0.0284346118966718</v>
      </c>
      <c r="Z39" s="5" t="n">
        <f aca="false">IF(AND(mthbeg&lt;=A39,mthend&gt;=A39),1,0)</f>
        <v>0</v>
      </c>
      <c r="AA39" s="5" t="n">
        <f aca="false">U39*Z39</f>
        <v>0</v>
      </c>
      <c r="AC39" s="115" t="n">
        <f aca="false">IF(G32=2,F39*(S39-Q39),F39*(Q39-S39))</f>
        <v>0</v>
      </c>
      <c r="AE39" s="116" t="n">
        <f aca="false">IF($G$3=1,F39*(R39-Q39),F39*(Q39-R39))</f>
        <v>0</v>
      </c>
      <c r="AG39" s="116" t="n">
        <f aca="false">AC39+AE39</f>
        <v>0</v>
      </c>
    </row>
    <row r="40" customFormat="false" ht="12.75" hidden="false" customHeight="false" outlineLevel="0" collapsed="false">
      <c r="A40" s="120" t="n">
        <f aca="false">EDATE(A39,1)</f>
        <v>38200</v>
      </c>
      <c r="B40" s="121" t="e">
        <f aca="false">VLOOKUP(A40,'Inputs-Summary'!$A$32:$B$41,2,FALSE())</f>
        <v>#N/A</v>
      </c>
      <c r="C40" s="122"/>
      <c r="D40" s="123" t="e">
        <f aca="false">B40+C40</f>
        <v>#N/A</v>
      </c>
      <c r="E40" s="111" t="n">
        <f aca="false">IF(Z40=0,0,IF(AND(Z40=1,$H$3=1),D40*U40,IF($H$3=2,D40,"N/A")))</f>
        <v>0</v>
      </c>
      <c r="F40" s="111" t="n">
        <f aca="false">E40*Y40</f>
        <v>0</v>
      </c>
      <c r="G40" s="124" t="n">
        <f aca="false">VLOOKUP($A40,Table,MATCH(G$4,Curves,0))</f>
        <v>3</v>
      </c>
      <c r="H40" s="125" t="n">
        <f aca="false">G40+$H$7</f>
        <v>3</v>
      </c>
      <c r="I40" s="124" t="n">
        <f aca="false">H40</f>
        <v>3</v>
      </c>
      <c r="J40" s="124" t="n">
        <f aca="false">VLOOKUP($A40,Table,MATCH(J$4,Curves,0))</f>
        <v>4</v>
      </c>
      <c r="K40" s="125" t="n">
        <f aca="false">J40+$K$7</f>
        <v>4</v>
      </c>
      <c r="L40" s="126" t="n">
        <f aca="false">K40</f>
        <v>4</v>
      </c>
      <c r="M40" s="124" t="n">
        <f aca="false">VLOOKUP($A40,Table,MATCH(M$4,Curves,0))</f>
        <v>4</v>
      </c>
      <c r="N40" s="125" t="n">
        <f aca="false">M40+$N$7</f>
        <v>4</v>
      </c>
      <c r="O40" s="126" t="n">
        <f aca="false">0.07</f>
        <v>0.07</v>
      </c>
      <c r="P40" s="114"/>
      <c r="Q40" s="126" t="n">
        <f aca="false">M40+J40+G40</f>
        <v>11</v>
      </c>
      <c r="R40" s="126" t="n">
        <f aca="false">N40+K40+H40</f>
        <v>11</v>
      </c>
      <c r="S40" s="126" t="n">
        <f aca="false">O40+L40+I40</f>
        <v>7.07</v>
      </c>
      <c r="T40" s="127"/>
      <c r="U40" s="5" t="n">
        <f aca="false">A41-A40</f>
        <v>31</v>
      </c>
      <c r="V40" s="128" t="n">
        <f aca="false">CHOOSE(F$3,A41+24,A40)</f>
        <v>38200</v>
      </c>
      <c r="W40" s="5" t="n">
        <f aca="false">V40-C$3</f>
        <v>969</v>
      </c>
      <c r="X40" s="124" t="n">
        <f aca="false">VLOOKUP($A40,Table,MATCH(X$4,Curves,0))</f>
        <v>2</v>
      </c>
      <c r="Y40" s="129" t="n">
        <f aca="false">1/(1+CHOOSE(F$3,(X41+($K$3/10000))/2,(X40+($K$3/10000))/2))^(2*W40/365.25)</f>
        <v>0.0252783336543544</v>
      </c>
      <c r="Z40" s="5" t="n">
        <f aca="false">IF(AND(mthbeg&lt;=A40,mthend&gt;=A40),1,0)</f>
        <v>0</v>
      </c>
      <c r="AA40" s="5" t="n">
        <f aca="false">U40*Z40</f>
        <v>0</v>
      </c>
      <c r="AC40" s="115" t="n">
        <f aca="false">IF(G33=2,F40*(S40-Q40),F40*(Q40-S40))</f>
        <v>0</v>
      </c>
      <c r="AE40" s="116" t="n">
        <f aca="false">IF($G$3=1,F40*(R40-Q40),F40*(Q40-R40))</f>
        <v>0</v>
      </c>
      <c r="AG40" s="116" t="n">
        <f aca="false">AC40+AE40</f>
        <v>0</v>
      </c>
    </row>
    <row r="41" customFormat="false" ht="12.75" hidden="false" customHeight="false" outlineLevel="0" collapsed="false">
      <c r="A41" s="120" t="n">
        <f aca="false">EDATE(A40,1)</f>
        <v>38231</v>
      </c>
      <c r="B41" s="121" t="e">
        <f aca="false">VLOOKUP(A41,'Inputs-Summary'!$A$32:$B$41,2,FALSE())</f>
        <v>#N/A</v>
      </c>
      <c r="C41" s="122"/>
      <c r="D41" s="123" t="e">
        <f aca="false">B41+C41</f>
        <v>#N/A</v>
      </c>
      <c r="E41" s="111" t="n">
        <f aca="false">IF(Z41=0,0,IF(AND(Z41=1,$H$3=1),D41*U41,IF($H$3=2,D41,"N/A")))</f>
        <v>0</v>
      </c>
      <c r="F41" s="111" t="n">
        <f aca="false">E41*Y41</f>
        <v>0</v>
      </c>
      <c r="G41" s="124" t="n">
        <f aca="false">VLOOKUP($A41,Table,MATCH(G$4,Curves,0))</f>
        <v>3</v>
      </c>
      <c r="H41" s="125" t="n">
        <f aca="false">G41+$H$7</f>
        <v>3</v>
      </c>
      <c r="I41" s="124" t="n">
        <f aca="false">H41</f>
        <v>3</v>
      </c>
      <c r="J41" s="124" t="n">
        <f aca="false">VLOOKUP($A41,Table,MATCH(J$4,Curves,0))</f>
        <v>4</v>
      </c>
      <c r="K41" s="125" t="n">
        <f aca="false">J41+$K$7</f>
        <v>4</v>
      </c>
      <c r="L41" s="126" t="n">
        <f aca="false">K41</f>
        <v>4</v>
      </c>
      <c r="M41" s="124" t="n">
        <f aca="false">VLOOKUP($A41,Table,MATCH(M$4,Curves,0))</f>
        <v>4</v>
      </c>
      <c r="N41" s="125" t="n">
        <f aca="false">M41+$N$7</f>
        <v>4</v>
      </c>
      <c r="O41" s="126" t="n">
        <f aca="false">0.07</f>
        <v>0.07</v>
      </c>
      <c r="P41" s="114"/>
      <c r="Q41" s="126" t="n">
        <f aca="false">M41+J41+G41</f>
        <v>11</v>
      </c>
      <c r="R41" s="126" t="n">
        <f aca="false">N41+K41+H41</f>
        <v>11</v>
      </c>
      <c r="S41" s="126" t="n">
        <f aca="false">O41+L41+I41</f>
        <v>7.07</v>
      </c>
      <c r="T41" s="127"/>
      <c r="U41" s="5" t="n">
        <f aca="false">A42-A41</f>
        <v>30</v>
      </c>
      <c r="V41" s="128" t="n">
        <f aca="false">CHOOSE(F$3,A42+24,A41)</f>
        <v>38231</v>
      </c>
      <c r="W41" s="5" t="n">
        <f aca="false">V41-C$3</f>
        <v>1000</v>
      </c>
      <c r="X41" s="124" t="n">
        <f aca="false">VLOOKUP($A41,Table,MATCH(X$4,Curves,0))</f>
        <v>2</v>
      </c>
      <c r="Y41" s="129" t="n">
        <f aca="false">1/(1+CHOOSE(F$3,(X42+($K$3/10000))/2,(X41+($K$3/10000))/2))^(2*W41/365.25)</f>
        <v>0.022472406328699</v>
      </c>
      <c r="Z41" s="5" t="n">
        <f aca="false">IF(AND(mthbeg&lt;=A41,mthend&gt;=A41),1,0)</f>
        <v>0</v>
      </c>
      <c r="AA41" s="5" t="n">
        <f aca="false">U41*Z41</f>
        <v>0</v>
      </c>
      <c r="AC41" s="115" t="n">
        <f aca="false">IF(G34=2,F41*(S41-Q41),F41*(Q41-S41))</f>
        <v>0</v>
      </c>
      <c r="AE41" s="116" t="n">
        <f aca="false">IF($G$3=1,F41*(R41-Q41),F41*(Q41-R41))</f>
        <v>0</v>
      </c>
      <c r="AG41" s="116" t="n">
        <f aca="false">AC41+AE41</f>
        <v>0</v>
      </c>
    </row>
    <row r="42" customFormat="false" ht="12.75" hidden="false" customHeight="false" outlineLevel="0" collapsed="false">
      <c r="A42" s="120" t="n">
        <f aca="false">EDATE(A41,1)</f>
        <v>38261</v>
      </c>
      <c r="B42" s="121" t="e">
        <f aca="false">VLOOKUP(A42,'Inputs-Summary'!$A$32:$B$41,2,FALSE())</f>
        <v>#N/A</v>
      </c>
      <c r="C42" s="122"/>
      <c r="D42" s="123" t="e">
        <f aca="false">B42+C42</f>
        <v>#N/A</v>
      </c>
      <c r="E42" s="111" t="n">
        <f aca="false">IF(Z42=0,0,IF(AND(Z42=1,$H$3=1),D42*U42,IF($H$3=2,D42,"N/A")))</f>
        <v>0</v>
      </c>
      <c r="F42" s="111" t="n">
        <f aca="false">E42*Y42</f>
        <v>0</v>
      </c>
      <c r="G42" s="124" t="n">
        <f aca="false">VLOOKUP($A42,Table,MATCH(G$4,Curves,0))</f>
        <v>3</v>
      </c>
      <c r="H42" s="125" t="n">
        <f aca="false">G42+$H$7</f>
        <v>3</v>
      </c>
      <c r="I42" s="124" t="n">
        <f aca="false">H42</f>
        <v>3</v>
      </c>
      <c r="J42" s="124" t="n">
        <f aca="false">VLOOKUP($A42,Table,MATCH(J$4,Curves,0))</f>
        <v>4</v>
      </c>
      <c r="K42" s="125" t="n">
        <f aca="false">J42+$K$7</f>
        <v>4</v>
      </c>
      <c r="L42" s="126" t="n">
        <f aca="false">K42</f>
        <v>4</v>
      </c>
      <c r="M42" s="124" t="n">
        <f aca="false">VLOOKUP($A42,Table,MATCH(M$4,Curves,0))</f>
        <v>4</v>
      </c>
      <c r="N42" s="125" t="n">
        <f aca="false">M42+$N$7</f>
        <v>4</v>
      </c>
      <c r="O42" s="126" t="n">
        <f aca="false">0.07</f>
        <v>0.07</v>
      </c>
      <c r="P42" s="114"/>
      <c r="Q42" s="126" t="n">
        <f aca="false">M42+J42+G42</f>
        <v>11</v>
      </c>
      <c r="R42" s="126" t="n">
        <f aca="false">N42+K42+H42</f>
        <v>11</v>
      </c>
      <c r="S42" s="126" t="n">
        <f aca="false">O42+L42+I42</f>
        <v>7.07</v>
      </c>
      <c r="T42" s="127"/>
      <c r="U42" s="5" t="n">
        <f aca="false">A43-A42</f>
        <v>31</v>
      </c>
      <c r="V42" s="128" t="n">
        <f aca="false">CHOOSE(F$3,A43+24,A42)</f>
        <v>38261</v>
      </c>
      <c r="W42" s="5" t="n">
        <f aca="false">V42-C$3</f>
        <v>1030</v>
      </c>
      <c r="X42" s="124" t="n">
        <f aca="false">VLOOKUP($A42,Table,MATCH(X$4,Curves,0))</f>
        <v>2</v>
      </c>
      <c r="Y42" s="129" t="n">
        <f aca="false">1/(1+CHOOSE(F$3,(X43+($K$3/10000))/2,(X42+($K$3/10000))/2))^(2*W42/365.25)</f>
        <v>0.0200539102155923</v>
      </c>
      <c r="Z42" s="5" t="n">
        <f aca="false">IF(AND(mthbeg&lt;=A42,mthend&gt;=A42),1,0)</f>
        <v>0</v>
      </c>
      <c r="AA42" s="5" t="n">
        <f aca="false">U42*Z42</f>
        <v>0</v>
      </c>
      <c r="AC42" s="115" t="n">
        <f aca="false">IF(G35=2,F42*(S42-Q42),F42*(Q42-S42))</f>
        <v>0</v>
      </c>
      <c r="AE42" s="116" t="n">
        <f aca="false">IF($G$3=1,F42*(R42-Q42),F42*(Q42-R42))</f>
        <v>0</v>
      </c>
      <c r="AG42" s="116" t="n">
        <f aca="false">AC42+AE42</f>
        <v>0</v>
      </c>
    </row>
    <row r="43" customFormat="false" ht="12.75" hidden="false" customHeight="false" outlineLevel="0" collapsed="false">
      <c r="A43" s="120" t="n">
        <f aca="false">EDATE(A42,1)</f>
        <v>38292</v>
      </c>
      <c r="B43" s="121" t="e">
        <f aca="false">VLOOKUP(A43,'Inputs-Summary'!$A$32:$B$41,2,FALSE())</f>
        <v>#N/A</v>
      </c>
      <c r="C43" s="122"/>
      <c r="D43" s="123" t="e">
        <f aca="false">B43+C43</f>
        <v>#N/A</v>
      </c>
      <c r="E43" s="111" t="n">
        <f aca="false">IF(Z43=0,0,IF(AND(Z43=1,$H$3=1),D43*U43,IF($H$3=2,D43,"N/A")))</f>
        <v>0</v>
      </c>
      <c r="F43" s="111" t="n">
        <f aca="false">E43*Y43</f>
        <v>0</v>
      </c>
      <c r="G43" s="124" t="n">
        <f aca="false">VLOOKUP($A43,Table,MATCH(G$4,Curves,0))</f>
        <v>3</v>
      </c>
      <c r="H43" s="125" t="n">
        <f aca="false">G43+$H$7</f>
        <v>3</v>
      </c>
      <c r="I43" s="124" t="n">
        <f aca="false">H43</f>
        <v>3</v>
      </c>
      <c r="J43" s="124" t="n">
        <f aca="false">VLOOKUP($A43,Table,MATCH(J$4,Curves,0))</f>
        <v>4</v>
      </c>
      <c r="K43" s="125" t="n">
        <f aca="false">J43+$K$7</f>
        <v>4</v>
      </c>
      <c r="L43" s="126" t="n">
        <f aca="false">K43</f>
        <v>4</v>
      </c>
      <c r="M43" s="124" t="n">
        <f aca="false">VLOOKUP($A43,Table,MATCH(M$4,Curves,0))</f>
        <v>4</v>
      </c>
      <c r="N43" s="125" t="n">
        <f aca="false">M43+$N$7</f>
        <v>4</v>
      </c>
      <c r="O43" s="126" t="n">
        <f aca="false">0.07</f>
        <v>0.07</v>
      </c>
      <c r="P43" s="114"/>
      <c r="Q43" s="126" t="n">
        <f aca="false">M43+J43+G43</f>
        <v>11</v>
      </c>
      <c r="R43" s="126" t="n">
        <f aca="false">N43+K43+H43</f>
        <v>11</v>
      </c>
      <c r="S43" s="126" t="n">
        <f aca="false">O43+L43+I43</f>
        <v>7.07</v>
      </c>
      <c r="T43" s="127"/>
      <c r="U43" s="5" t="n">
        <f aca="false">A44-A43</f>
        <v>30</v>
      </c>
      <c r="V43" s="128" t="n">
        <f aca="false">CHOOSE(F$3,A44+24,A43)</f>
        <v>38292</v>
      </c>
      <c r="W43" s="5" t="n">
        <f aca="false">V43-C$3</f>
        <v>1061</v>
      </c>
      <c r="X43" s="124" t="n">
        <f aca="false">VLOOKUP($A43,Table,MATCH(X$4,Curves,0))</f>
        <v>2</v>
      </c>
      <c r="Y43" s="129" t="n">
        <f aca="false">1/(1+CHOOSE(F$3,(X44+($K$3/10000))/2,(X43+($K$3/10000))/2))^(2*W43/365.25)</f>
        <v>0.0178279005652102</v>
      </c>
      <c r="Z43" s="5" t="n">
        <f aca="false">IF(AND(mthbeg&lt;=A43,mthend&gt;=A43),1,0)</f>
        <v>0</v>
      </c>
      <c r="AA43" s="5" t="n">
        <f aca="false">U43*Z43</f>
        <v>0</v>
      </c>
      <c r="AC43" s="115" t="n">
        <f aca="false">IF(G36=2,F43*(S43-Q43),F43*(Q43-S43))</f>
        <v>0</v>
      </c>
      <c r="AE43" s="116" t="n">
        <f aca="false">IF($G$3=1,F43*(R43-Q43),F43*(Q43-R43))</f>
        <v>0</v>
      </c>
      <c r="AG43" s="116" t="n">
        <f aca="false">AC43+AE43</f>
        <v>0</v>
      </c>
    </row>
    <row r="44" customFormat="false" ht="12.75" hidden="false" customHeight="false" outlineLevel="0" collapsed="false">
      <c r="A44" s="120" t="n">
        <f aca="false">EDATE(A43,1)</f>
        <v>38322</v>
      </c>
      <c r="B44" s="121" t="e">
        <f aca="false">VLOOKUP(A44,'Inputs-Summary'!$A$32:$B$41,2,FALSE())</f>
        <v>#N/A</v>
      </c>
      <c r="C44" s="122"/>
      <c r="D44" s="123" t="e">
        <f aca="false">B44+C44</f>
        <v>#N/A</v>
      </c>
      <c r="E44" s="111" t="n">
        <f aca="false">IF(Z44=0,0,IF(AND(Z44=1,$H$3=1),D44*U44,IF($H$3=2,D44,"N/A")))</f>
        <v>0</v>
      </c>
      <c r="F44" s="111" t="n">
        <f aca="false">E44*Y44</f>
        <v>0</v>
      </c>
      <c r="G44" s="124" t="n">
        <f aca="false">VLOOKUP($A44,Table,MATCH(G$4,Curves,0))</f>
        <v>3</v>
      </c>
      <c r="H44" s="125" t="n">
        <f aca="false">G44+$H$7</f>
        <v>3</v>
      </c>
      <c r="I44" s="124" t="n">
        <f aca="false">H44</f>
        <v>3</v>
      </c>
      <c r="J44" s="124" t="n">
        <f aca="false">VLOOKUP($A44,Table,MATCH(J$4,Curves,0))</f>
        <v>4</v>
      </c>
      <c r="K44" s="125" t="n">
        <f aca="false">J44+$K$7</f>
        <v>4</v>
      </c>
      <c r="L44" s="126" t="n">
        <f aca="false">K44</f>
        <v>4</v>
      </c>
      <c r="M44" s="124" t="n">
        <f aca="false">VLOOKUP($A44,Table,MATCH(M$4,Curves,0))</f>
        <v>4</v>
      </c>
      <c r="N44" s="125" t="n">
        <f aca="false">M44+$N$7</f>
        <v>4</v>
      </c>
      <c r="O44" s="126" t="n">
        <f aca="false">0.07</f>
        <v>0.07</v>
      </c>
      <c r="P44" s="114"/>
      <c r="Q44" s="126" t="n">
        <f aca="false">M44+J44+G44</f>
        <v>11</v>
      </c>
      <c r="R44" s="126" t="n">
        <f aca="false">N44+K44+H44</f>
        <v>11</v>
      </c>
      <c r="S44" s="126" t="n">
        <f aca="false">O44+L44+I44</f>
        <v>7.07</v>
      </c>
      <c r="T44" s="127"/>
      <c r="U44" s="5" t="n">
        <f aca="false">A45-A44</f>
        <v>31</v>
      </c>
      <c r="V44" s="128" t="n">
        <f aca="false">CHOOSE(F$3,A45+24,A44)</f>
        <v>38322</v>
      </c>
      <c r="W44" s="5" t="n">
        <f aca="false">V44-C$3</f>
        <v>1091</v>
      </c>
      <c r="X44" s="124" t="n">
        <f aca="false">VLOOKUP($A44,Table,MATCH(X$4,Curves,0))</f>
        <v>2</v>
      </c>
      <c r="Y44" s="129" t="n">
        <f aca="false">1/(1+CHOOSE(F$3,(X45+($K$3/10000))/2,(X44+($K$3/10000))/2))^(2*W44/365.25)</f>
        <v>0.0159092494162788</v>
      </c>
      <c r="Z44" s="5" t="n">
        <f aca="false">IF(AND(mthbeg&lt;=A44,mthend&gt;=A44),1,0)</f>
        <v>0</v>
      </c>
      <c r="AA44" s="5" t="n">
        <f aca="false">U44*Z44</f>
        <v>0</v>
      </c>
      <c r="AC44" s="115" t="n">
        <f aca="false">IF(G37=2,F44*(S44-Q44),F44*(Q44-S44))</f>
        <v>0</v>
      </c>
      <c r="AE44" s="116" t="n">
        <f aca="false">IF($G$3=1,F44*(R44-Q44),F44*(Q44-R44))</f>
        <v>0</v>
      </c>
      <c r="AG44" s="116" t="n">
        <f aca="false">AC44+AE44</f>
        <v>0</v>
      </c>
    </row>
    <row r="45" customFormat="false" ht="12.75" hidden="false" customHeight="false" outlineLevel="0" collapsed="false">
      <c r="A45" s="120" t="n">
        <f aca="false">EDATE(A44,1)</f>
        <v>38353</v>
      </c>
      <c r="B45" s="121" t="e">
        <f aca="false">VLOOKUP(A45,'Inputs-Summary'!$A$32:$B$41,2,FALSE())</f>
        <v>#N/A</v>
      </c>
      <c r="C45" s="122"/>
      <c r="D45" s="123" t="e">
        <f aca="false">B45+C45</f>
        <v>#N/A</v>
      </c>
      <c r="E45" s="111" t="n">
        <f aca="false">IF(Z45=0,0,IF(AND(Z45=1,$H$3=1),D45*U45,IF($H$3=2,D45,"N/A")))</f>
        <v>0</v>
      </c>
      <c r="F45" s="111" t="n">
        <f aca="false">E45*Y45</f>
        <v>0</v>
      </c>
      <c r="G45" s="124" t="n">
        <f aca="false">VLOOKUP($A45,Table,MATCH(G$4,Curves,0))</f>
        <v>3</v>
      </c>
      <c r="H45" s="125" t="n">
        <f aca="false">G45+$H$7</f>
        <v>3</v>
      </c>
      <c r="I45" s="124" t="n">
        <f aca="false">H45</f>
        <v>3</v>
      </c>
      <c r="J45" s="124" t="n">
        <f aca="false">VLOOKUP($A45,Table,MATCH(J$4,Curves,0))</f>
        <v>4</v>
      </c>
      <c r="K45" s="125" t="n">
        <f aca="false">J45+$K$7</f>
        <v>4</v>
      </c>
      <c r="L45" s="126" t="n">
        <f aca="false">K45</f>
        <v>4</v>
      </c>
      <c r="M45" s="124" t="n">
        <f aca="false">VLOOKUP($A45,Table,MATCH(M$4,Curves,0))</f>
        <v>4</v>
      </c>
      <c r="N45" s="125" t="n">
        <f aca="false">M45+$N$7</f>
        <v>4</v>
      </c>
      <c r="O45" s="126" t="n">
        <f aca="false">0.07</f>
        <v>0.07</v>
      </c>
      <c r="P45" s="114"/>
      <c r="Q45" s="126" t="n">
        <f aca="false">M45+J45+G45</f>
        <v>11</v>
      </c>
      <c r="R45" s="126" t="n">
        <f aca="false">N45+K45+H45</f>
        <v>11</v>
      </c>
      <c r="S45" s="126" t="n">
        <f aca="false">O45+L45+I45</f>
        <v>7.07</v>
      </c>
      <c r="T45" s="127"/>
      <c r="U45" s="5" t="n">
        <f aca="false">A46-A45</f>
        <v>31</v>
      </c>
      <c r="V45" s="128" t="n">
        <f aca="false">CHOOSE(F$3,A46+24,A45)</f>
        <v>38353</v>
      </c>
      <c r="W45" s="5" t="n">
        <f aca="false">V45-C$3</f>
        <v>1122</v>
      </c>
      <c r="X45" s="124" t="n">
        <f aca="false">VLOOKUP($A45,Table,MATCH(X$4,Curves,0))</f>
        <v>2</v>
      </c>
      <c r="Y45" s="129" t="n">
        <f aca="false">1/(1+CHOOSE(F$3,(X46+($K$3/10000))/2,(X45+($K$3/10000))/2))^(2*W45/365.25)</f>
        <v>0.0141433024089247</v>
      </c>
      <c r="Z45" s="5" t="n">
        <f aca="false">IF(AND(mthbeg&lt;=A45,mthend&gt;=A45),1,0)</f>
        <v>0</v>
      </c>
      <c r="AA45" s="5" t="n">
        <f aca="false">U45*Z45</f>
        <v>0</v>
      </c>
      <c r="AC45" s="115" t="n">
        <f aca="false">IF(G38=2,F45*(S45-Q45),F45*(Q45-S45))</f>
        <v>0</v>
      </c>
      <c r="AE45" s="116" t="n">
        <f aca="false">IF($G$3=1,F45*(R45-Q45),F45*(Q45-R45))</f>
        <v>0</v>
      </c>
      <c r="AG45" s="116" t="n">
        <f aca="false">AC45+AE45</f>
        <v>0</v>
      </c>
    </row>
    <row r="46" customFormat="false" ht="12.75" hidden="false" customHeight="false" outlineLevel="0" collapsed="false">
      <c r="A46" s="120" t="n">
        <f aca="false">EDATE(A45,1)</f>
        <v>38384</v>
      </c>
      <c r="B46" s="121" t="e">
        <f aca="false">VLOOKUP(A46,'Inputs-Summary'!$A$32:$B$41,2,FALSE())</f>
        <v>#N/A</v>
      </c>
      <c r="C46" s="122"/>
      <c r="D46" s="123" t="e">
        <f aca="false">B46+C46</f>
        <v>#N/A</v>
      </c>
      <c r="E46" s="111" t="n">
        <f aca="false">IF(Z46=0,0,IF(AND(Z46=1,$H$3=1),D46*U46,IF($H$3=2,D46,"N/A")))</f>
        <v>0</v>
      </c>
      <c r="F46" s="111" t="n">
        <f aca="false">E46*Y46</f>
        <v>0</v>
      </c>
      <c r="G46" s="124" t="n">
        <f aca="false">VLOOKUP($A46,Table,MATCH(G$4,Curves,0))</f>
        <v>3</v>
      </c>
      <c r="H46" s="125" t="n">
        <f aca="false">G46+$H$7</f>
        <v>3</v>
      </c>
      <c r="I46" s="124" t="n">
        <f aca="false">H46</f>
        <v>3</v>
      </c>
      <c r="J46" s="124" t="n">
        <f aca="false">VLOOKUP($A46,Table,MATCH(J$4,Curves,0))</f>
        <v>4</v>
      </c>
      <c r="K46" s="125" t="n">
        <f aca="false">J46+$K$7</f>
        <v>4</v>
      </c>
      <c r="L46" s="126" t="n">
        <f aca="false">K46</f>
        <v>4</v>
      </c>
      <c r="M46" s="124" t="n">
        <f aca="false">VLOOKUP($A46,Table,MATCH(M$4,Curves,0))</f>
        <v>4</v>
      </c>
      <c r="N46" s="125" t="n">
        <f aca="false">M46+$N$7</f>
        <v>4</v>
      </c>
      <c r="O46" s="126" t="n">
        <f aca="false">0.07</f>
        <v>0.07</v>
      </c>
      <c r="P46" s="114"/>
      <c r="Q46" s="126" t="n">
        <f aca="false">M46+J46+G46</f>
        <v>11</v>
      </c>
      <c r="R46" s="126" t="n">
        <f aca="false">N46+K46+H46</f>
        <v>11</v>
      </c>
      <c r="S46" s="126" t="n">
        <f aca="false">O46+L46+I46</f>
        <v>7.07</v>
      </c>
      <c r="T46" s="127"/>
      <c r="U46" s="5" t="n">
        <f aca="false">A47-A46</f>
        <v>28</v>
      </c>
      <c r="V46" s="128" t="n">
        <f aca="false">CHOOSE(F$3,A47+24,A46)</f>
        <v>38384</v>
      </c>
      <c r="W46" s="5" t="n">
        <f aca="false">V46-C$3</f>
        <v>1153</v>
      </c>
      <c r="X46" s="124" t="n">
        <f aca="false">VLOOKUP($A46,Table,MATCH(X$4,Curves,0))</f>
        <v>2</v>
      </c>
      <c r="Y46" s="129" t="n">
        <f aca="false">1/(1+CHOOSE(F$3,(X47+($K$3/10000))/2,(X46+($K$3/10000))/2))^(2*W46/365.25)</f>
        <v>0.0125733777751713</v>
      </c>
      <c r="Z46" s="5" t="n">
        <f aca="false">IF(AND(mthbeg&lt;=A46,mthend&gt;=A46),1,0)</f>
        <v>0</v>
      </c>
      <c r="AA46" s="5" t="n">
        <f aca="false">U46*Z46</f>
        <v>0</v>
      </c>
      <c r="AC46" s="115" t="n">
        <f aca="false">IF(G39=2,F46*(S46-Q46),F46*(Q46-S46))</f>
        <v>0</v>
      </c>
      <c r="AE46" s="116" t="n">
        <f aca="false">IF($G$3=1,F46*(R46-Q46),F46*(Q46-R46))</f>
        <v>0</v>
      </c>
      <c r="AG46" s="116" t="n">
        <f aca="false">AC46+AE46</f>
        <v>0</v>
      </c>
    </row>
    <row r="47" customFormat="false" ht="12.75" hidden="false" customHeight="false" outlineLevel="0" collapsed="false">
      <c r="A47" s="120" t="n">
        <f aca="false">EDATE(A46,1)</f>
        <v>38412</v>
      </c>
      <c r="B47" s="121" t="e">
        <f aca="false">VLOOKUP(A47,'Inputs-Summary'!$A$32:$B$41,2,FALSE())</f>
        <v>#N/A</v>
      </c>
      <c r="C47" s="122"/>
      <c r="D47" s="123" t="e">
        <f aca="false">B47+C47</f>
        <v>#N/A</v>
      </c>
      <c r="E47" s="111" t="n">
        <f aca="false">IF(Z47=0,0,IF(AND(Z47=1,$H$3=1),D47*U47,IF($H$3=2,D47,"N/A")))</f>
        <v>0</v>
      </c>
      <c r="F47" s="111" t="n">
        <f aca="false">E47*Y47</f>
        <v>0</v>
      </c>
      <c r="G47" s="124" t="n">
        <f aca="false">VLOOKUP($A47,Table,MATCH(G$4,Curves,0))</f>
        <v>3</v>
      </c>
      <c r="H47" s="125" t="n">
        <f aca="false">G47+$H$7</f>
        <v>3</v>
      </c>
      <c r="I47" s="124" t="n">
        <f aca="false">H47</f>
        <v>3</v>
      </c>
      <c r="J47" s="124" t="n">
        <f aca="false">VLOOKUP($A47,Table,MATCH(J$4,Curves,0))</f>
        <v>4</v>
      </c>
      <c r="K47" s="125" t="n">
        <f aca="false">J47+$K$7</f>
        <v>4</v>
      </c>
      <c r="L47" s="126" t="n">
        <f aca="false">K47</f>
        <v>4</v>
      </c>
      <c r="M47" s="124" t="n">
        <f aca="false">VLOOKUP($A47,Table,MATCH(M$4,Curves,0))</f>
        <v>4</v>
      </c>
      <c r="N47" s="125" t="n">
        <f aca="false">M47+$N$7</f>
        <v>4</v>
      </c>
      <c r="O47" s="126" t="n">
        <f aca="false">0.07</f>
        <v>0.07</v>
      </c>
      <c r="P47" s="114"/>
      <c r="Q47" s="126" t="n">
        <f aca="false">M47+J47+G47</f>
        <v>11</v>
      </c>
      <c r="R47" s="126" t="n">
        <f aca="false">N47+K47+H47</f>
        <v>11</v>
      </c>
      <c r="S47" s="126" t="n">
        <f aca="false">O47+L47+I47</f>
        <v>7.07</v>
      </c>
      <c r="T47" s="127"/>
      <c r="U47" s="5" t="n">
        <f aca="false">A48-A47</f>
        <v>31</v>
      </c>
      <c r="V47" s="128" t="n">
        <f aca="false">CHOOSE(F$3,A48+24,A47)</f>
        <v>38412</v>
      </c>
      <c r="W47" s="5" t="n">
        <f aca="false">V47-C$3</f>
        <v>1181</v>
      </c>
      <c r="X47" s="124" t="n">
        <f aca="false">VLOOKUP($A47,Table,MATCH(X$4,Curves,0))</f>
        <v>2</v>
      </c>
      <c r="Y47" s="129" t="n">
        <f aca="false">1/(1+CHOOSE(F$3,(X48+($K$3/10000))/2,(X47+($K$3/10000))/2))^(2*W47/365.25)</f>
        <v>0.011305718104576</v>
      </c>
      <c r="Z47" s="5" t="n">
        <f aca="false">IF(AND(mthbeg&lt;=A47,mthend&gt;=A47),1,0)</f>
        <v>0</v>
      </c>
      <c r="AA47" s="5" t="n">
        <f aca="false">U47*Z47</f>
        <v>0</v>
      </c>
      <c r="AC47" s="115" t="n">
        <f aca="false">IF(G40=2,F47*(S47-Q47),F47*(Q47-S47))</f>
        <v>0</v>
      </c>
      <c r="AE47" s="116" t="n">
        <f aca="false">IF($G$3=1,F47*(R47-Q47),F47*(Q47-R47))</f>
        <v>0</v>
      </c>
      <c r="AG47" s="116" t="n">
        <f aca="false">AC47+AE47</f>
        <v>0</v>
      </c>
    </row>
    <row r="48" customFormat="false" ht="12.75" hidden="false" customHeight="false" outlineLevel="0" collapsed="false">
      <c r="A48" s="120" t="n">
        <f aca="false">EDATE(A47,1)</f>
        <v>38443</v>
      </c>
      <c r="B48" s="121" t="e">
        <f aca="false">VLOOKUP(A48,'Inputs-Summary'!$A$32:$B$41,2,FALSE())</f>
        <v>#N/A</v>
      </c>
      <c r="C48" s="122"/>
      <c r="D48" s="123" t="e">
        <f aca="false">B48+C48</f>
        <v>#N/A</v>
      </c>
      <c r="E48" s="111" t="n">
        <f aca="false">IF(Z48=0,0,IF(AND(Z48=1,$H$3=1),D48*U48,IF($H$3=2,D48,"N/A")))</f>
        <v>0</v>
      </c>
      <c r="F48" s="111" t="n">
        <f aca="false">E48*Y48</f>
        <v>0</v>
      </c>
      <c r="G48" s="124" t="n">
        <f aca="false">VLOOKUP($A48,Table,MATCH(G$4,Curves,0))</f>
        <v>3</v>
      </c>
      <c r="H48" s="125" t="n">
        <f aca="false">G48+$H$7</f>
        <v>3</v>
      </c>
      <c r="I48" s="124" t="n">
        <f aca="false">H48</f>
        <v>3</v>
      </c>
      <c r="J48" s="124" t="n">
        <f aca="false">VLOOKUP($A48,Table,MATCH(J$4,Curves,0))</f>
        <v>4</v>
      </c>
      <c r="K48" s="125" t="n">
        <f aca="false">J48+$K$7</f>
        <v>4</v>
      </c>
      <c r="L48" s="126" t="n">
        <f aca="false">K48</f>
        <v>4</v>
      </c>
      <c r="M48" s="124" t="n">
        <f aca="false">VLOOKUP($A48,Table,MATCH(M$4,Curves,0))</f>
        <v>4</v>
      </c>
      <c r="N48" s="125" t="n">
        <f aca="false">M48+$N$7</f>
        <v>4</v>
      </c>
      <c r="O48" s="126" t="n">
        <f aca="false">0.07</f>
        <v>0.07</v>
      </c>
      <c r="P48" s="114"/>
      <c r="Q48" s="126" t="n">
        <f aca="false">M48+J48+G48</f>
        <v>11</v>
      </c>
      <c r="R48" s="126" t="n">
        <f aca="false">N48+K48+H48</f>
        <v>11</v>
      </c>
      <c r="S48" s="126" t="n">
        <f aca="false">O48+L48+I48</f>
        <v>7.07</v>
      </c>
      <c r="T48" s="127"/>
      <c r="U48" s="5" t="n">
        <f aca="false">A49-A48</f>
        <v>30</v>
      </c>
      <c r="V48" s="128" t="n">
        <f aca="false">CHOOSE(F$3,A49+24,A48)</f>
        <v>38443</v>
      </c>
      <c r="W48" s="5" t="n">
        <f aca="false">V48-C$3</f>
        <v>1212</v>
      </c>
      <c r="X48" s="124" t="n">
        <f aca="false">VLOOKUP($A48,Table,MATCH(X$4,Curves,0))</f>
        <v>2</v>
      </c>
      <c r="Y48" s="129" t="n">
        <f aca="false">1/(1+CHOOSE(F$3,(X49+($K$3/10000))/2,(X48+($K$3/10000))/2))^(2*W48/365.25)</f>
        <v>0.0100507689532769</v>
      </c>
      <c r="Z48" s="5" t="n">
        <f aca="false">IF(AND(mthbeg&lt;=A48,mthend&gt;=A48),1,0)</f>
        <v>0</v>
      </c>
      <c r="AA48" s="5" t="n">
        <f aca="false">U48*Z48</f>
        <v>0</v>
      </c>
      <c r="AC48" s="115" t="n">
        <f aca="false">IF(G41=2,F48*(S48-Q48),F48*(Q48-S48))</f>
        <v>0</v>
      </c>
      <c r="AE48" s="116" t="n">
        <f aca="false">IF($G$3=1,F48*(R48-Q48),F48*(Q48-R48))</f>
        <v>0</v>
      </c>
      <c r="AG48" s="116" t="n">
        <f aca="false">AC48+AE48</f>
        <v>0</v>
      </c>
    </row>
    <row r="49" customFormat="false" ht="12.75" hidden="false" customHeight="false" outlineLevel="0" collapsed="false">
      <c r="A49" s="120" t="n">
        <f aca="false">EDATE(A48,1)</f>
        <v>38473</v>
      </c>
      <c r="B49" s="121" t="e">
        <f aca="false">VLOOKUP(A49,'Inputs-Summary'!$A$32:$B$41,2,FALSE())</f>
        <v>#N/A</v>
      </c>
      <c r="C49" s="122"/>
      <c r="D49" s="123" t="e">
        <f aca="false">B49+C49</f>
        <v>#N/A</v>
      </c>
      <c r="E49" s="111" t="n">
        <f aca="false">IF(Z49=0,0,IF(AND(Z49=1,$H$3=1),D49*U49,IF($H$3=2,D49,"N/A")))</f>
        <v>0</v>
      </c>
      <c r="F49" s="111" t="n">
        <f aca="false">E49*Y49</f>
        <v>0</v>
      </c>
      <c r="G49" s="124" t="n">
        <f aca="false">VLOOKUP($A49,Table,MATCH(G$4,Curves,0))</f>
        <v>3</v>
      </c>
      <c r="H49" s="125" t="n">
        <f aca="false">G49+$H$7</f>
        <v>3</v>
      </c>
      <c r="I49" s="124" t="n">
        <f aca="false">H49</f>
        <v>3</v>
      </c>
      <c r="J49" s="124" t="n">
        <f aca="false">VLOOKUP($A49,Table,MATCH(J$4,Curves,0))</f>
        <v>4</v>
      </c>
      <c r="K49" s="125" t="n">
        <f aca="false">J49+$K$7</f>
        <v>4</v>
      </c>
      <c r="L49" s="126" t="n">
        <f aca="false">K49</f>
        <v>4</v>
      </c>
      <c r="M49" s="124" t="n">
        <f aca="false">VLOOKUP($A49,Table,MATCH(M$4,Curves,0))</f>
        <v>4</v>
      </c>
      <c r="N49" s="125" t="n">
        <f aca="false">M49+$N$7</f>
        <v>4</v>
      </c>
      <c r="O49" s="126" t="n">
        <f aca="false">0.07</f>
        <v>0.07</v>
      </c>
      <c r="P49" s="114"/>
      <c r="Q49" s="126" t="n">
        <f aca="false">M49+J49+G49</f>
        <v>11</v>
      </c>
      <c r="R49" s="126" t="n">
        <f aca="false">N49+K49+H49</f>
        <v>11</v>
      </c>
      <c r="S49" s="126" t="n">
        <f aca="false">O49+L49+I49</f>
        <v>7.07</v>
      </c>
      <c r="T49" s="127"/>
      <c r="U49" s="5" t="n">
        <f aca="false">A50-A49</f>
        <v>31</v>
      </c>
      <c r="V49" s="128" t="n">
        <f aca="false">CHOOSE(F$3,A50+24,A49)</f>
        <v>38473</v>
      </c>
      <c r="W49" s="5" t="n">
        <f aca="false">V49-C$3</f>
        <v>1242</v>
      </c>
      <c r="X49" s="124" t="n">
        <f aca="false">VLOOKUP($A49,Table,MATCH(X$4,Curves,0))</f>
        <v>2</v>
      </c>
      <c r="Y49" s="129" t="n">
        <f aca="false">1/(1+CHOOSE(F$3,(X50+($K$3/10000))/2,(X49+($K$3/10000))/2))^(2*W49/365.25)</f>
        <v>0.00896909815702623</v>
      </c>
      <c r="Z49" s="5" t="n">
        <f aca="false">IF(AND(mthbeg&lt;=A49,mthend&gt;=A49),1,0)</f>
        <v>0</v>
      </c>
      <c r="AA49" s="5" t="n">
        <f aca="false">U49*Z49</f>
        <v>0</v>
      </c>
      <c r="AC49" s="115" t="n">
        <f aca="false">IF(G42=2,F49*(S49-Q49),F49*(Q49-S49))</f>
        <v>0</v>
      </c>
      <c r="AE49" s="116" t="n">
        <f aca="false">IF($G$3=1,F49*(R49-Q49),F49*(Q49-R49))</f>
        <v>0</v>
      </c>
      <c r="AG49" s="116" t="n">
        <f aca="false">AC49+AE49</f>
        <v>0</v>
      </c>
    </row>
    <row r="50" customFormat="false" ht="12.75" hidden="false" customHeight="false" outlineLevel="0" collapsed="false">
      <c r="A50" s="120" t="n">
        <f aca="false">EDATE(A49,1)</f>
        <v>38504</v>
      </c>
      <c r="B50" s="121" t="e">
        <f aca="false">VLOOKUP(A50,'Inputs-Summary'!$A$32:$B$41,2,FALSE())</f>
        <v>#N/A</v>
      </c>
      <c r="C50" s="122"/>
      <c r="D50" s="123" t="e">
        <f aca="false">B50+C50</f>
        <v>#N/A</v>
      </c>
      <c r="E50" s="111" t="n">
        <f aca="false">IF(Z50=0,0,IF(AND(Z50=1,$H$3=1),D50*U50,IF($H$3=2,D50,"N/A")))</f>
        <v>0</v>
      </c>
      <c r="F50" s="111" t="n">
        <f aca="false">E50*Y50</f>
        <v>0</v>
      </c>
      <c r="G50" s="124" t="n">
        <f aca="false">VLOOKUP($A50,Table,MATCH(G$4,Curves,0))</f>
        <v>3</v>
      </c>
      <c r="H50" s="125" t="n">
        <f aca="false">G50+$H$7</f>
        <v>3</v>
      </c>
      <c r="I50" s="124" t="n">
        <f aca="false">H50</f>
        <v>3</v>
      </c>
      <c r="J50" s="124" t="n">
        <f aca="false">VLOOKUP($A50,Table,MATCH(J$4,Curves,0))</f>
        <v>4</v>
      </c>
      <c r="K50" s="125" t="n">
        <f aca="false">J50+$K$7</f>
        <v>4</v>
      </c>
      <c r="L50" s="126" t="n">
        <f aca="false">K50</f>
        <v>4</v>
      </c>
      <c r="M50" s="124" t="n">
        <f aca="false">VLOOKUP($A50,Table,MATCH(M$4,Curves,0))</f>
        <v>4</v>
      </c>
      <c r="N50" s="125" t="n">
        <f aca="false">M50+$N$7</f>
        <v>4</v>
      </c>
      <c r="O50" s="126" t="n">
        <f aca="false">0.07</f>
        <v>0.07</v>
      </c>
      <c r="P50" s="114"/>
      <c r="Q50" s="126" t="n">
        <f aca="false">M50+J50+G50</f>
        <v>11</v>
      </c>
      <c r="R50" s="126" t="n">
        <f aca="false">N50+K50+H50</f>
        <v>11</v>
      </c>
      <c r="S50" s="126" t="n">
        <f aca="false">O50+L50+I50</f>
        <v>7.07</v>
      </c>
      <c r="T50" s="127"/>
      <c r="U50" s="5" t="n">
        <f aca="false">A51-A50</f>
        <v>30</v>
      </c>
      <c r="V50" s="128" t="n">
        <f aca="false">CHOOSE(F$3,A51+24,A50)</f>
        <v>38504</v>
      </c>
      <c r="W50" s="5" t="n">
        <f aca="false">V50-C$3</f>
        <v>1273</v>
      </c>
      <c r="X50" s="124" t="n">
        <f aca="false">VLOOKUP($A50,Table,MATCH(X$4,Curves,0))</f>
        <v>2</v>
      </c>
      <c r="Y50" s="129" t="n">
        <f aca="false">1/(1+CHOOSE(F$3,(X51+($K$3/10000))/2,(X50+($K$3/10000))/2))^(2*W50/365.25)</f>
        <v>0.0079735168046553</v>
      </c>
      <c r="Z50" s="5" t="n">
        <f aca="false">IF(AND(mthbeg&lt;=A50,mthend&gt;=A50),1,0)</f>
        <v>0</v>
      </c>
      <c r="AA50" s="5" t="n">
        <f aca="false">U50*Z50</f>
        <v>0</v>
      </c>
      <c r="AC50" s="115" t="n">
        <f aca="false">IF(G43=2,F50*(S50-Q50),F50*(Q50-S50))</f>
        <v>0</v>
      </c>
      <c r="AE50" s="116" t="n">
        <f aca="false">IF($G$3=1,F50*(R50-Q50),F50*(Q50-R50))</f>
        <v>0</v>
      </c>
      <c r="AG50" s="116" t="n">
        <f aca="false">AC50+AE50</f>
        <v>0</v>
      </c>
    </row>
    <row r="51" customFormat="false" ht="12.75" hidden="false" customHeight="false" outlineLevel="0" collapsed="false">
      <c r="A51" s="120" t="n">
        <f aca="false">EDATE(A50,1)</f>
        <v>38534</v>
      </c>
      <c r="B51" s="121" t="e">
        <f aca="false">VLOOKUP(A51,'Inputs-Summary'!$A$32:$B$41,2,FALSE())</f>
        <v>#N/A</v>
      </c>
      <c r="C51" s="122"/>
      <c r="D51" s="123" t="e">
        <f aca="false">B51+C51</f>
        <v>#N/A</v>
      </c>
      <c r="E51" s="111" t="n">
        <f aca="false">IF(Z51=0,0,IF(AND(Z51=1,$H$3=1),D51*U51,IF($H$3=2,D51,"N/A")))</f>
        <v>0</v>
      </c>
      <c r="F51" s="111" t="n">
        <f aca="false">E51*Y51</f>
        <v>0</v>
      </c>
      <c r="G51" s="124" t="n">
        <f aca="false">VLOOKUP($A51,Table,MATCH(G$4,Curves,0))</f>
        <v>3</v>
      </c>
      <c r="H51" s="125" t="n">
        <f aca="false">G51+$H$7</f>
        <v>3</v>
      </c>
      <c r="I51" s="124" t="n">
        <f aca="false">H51</f>
        <v>3</v>
      </c>
      <c r="J51" s="124" t="n">
        <f aca="false">VLOOKUP($A51,Table,MATCH(J$4,Curves,0))</f>
        <v>4</v>
      </c>
      <c r="K51" s="125" t="n">
        <f aca="false">J51+$K$7</f>
        <v>4</v>
      </c>
      <c r="L51" s="126" t="n">
        <f aca="false">K51</f>
        <v>4</v>
      </c>
      <c r="M51" s="124" t="n">
        <f aca="false">VLOOKUP($A51,Table,MATCH(M$4,Curves,0))</f>
        <v>4</v>
      </c>
      <c r="N51" s="125" t="n">
        <f aca="false">M51+$N$7</f>
        <v>4</v>
      </c>
      <c r="O51" s="126" t="n">
        <f aca="false">0.07</f>
        <v>0.07</v>
      </c>
      <c r="P51" s="114"/>
      <c r="Q51" s="126" t="n">
        <f aca="false">M51+J51+G51</f>
        <v>11</v>
      </c>
      <c r="R51" s="126" t="n">
        <f aca="false">N51+K51+H51</f>
        <v>11</v>
      </c>
      <c r="S51" s="126" t="n">
        <f aca="false">O51+L51+I51</f>
        <v>7.07</v>
      </c>
      <c r="T51" s="127"/>
      <c r="U51" s="5" t="n">
        <f aca="false">A52-A51</f>
        <v>31</v>
      </c>
      <c r="V51" s="128" t="n">
        <f aca="false">CHOOSE(F$3,A52+24,A51)</f>
        <v>38534</v>
      </c>
      <c r="W51" s="5" t="n">
        <f aca="false">V51-C$3</f>
        <v>1303</v>
      </c>
      <c r="X51" s="124" t="n">
        <f aca="false">VLOOKUP($A51,Table,MATCH(X$4,Curves,0))</f>
        <v>2</v>
      </c>
      <c r="Y51" s="129" t="n">
        <f aca="false">1/(1+CHOOSE(F$3,(X52+($K$3/10000))/2,(X51+($K$3/10000))/2))^(2*W51/365.25)</f>
        <v>0.00711540133994771</v>
      </c>
      <c r="Z51" s="5" t="n">
        <f aca="false">IF(AND(mthbeg&lt;=A51,mthend&gt;=A51),1,0)</f>
        <v>0</v>
      </c>
      <c r="AA51" s="5" t="n">
        <f aca="false">U51*Z51</f>
        <v>0</v>
      </c>
      <c r="AC51" s="115" t="n">
        <f aca="false">IF(G44=2,F51*(S51-Q51),F51*(Q51-S51))</f>
        <v>0</v>
      </c>
      <c r="AE51" s="116" t="n">
        <f aca="false">IF($G$3=1,F51*(R51-Q51),F51*(Q51-R51))</f>
        <v>0</v>
      </c>
      <c r="AG51" s="116" t="n">
        <f aca="false">AC51+AE51</f>
        <v>0</v>
      </c>
    </row>
    <row r="52" customFormat="false" ht="12.75" hidden="false" customHeight="false" outlineLevel="0" collapsed="false">
      <c r="A52" s="120" t="n">
        <f aca="false">EDATE(A51,1)</f>
        <v>38565</v>
      </c>
      <c r="B52" s="121" t="e">
        <f aca="false">VLOOKUP(A52,'Inputs-Summary'!$A$32:$B$41,2,FALSE())</f>
        <v>#N/A</v>
      </c>
      <c r="C52" s="122"/>
      <c r="D52" s="123" t="e">
        <f aca="false">B52+C52</f>
        <v>#N/A</v>
      </c>
      <c r="E52" s="111" t="n">
        <f aca="false">IF(Z52=0,0,IF(AND(Z52=1,$H$3=1),D52*U52,IF($H$3=2,D52,"N/A")))</f>
        <v>0</v>
      </c>
      <c r="F52" s="111" t="n">
        <f aca="false">E52*Y52</f>
        <v>0</v>
      </c>
      <c r="G52" s="124" t="n">
        <f aca="false">VLOOKUP($A52,Table,MATCH(G$4,Curves,0))</f>
        <v>3</v>
      </c>
      <c r="H52" s="125" t="n">
        <f aca="false">G52+$H$7</f>
        <v>3</v>
      </c>
      <c r="I52" s="124" t="n">
        <f aca="false">H52</f>
        <v>3</v>
      </c>
      <c r="J52" s="124" t="n">
        <f aca="false">VLOOKUP($A52,Table,MATCH(J$4,Curves,0))</f>
        <v>4</v>
      </c>
      <c r="K52" s="125" t="n">
        <f aca="false">J52+$K$7</f>
        <v>4</v>
      </c>
      <c r="L52" s="126" t="n">
        <f aca="false">K52</f>
        <v>4</v>
      </c>
      <c r="M52" s="124" t="n">
        <f aca="false">VLOOKUP($A52,Table,MATCH(M$4,Curves,0))</f>
        <v>4</v>
      </c>
      <c r="N52" s="125" t="n">
        <f aca="false">M52+$N$7</f>
        <v>4</v>
      </c>
      <c r="O52" s="126" t="n">
        <f aca="false">0.07</f>
        <v>0.07</v>
      </c>
      <c r="P52" s="114"/>
      <c r="Q52" s="126" t="n">
        <f aca="false">M52+J52+G52</f>
        <v>11</v>
      </c>
      <c r="R52" s="126" t="n">
        <f aca="false">N52+K52+H52</f>
        <v>11</v>
      </c>
      <c r="S52" s="126" t="n">
        <f aca="false">O52+L52+I52</f>
        <v>7.07</v>
      </c>
      <c r="T52" s="127"/>
      <c r="U52" s="5" t="n">
        <f aca="false">A53-A52</f>
        <v>31</v>
      </c>
      <c r="V52" s="128" t="n">
        <f aca="false">CHOOSE(F$3,A53+24,A52)</f>
        <v>38565</v>
      </c>
      <c r="W52" s="5" t="n">
        <f aca="false">V52-C$3</f>
        <v>1334</v>
      </c>
      <c r="X52" s="124" t="n">
        <f aca="false">VLOOKUP($A52,Table,MATCH(X$4,Curves,0))</f>
        <v>2</v>
      </c>
      <c r="Y52" s="129" t="n">
        <f aca="false">1/(1+CHOOSE(F$3,(X53+($K$3/10000))/2,(X52+($K$3/10000))/2))^(2*W52/365.25)</f>
        <v>0.00632558270214659</v>
      </c>
      <c r="Z52" s="5" t="n">
        <f aca="false">IF(AND(mthbeg&lt;=A52,mthend&gt;=A52),1,0)</f>
        <v>0</v>
      </c>
      <c r="AA52" s="5" t="n">
        <f aca="false">U52*Z52</f>
        <v>0</v>
      </c>
      <c r="AC52" s="115" t="n">
        <f aca="false">IF(G45=2,F52*(S52-Q52),F52*(Q52-S52))</f>
        <v>0</v>
      </c>
      <c r="AE52" s="116" t="n">
        <f aca="false">IF($G$3=1,F52*(R52-Q52),F52*(Q52-R52))</f>
        <v>0</v>
      </c>
      <c r="AG52" s="116" t="n">
        <f aca="false">AC52+AE52</f>
        <v>0</v>
      </c>
    </row>
    <row r="53" customFormat="false" ht="12.75" hidden="false" customHeight="false" outlineLevel="0" collapsed="false">
      <c r="A53" s="120" t="n">
        <f aca="false">EDATE(A52,1)</f>
        <v>38596</v>
      </c>
      <c r="B53" s="121" t="e">
        <f aca="false">VLOOKUP(A53,'Inputs-Summary'!$A$32:$B$41,2,FALSE())</f>
        <v>#N/A</v>
      </c>
      <c r="C53" s="122"/>
      <c r="D53" s="123" t="e">
        <f aca="false">B53+C53</f>
        <v>#N/A</v>
      </c>
      <c r="E53" s="111" t="n">
        <f aca="false">IF(Z53=0,0,IF(AND(Z53=1,$H$3=1),D53*U53,IF($H$3=2,D53,"N/A")))</f>
        <v>0</v>
      </c>
      <c r="F53" s="111" t="n">
        <f aca="false">E53*Y53</f>
        <v>0</v>
      </c>
      <c r="G53" s="124" t="n">
        <f aca="false">VLOOKUP($A53,Table,MATCH(G$4,Curves,0))</f>
        <v>3</v>
      </c>
      <c r="H53" s="125" t="n">
        <f aca="false">G53+$H$7</f>
        <v>3</v>
      </c>
      <c r="I53" s="124" t="n">
        <f aca="false">H53</f>
        <v>3</v>
      </c>
      <c r="J53" s="124" t="n">
        <f aca="false">VLOOKUP($A53,Table,MATCH(J$4,Curves,0))</f>
        <v>4</v>
      </c>
      <c r="K53" s="125" t="n">
        <f aca="false">J53+$K$7</f>
        <v>4</v>
      </c>
      <c r="L53" s="126" t="n">
        <f aca="false">K53</f>
        <v>4</v>
      </c>
      <c r="M53" s="124" t="n">
        <f aca="false">VLOOKUP($A53,Table,MATCH(M$4,Curves,0))</f>
        <v>4</v>
      </c>
      <c r="N53" s="125" t="n">
        <f aca="false">M53+$N$7</f>
        <v>4</v>
      </c>
      <c r="O53" s="126" t="n">
        <f aca="false">0.07</f>
        <v>0.07</v>
      </c>
      <c r="P53" s="114"/>
      <c r="Q53" s="126" t="n">
        <f aca="false">M53+J53+G53</f>
        <v>11</v>
      </c>
      <c r="R53" s="126" t="n">
        <f aca="false">N53+K53+H53</f>
        <v>11</v>
      </c>
      <c r="S53" s="126" t="n">
        <f aca="false">O53+L53+I53</f>
        <v>7.07</v>
      </c>
      <c r="T53" s="127"/>
      <c r="U53" s="5" t="n">
        <f aca="false">A54-A53</f>
        <v>30</v>
      </c>
      <c r="V53" s="128" t="n">
        <f aca="false">CHOOSE(F$3,A54+24,A53)</f>
        <v>38596</v>
      </c>
      <c r="W53" s="5" t="n">
        <f aca="false">V53-C$3</f>
        <v>1365</v>
      </c>
      <c r="X53" s="124" t="n">
        <f aca="false">VLOOKUP($A53,Table,MATCH(X$4,Curves,0))</f>
        <v>2</v>
      </c>
      <c r="Y53" s="129" t="n">
        <f aca="false">1/(1+CHOOSE(F$3,(X54+($K$3/10000))/2,(X53+($K$3/10000))/2))^(2*W53/365.25)</f>
        <v>0.00562343494203942</v>
      </c>
      <c r="Z53" s="5" t="n">
        <f aca="false">IF(AND(mthbeg&lt;=A53,mthend&gt;=A53),1,0)</f>
        <v>0</v>
      </c>
      <c r="AA53" s="5" t="n">
        <f aca="false">U53*Z53</f>
        <v>0</v>
      </c>
      <c r="AC53" s="115" t="n">
        <f aca="false">IF(G46=2,F53*(S53-Q53),F53*(Q53-S53))</f>
        <v>0</v>
      </c>
      <c r="AE53" s="116" t="n">
        <f aca="false">IF($G$3=1,F53*(R53-Q53),F53*(Q53-R53))</f>
        <v>0</v>
      </c>
      <c r="AG53" s="116" t="n">
        <f aca="false">AC53+AE53</f>
        <v>0</v>
      </c>
    </row>
    <row r="54" customFormat="false" ht="12.75" hidden="false" customHeight="false" outlineLevel="0" collapsed="false">
      <c r="A54" s="120" t="n">
        <f aca="false">EDATE(A53,1)</f>
        <v>38626</v>
      </c>
      <c r="B54" s="121" t="e">
        <f aca="false">VLOOKUP(A54,'Inputs-Summary'!$A$32:$B$41,2,FALSE())</f>
        <v>#N/A</v>
      </c>
      <c r="C54" s="122"/>
      <c r="D54" s="123" t="e">
        <f aca="false">B54+C54</f>
        <v>#N/A</v>
      </c>
      <c r="E54" s="111" t="n">
        <f aca="false">IF(Z54=0,0,IF(AND(Z54=1,$H$3=1),D54*U54,IF($H$3=2,D54,"N/A")))</f>
        <v>0</v>
      </c>
      <c r="F54" s="111" t="n">
        <f aca="false">E54*Y54</f>
        <v>0</v>
      </c>
      <c r="G54" s="124" t="n">
        <f aca="false">VLOOKUP($A54,Table,MATCH(G$4,Curves,0))</f>
        <v>3</v>
      </c>
      <c r="H54" s="125" t="n">
        <f aca="false">G54+$H$7</f>
        <v>3</v>
      </c>
      <c r="I54" s="124" t="n">
        <f aca="false">H54</f>
        <v>3</v>
      </c>
      <c r="J54" s="124" t="n">
        <f aca="false">VLOOKUP($A54,Table,MATCH(J$4,Curves,0))</f>
        <v>4</v>
      </c>
      <c r="K54" s="125" t="n">
        <f aca="false">J54+$K$7</f>
        <v>4</v>
      </c>
      <c r="L54" s="126" t="n">
        <f aca="false">K54</f>
        <v>4</v>
      </c>
      <c r="M54" s="124" t="n">
        <f aca="false">VLOOKUP($A54,Table,MATCH(M$4,Curves,0))</f>
        <v>4</v>
      </c>
      <c r="N54" s="125" t="n">
        <f aca="false">M54+$N$7</f>
        <v>4</v>
      </c>
      <c r="O54" s="126" t="n">
        <f aca="false">0.07</f>
        <v>0.07</v>
      </c>
      <c r="P54" s="114"/>
      <c r="Q54" s="126" t="n">
        <f aca="false">M54+J54+G54</f>
        <v>11</v>
      </c>
      <c r="R54" s="126" t="n">
        <f aca="false">N54+K54+H54</f>
        <v>11</v>
      </c>
      <c r="S54" s="126" t="n">
        <f aca="false">O54+L54+I54</f>
        <v>7.07</v>
      </c>
      <c r="T54" s="127"/>
      <c r="U54" s="5" t="n">
        <f aca="false">A55-A54</f>
        <v>31</v>
      </c>
      <c r="V54" s="128" t="n">
        <f aca="false">CHOOSE(F$3,A55+24,A54)</f>
        <v>38626</v>
      </c>
      <c r="W54" s="5" t="n">
        <f aca="false">V54-C$3</f>
        <v>1395</v>
      </c>
      <c r="X54" s="124" t="n">
        <f aca="false">VLOOKUP($A54,Table,MATCH(X$4,Curves,0))</f>
        <v>2</v>
      </c>
      <c r="Y54" s="129" t="n">
        <f aca="false">1/(1+CHOOSE(F$3,(X55+($K$3/10000))/2,(X54+($K$3/10000))/2))^(2*W54/365.25)</f>
        <v>0.00501823693383761</v>
      </c>
      <c r="Z54" s="5" t="n">
        <f aca="false">IF(AND(mthbeg&lt;=A54,mthend&gt;=A54),1,0)</f>
        <v>0</v>
      </c>
      <c r="AA54" s="5" t="n">
        <f aca="false">U54*Z54</f>
        <v>0</v>
      </c>
      <c r="AC54" s="115" t="n">
        <f aca="false">IF(G47=2,F54*(S54-Q54),F54*(Q54-S54))</f>
        <v>0</v>
      </c>
      <c r="AE54" s="116" t="n">
        <f aca="false">IF($G$3=1,F54*(R54-Q54),F54*(Q54-R54))</f>
        <v>0</v>
      </c>
      <c r="AG54" s="116" t="n">
        <f aca="false">AC54+AE54</f>
        <v>0</v>
      </c>
    </row>
    <row r="55" customFormat="false" ht="12.75" hidden="false" customHeight="false" outlineLevel="0" collapsed="false">
      <c r="A55" s="120" t="n">
        <f aca="false">EDATE(A54,1)</f>
        <v>38657</v>
      </c>
      <c r="B55" s="121" t="e">
        <f aca="false">VLOOKUP(A55,'Inputs-Summary'!$A$32:$B$41,2,FALSE())</f>
        <v>#N/A</v>
      </c>
      <c r="C55" s="122"/>
      <c r="D55" s="123" t="e">
        <f aca="false">B55+C55</f>
        <v>#N/A</v>
      </c>
      <c r="E55" s="111" t="n">
        <f aca="false">IF(Z55=0,0,IF(AND(Z55=1,$H$3=1),D55*U55,IF($H$3=2,D55,"N/A")))</f>
        <v>0</v>
      </c>
      <c r="F55" s="111" t="n">
        <f aca="false">E55*Y55</f>
        <v>0</v>
      </c>
      <c r="G55" s="124" t="n">
        <f aca="false">VLOOKUP($A55,Table,MATCH(G$4,Curves,0))</f>
        <v>3</v>
      </c>
      <c r="H55" s="125" t="n">
        <f aca="false">G55+$H$7</f>
        <v>3</v>
      </c>
      <c r="I55" s="124" t="n">
        <f aca="false">H55</f>
        <v>3</v>
      </c>
      <c r="J55" s="124" t="n">
        <f aca="false">VLOOKUP($A55,Table,MATCH(J$4,Curves,0))</f>
        <v>4</v>
      </c>
      <c r="K55" s="125" t="n">
        <f aca="false">J55+$K$7</f>
        <v>4</v>
      </c>
      <c r="L55" s="126" t="n">
        <f aca="false">K55</f>
        <v>4</v>
      </c>
      <c r="M55" s="124" t="n">
        <f aca="false">VLOOKUP($A55,Table,MATCH(M$4,Curves,0))</f>
        <v>4</v>
      </c>
      <c r="N55" s="125" t="n">
        <f aca="false">M55+$N$7</f>
        <v>4</v>
      </c>
      <c r="O55" s="126" t="n">
        <f aca="false">0.07</f>
        <v>0.07</v>
      </c>
      <c r="P55" s="114"/>
      <c r="Q55" s="126" t="n">
        <f aca="false">M55+J55+G55</f>
        <v>11</v>
      </c>
      <c r="R55" s="126" t="n">
        <f aca="false">N55+K55+H55</f>
        <v>11</v>
      </c>
      <c r="S55" s="126" t="n">
        <f aca="false">O55+L55+I55</f>
        <v>7.07</v>
      </c>
      <c r="T55" s="127"/>
      <c r="U55" s="5" t="n">
        <f aca="false">A56-A55</f>
        <v>30</v>
      </c>
      <c r="V55" s="128" t="n">
        <f aca="false">CHOOSE(F$3,A56+24,A55)</f>
        <v>38657</v>
      </c>
      <c r="W55" s="5" t="n">
        <f aca="false">V55-C$3</f>
        <v>1426</v>
      </c>
      <c r="X55" s="124" t="n">
        <f aca="false">VLOOKUP($A55,Table,MATCH(X$4,Curves,0))</f>
        <v>2</v>
      </c>
      <c r="Y55" s="129" t="n">
        <f aca="false">1/(1+CHOOSE(F$3,(X56+($K$3/10000))/2,(X55+($K$3/10000))/2))^(2*W55/365.25)</f>
        <v>0.00446120622398926</v>
      </c>
      <c r="Z55" s="5" t="n">
        <f aca="false">IF(AND(mthbeg&lt;=A55,mthend&gt;=A55),1,0)</f>
        <v>0</v>
      </c>
      <c r="AA55" s="5" t="n">
        <f aca="false">U55*Z55</f>
        <v>0</v>
      </c>
      <c r="AC55" s="115" t="n">
        <f aca="false">IF(G48=2,F55*(S55-Q55),F55*(Q55-S55))</f>
        <v>0</v>
      </c>
      <c r="AE55" s="116" t="n">
        <f aca="false">IF($G$3=1,F55*(R55-Q55),F55*(Q55-R55))</f>
        <v>0</v>
      </c>
      <c r="AG55" s="116" t="n">
        <f aca="false">AC55+AE55</f>
        <v>0</v>
      </c>
    </row>
    <row r="56" customFormat="false" ht="12.75" hidden="false" customHeight="false" outlineLevel="0" collapsed="false">
      <c r="A56" s="120" t="n">
        <f aca="false">EDATE(A55,1)</f>
        <v>38687</v>
      </c>
      <c r="B56" s="121" t="e">
        <f aca="false">VLOOKUP(A56,'Inputs-Summary'!$A$32:$B$41,2,FALSE())</f>
        <v>#N/A</v>
      </c>
      <c r="C56" s="122"/>
      <c r="D56" s="123" t="e">
        <f aca="false">B56+C56</f>
        <v>#N/A</v>
      </c>
      <c r="E56" s="111" t="n">
        <f aca="false">IF(Z56=0,0,IF(AND(Z56=1,$H$3=1),D56*U56,IF($H$3=2,D56,"N/A")))</f>
        <v>0</v>
      </c>
      <c r="F56" s="111" t="n">
        <f aca="false">E56*Y56</f>
        <v>0</v>
      </c>
      <c r="G56" s="124" t="n">
        <f aca="false">VLOOKUP($A56,Table,MATCH(G$4,Curves,0))</f>
        <v>3</v>
      </c>
      <c r="H56" s="125" t="n">
        <f aca="false">G56+$H$7</f>
        <v>3</v>
      </c>
      <c r="I56" s="124" t="n">
        <f aca="false">H56</f>
        <v>3</v>
      </c>
      <c r="J56" s="124" t="n">
        <f aca="false">VLOOKUP($A56,Table,MATCH(J$4,Curves,0))</f>
        <v>4</v>
      </c>
      <c r="K56" s="125" t="n">
        <f aca="false">J56+$K$7</f>
        <v>4</v>
      </c>
      <c r="L56" s="126" t="n">
        <f aca="false">K56</f>
        <v>4</v>
      </c>
      <c r="M56" s="124" t="n">
        <f aca="false">VLOOKUP($A56,Table,MATCH(M$4,Curves,0))</f>
        <v>4</v>
      </c>
      <c r="N56" s="125" t="n">
        <f aca="false">M56+$N$7</f>
        <v>4</v>
      </c>
      <c r="O56" s="126" t="n">
        <f aca="false">0.07</f>
        <v>0.07</v>
      </c>
      <c r="P56" s="114"/>
      <c r="Q56" s="126" t="n">
        <f aca="false">M56+J56+G56</f>
        <v>11</v>
      </c>
      <c r="R56" s="126" t="n">
        <f aca="false">N56+K56+H56</f>
        <v>11</v>
      </c>
      <c r="S56" s="126" t="n">
        <f aca="false">O56+L56+I56</f>
        <v>7.07</v>
      </c>
      <c r="T56" s="127"/>
      <c r="U56" s="5" t="n">
        <f aca="false">A57-A56</f>
        <v>31</v>
      </c>
      <c r="V56" s="128" t="n">
        <f aca="false">CHOOSE(F$3,A57+24,A56)</f>
        <v>38687</v>
      </c>
      <c r="W56" s="5" t="n">
        <f aca="false">V56-C$3</f>
        <v>1456</v>
      </c>
      <c r="X56" s="124" t="n">
        <f aca="false">VLOOKUP($A56,Table,MATCH(X$4,Curves,0))</f>
        <v>2</v>
      </c>
      <c r="Y56" s="129" t="n">
        <f aca="false">1/(1+CHOOSE(F$3,(X57+($K$3/10000))/2,(X56+($K$3/10000))/2))^(2*W56/365.25)</f>
        <v>0.00398108808467339</v>
      </c>
      <c r="Z56" s="5" t="n">
        <f aca="false">IF(AND(mthbeg&lt;=A56,mthend&gt;=A56),1,0)</f>
        <v>0</v>
      </c>
      <c r="AA56" s="5" t="n">
        <f aca="false">U56*Z56</f>
        <v>0</v>
      </c>
      <c r="AC56" s="115" t="n">
        <f aca="false">IF(G49=2,F56*(S56-Q56),F56*(Q56-S56))</f>
        <v>0</v>
      </c>
      <c r="AE56" s="116" t="n">
        <f aca="false">IF($G$3=1,F56*(R56-Q56),F56*(Q56-R56))</f>
        <v>0</v>
      </c>
      <c r="AG56" s="116" t="n">
        <f aca="false">AC56+AE56</f>
        <v>0</v>
      </c>
    </row>
    <row r="57" customFormat="false" ht="12.75" hidden="false" customHeight="false" outlineLevel="0" collapsed="false">
      <c r="A57" s="120" t="n">
        <f aca="false">EDATE(A56,1)</f>
        <v>38718</v>
      </c>
      <c r="B57" s="121" t="e">
        <f aca="false">VLOOKUP(A57,'Inputs-Summary'!$A$32:$B$41,2,FALSE())</f>
        <v>#N/A</v>
      </c>
      <c r="C57" s="122"/>
      <c r="D57" s="123" t="e">
        <f aca="false">B57+C57</f>
        <v>#N/A</v>
      </c>
      <c r="E57" s="111" t="n">
        <f aca="false">IF(Z57=0,0,IF(AND(Z57=1,$H$3=1),D57*U57,IF($H$3=2,D57,"N/A")))</f>
        <v>0</v>
      </c>
      <c r="F57" s="111" t="n">
        <f aca="false">E57*Y57</f>
        <v>0</v>
      </c>
      <c r="G57" s="124" t="n">
        <f aca="false">VLOOKUP($A57,Table,MATCH(G$4,Curves,0))</f>
        <v>3</v>
      </c>
      <c r="H57" s="125" t="n">
        <f aca="false">G57+$H$7</f>
        <v>3</v>
      </c>
      <c r="I57" s="124" t="n">
        <f aca="false">H57</f>
        <v>3</v>
      </c>
      <c r="J57" s="124" t="n">
        <f aca="false">VLOOKUP($A57,Table,MATCH(J$4,Curves,0))</f>
        <v>4</v>
      </c>
      <c r="K57" s="125" t="n">
        <f aca="false">J57+$K$7</f>
        <v>4</v>
      </c>
      <c r="L57" s="126" t="n">
        <f aca="false">K57</f>
        <v>4</v>
      </c>
      <c r="M57" s="124" t="n">
        <f aca="false">VLOOKUP($A57,Table,MATCH(M$4,Curves,0))</f>
        <v>4</v>
      </c>
      <c r="N57" s="125" t="n">
        <f aca="false">M57+$N$7</f>
        <v>4</v>
      </c>
      <c r="O57" s="126" t="n">
        <f aca="false">0.07</f>
        <v>0.07</v>
      </c>
      <c r="P57" s="114"/>
      <c r="Q57" s="126" t="n">
        <f aca="false">M57+J57+G57</f>
        <v>11</v>
      </c>
      <c r="R57" s="126" t="n">
        <f aca="false">N57+K57+H57</f>
        <v>11</v>
      </c>
      <c r="S57" s="126" t="n">
        <f aca="false">O57+L57+I57</f>
        <v>7.07</v>
      </c>
      <c r="T57" s="127"/>
      <c r="U57" s="5" t="n">
        <f aca="false">A58-A57</f>
        <v>31</v>
      </c>
      <c r="V57" s="128" t="n">
        <f aca="false">CHOOSE(F$3,A58+24,A57)</f>
        <v>38718</v>
      </c>
      <c r="W57" s="5" t="n">
        <f aca="false">V57-C$3</f>
        <v>1487</v>
      </c>
      <c r="X57" s="124" t="n">
        <f aca="false">VLOOKUP($A57,Table,MATCH(X$4,Curves,0))</f>
        <v>2</v>
      </c>
      <c r="Y57" s="129" t="n">
        <f aca="false">1/(1+CHOOSE(F$3,(X58+($K$3/10000))/2,(X57+($K$3/10000))/2))^(2*W57/365.25)</f>
        <v>0.00353918222191482</v>
      </c>
      <c r="Z57" s="5" t="n">
        <f aca="false">IF(AND(mthbeg&lt;=A57,mthend&gt;=A57),1,0)</f>
        <v>0</v>
      </c>
      <c r="AA57" s="5" t="n">
        <f aca="false">U57*Z57</f>
        <v>0</v>
      </c>
      <c r="AC57" s="115" t="n">
        <f aca="false">IF(G50=2,F57*(S57-Q57),F57*(Q57-S57))</f>
        <v>0</v>
      </c>
      <c r="AE57" s="116" t="n">
        <f aca="false">IF($G$3=1,F57*(R57-Q57),F57*(Q57-R57))</f>
        <v>0</v>
      </c>
      <c r="AG57" s="116" t="n">
        <f aca="false">AC57+AE57</f>
        <v>0</v>
      </c>
    </row>
    <row r="58" customFormat="false" ht="12.75" hidden="false" customHeight="false" outlineLevel="0" collapsed="false">
      <c r="A58" s="120" t="n">
        <f aca="false">EDATE(A57,1)</f>
        <v>38749</v>
      </c>
      <c r="B58" s="121" t="e">
        <f aca="false">VLOOKUP(A58,'Inputs-Summary'!$A$32:$B$41,2,FALSE())</f>
        <v>#N/A</v>
      </c>
      <c r="C58" s="122"/>
      <c r="D58" s="123" t="e">
        <f aca="false">B58+C58</f>
        <v>#N/A</v>
      </c>
      <c r="E58" s="111" t="n">
        <f aca="false">IF(Z58=0,0,IF(AND(Z58=1,$H$3=1),D58*U58,IF($H$3=2,D58,"N/A")))</f>
        <v>0</v>
      </c>
      <c r="F58" s="111" t="n">
        <f aca="false">E58*Y58</f>
        <v>0</v>
      </c>
      <c r="G58" s="124" t="n">
        <f aca="false">VLOOKUP($A58,Table,MATCH(G$4,Curves,0))</f>
        <v>3</v>
      </c>
      <c r="H58" s="125" t="n">
        <f aca="false">G58+$H$7</f>
        <v>3</v>
      </c>
      <c r="I58" s="124" t="n">
        <f aca="false">H58</f>
        <v>3</v>
      </c>
      <c r="J58" s="124" t="n">
        <f aca="false">VLOOKUP($A58,Table,MATCH(J$4,Curves,0))</f>
        <v>4</v>
      </c>
      <c r="K58" s="125" t="n">
        <f aca="false">J58+$K$7</f>
        <v>4</v>
      </c>
      <c r="L58" s="126" t="n">
        <f aca="false">K58</f>
        <v>4</v>
      </c>
      <c r="M58" s="124" t="n">
        <f aca="false">VLOOKUP($A58,Table,MATCH(M$4,Curves,0))</f>
        <v>4</v>
      </c>
      <c r="N58" s="125" t="n">
        <f aca="false">M58+$N$7</f>
        <v>4</v>
      </c>
      <c r="O58" s="126" t="n">
        <f aca="false">0.07</f>
        <v>0.07</v>
      </c>
      <c r="P58" s="114"/>
      <c r="Q58" s="126" t="n">
        <f aca="false">M58+J58+G58</f>
        <v>11</v>
      </c>
      <c r="R58" s="126" t="n">
        <f aca="false">N58+K58+H58</f>
        <v>11</v>
      </c>
      <c r="S58" s="126" t="n">
        <f aca="false">O58+L58+I58</f>
        <v>7.07</v>
      </c>
      <c r="T58" s="127"/>
      <c r="U58" s="5" t="n">
        <f aca="false">A59-A58</f>
        <v>28</v>
      </c>
      <c r="V58" s="128" t="n">
        <f aca="false">CHOOSE(F$3,A59+24,A58)</f>
        <v>38749</v>
      </c>
      <c r="W58" s="5" t="n">
        <f aca="false">V58-C$3</f>
        <v>1518</v>
      </c>
      <c r="X58" s="124" t="n">
        <f aca="false">VLOOKUP($A58,Table,MATCH(X$4,Curves,0))</f>
        <v>2</v>
      </c>
      <c r="Y58" s="129" t="n">
        <f aca="false">1/(1+CHOOSE(F$3,(X59+($K$3/10000))/2,(X58+($K$3/10000))/2))^(2*W58/365.25)</f>
        <v>0.0031463284744039</v>
      </c>
      <c r="Z58" s="5" t="n">
        <f aca="false">IF(AND(mthbeg&lt;=A58,mthend&gt;=A58),1,0)</f>
        <v>0</v>
      </c>
      <c r="AA58" s="5" t="n">
        <f aca="false">U58*Z58</f>
        <v>0</v>
      </c>
      <c r="AC58" s="115" t="n">
        <f aca="false">IF(G51=2,F58*(S58-Q58),F58*(Q58-S58))</f>
        <v>0</v>
      </c>
      <c r="AE58" s="116" t="n">
        <f aca="false">IF($G$3=1,F58*(R58-Q58),F58*(Q58-R58))</f>
        <v>0</v>
      </c>
      <c r="AG58" s="116" t="n">
        <f aca="false">AC58+AE58</f>
        <v>0</v>
      </c>
    </row>
    <row r="59" customFormat="false" ht="12.75" hidden="false" customHeight="false" outlineLevel="0" collapsed="false">
      <c r="A59" s="120" t="n">
        <f aca="false">EDATE(A58,1)</f>
        <v>38777</v>
      </c>
      <c r="B59" s="121" t="e">
        <f aca="false">VLOOKUP(A59,'Inputs-Summary'!$A$32:$B$41,2,FALSE())</f>
        <v>#N/A</v>
      </c>
      <c r="C59" s="122"/>
      <c r="D59" s="123" t="e">
        <f aca="false">B59+C59</f>
        <v>#N/A</v>
      </c>
      <c r="E59" s="111" t="n">
        <f aca="false">IF(Z59=0,0,IF(AND(Z59=1,$H$3=1),D59*U59,IF($H$3=2,D59,"N/A")))</f>
        <v>0</v>
      </c>
      <c r="F59" s="111" t="n">
        <f aca="false">E59*Y59</f>
        <v>0</v>
      </c>
      <c r="G59" s="124" t="n">
        <f aca="false">VLOOKUP($A59,Table,MATCH(G$4,Curves,0))</f>
        <v>3</v>
      </c>
      <c r="H59" s="125" t="n">
        <f aca="false">G59+$H$7</f>
        <v>3</v>
      </c>
      <c r="I59" s="124" t="n">
        <f aca="false">H59</f>
        <v>3</v>
      </c>
      <c r="J59" s="124" t="n">
        <f aca="false">VLOOKUP($A59,Table,MATCH(J$4,Curves,0))</f>
        <v>4</v>
      </c>
      <c r="K59" s="125" t="n">
        <f aca="false">J59+$K$7</f>
        <v>4</v>
      </c>
      <c r="L59" s="126" t="n">
        <f aca="false">K59</f>
        <v>4</v>
      </c>
      <c r="M59" s="124" t="n">
        <f aca="false">VLOOKUP($A59,Table,MATCH(M$4,Curves,0))</f>
        <v>4</v>
      </c>
      <c r="N59" s="125" t="n">
        <f aca="false">M59+$N$7</f>
        <v>4</v>
      </c>
      <c r="O59" s="126" t="n">
        <f aca="false">0.07</f>
        <v>0.07</v>
      </c>
      <c r="P59" s="114"/>
      <c r="Q59" s="126" t="n">
        <f aca="false">M59+J59+G59</f>
        <v>11</v>
      </c>
      <c r="R59" s="126" t="n">
        <f aca="false">N59+K59+H59</f>
        <v>11</v>
      </c>
      <c r="S59" s="126" t="n">
        <f aca="false">O59+L59+I59</f>
        <v>7.07</v>
      </c>
      <c r="T59" s="127"/>
      <c r="U59" s="5" t="n">
        <f aca="false">A60-A59</f>
        <v>31</v>
      </c>
      <c r="V59" s="128" t="n">
        <f aca="false">CHOOSE(F$3,A60+24,A59)</f>
        <v>38777</v>
      </c>
      <c r="W59" s="5" t="n">
        <f aca="false">V59-C$3</f>
        <v>1546</v>
      </c>
      <c r="X59" s="124" t="n">
        <f aca="false">VLOOKUP($A59,Table,MATCH(X$4,Curves,0))</f>
        <v>2</v>
      </c>
      <c r="Y59" s="129" t="n">
        <f aca="false">1/(1+CHOOSE(F$3,(X60+($K$3/10000))/2,(X59+($K$3/10000))/2))^(2*W59/365.25)</f>
        <v>0.0028291127040066</v>
      </c>
      <c r="Z59" s="5" t="n">
        <f aca="false">IF(AND(mthbeg&lt;=A59,mthend&gt;=A59),1,0)</f>
        <v>0</v>
      </c>
      <c r="AA59" s="5" t="n">
        <f aca="false">U59*Z59</f>
        <v>0</v>
      </c>
      <c r="AC59" s="115" t="n">
        <f aca="false">IF(G52=2,F59*(S59-Q59),F59*(Q59-S59))</f>
        <v>0</v>
      </c>
      <c r="AE59" s="116" t="n">
        <f aca="false">IF($G$3=1,F59*(R59-Q59),F59*(Q59-R59))</f>
        <v>0</v>
      </c>
      <c r="AG59" s="116" t="n">
        <f aca="false">AC59+AE59</f>
        <v>0</v>
      </c>
    </row>
    <row r="60" customFormat="false" ht="12.75" hidden="false" customHeight="false" outlineLevel="0" collapsed="false">
      <c r="A60" s="120" t="n">
        <f aca="false">EDATE(A59,1)</f>
        <v>38808</v>
      </c>
      <c r="B60" s="121" t="e">
        <f aca="false">VLOOKUP(A60,'Inputs-Summary'!$A$32:$B$41,2,FALSE())</f>
        <v>#N/A</v>
      </c>
      <c r="C60" s="122"/>
      <c r="D60" s="123" t="e">
        <f aca="false">B60+C60</f>
        <v>#N/A</v>
      </c>
      <c r="E60" s="111" t="n">
        <f aca="false">IF(Z60=0,0,IF(AND(Z60=1,$H$3=1),D60*U60,IF($H$3=2,D60,"N/A")))</f>
        <v>0</v>
      </c>
      <c r="F60" s="111" t="n">
        <f aca="false">E60*Y60</f>
        <v>0</v>
      </c>
      <c r="G60" s="124" t="n">
        <f aca="false">VLOOKUP($A60,Table,MATCH(G$4,Curves,0))</f>
        <v>3</v>
      </c>
      <c r="H60" s="125" t="n">
        <f aca="false">G60+$H$7</f>
        <v>3</v>
      </c>
      <c r="I60" s="124" t="n">
        <f aca="false">H60</f>
        <v>3</v>
      </c>
      <c r="J60" s="124" t="n">
        <f aca="false">VLOOKUP($A60,Table,MATCH(J$4,Curves,0))</f>
        <v>4</v>
      </c>
      <c r="K60" s="125" t="n">
        <f aca="false">J60+$K$7</f>
        <v>4</v>
      </c>
      <c r="L60" s="126" t="n">
        <f aca="false">K60</f>
        <v>4</v>
      </c>
      <c r="M60" s="124" t="n">
        <f aca="false">VLOOKUP($A60,Table,MATCH(M$4,Curves,0))</f>
        <v>4</v>
      </c>
      <c r="N60" s="125" t="n">
        <f aca="false">M60+$N$7</f>
        <v>4</v>
      </c>
      <c r="O60" s="126" t="n">
        <f aca="false">0.07</f>
        <v>0.07</v>
      </c>
      <c r="P60" s="114"/>
      <c r="Q60" s="126" t="n">
        <f aca="false">M60+J60+G60</f>
        <v>11</v>
      </c>
      <c r="R60" s="126" t="n">
        <f aca="false">N60+K60+H60</f>
        <v>11</v>
      </c>
      <c r="S60" s="126" t="n">
        <f aca="false">O60+L60+I60</f>
        <v>7.07</v>
      </c>
      <c r="T60" s="127"/>
      <c r="U60" s="5" t="n">
        <f aca="false">A61-A60</f>
        <v>30</v>
      </c>
      <c r="V60" s="128" t="n">
        <f aca="false">CHOOSE(F$3,A61+24,A60)</f>
        <v>38808</v>
      </c>
      <c r="W60" s="5" t="n">
        <f aca="false">V60-C$3</f>
        <v>1577</v>
      </c>
      <c r="X60" s="124" t="n">
        <f aca="false">VLOOKUP($A60,Table,MATCH(X$4,Curves,0))</f>
        <v>2</v>
      </c>
      <c r="Y60" s="129" t="n">
        <f aca="false">1/(1+CHOOSE(F$3,(X61+($K$3/10000))/2,(X60+($K$3/10000))/2))^(2*W60/365.25)</f>
        <v>0.00251507758001164</v>
      </c>
      <c r="Z60" s="5" t="n">
        <f aca="false">IF(AND(mthbeg&lt;=A60,mthend&gt;=A60),1,0)</f>
        <v>0</v>
      </c>
      <c r="AA60" s="5" t="n">
        <f aca="false">U60*Z60</f>
        <v>0</v>
      </c>
      <c r="AC60" s="115" t="n">
        <f aca="false">IF(G53=2,F60*(S60-Q60),F60*(Q60-S60))</f>
        <v>0</v>
      </c>
      <c r="AE60" s="116" t="n">
        <f aca="false">IF($G$3=1,F60*(R60-Q60),F60*(Q60-R60))</f>
        <v>0</v>
      </c>
      <c r="AG60" s="116" t="n">
        <f aca="false">AC60+AE60</f>
        <v>0</v>
      </c>
    </row>
    <row r="61" customFormat="false" ht="12.75" hidden="false" customHeight="false" outlineLevel="0" collapsed="false">
      <c r="A61" s="120" t="n">
        <f aca="false">EDATE(A60,1)</f>
        <v>38838</v>
      </c>
      <c r="B61" s="121" t="e">
        <f aca="false">VLOOKUP(A61,'Inputs-Summary'!$A$32:$B$41,2,FALSE())</f>
        <v>#N/A</v>
      </c>
      <c r="C61" s="122"/>
      <c r="D61" s="123" t="e">
        <f aca="false">B61+C61</f>
        <v>#N/A</v>
      </c>
      <c r="E61" s="111" t="n">
        <f aca="false">IF(Z61=0,0,IF(AND(Z61=1,$H$3=1),D61*U61,IF($H$3=2,D61,"N/A")))</f>
        <v>0</v>
      </c>
      <c r="F61" s="111" t="n">
        <f aca="false">E61*Y61</f>
        <v>0</v>
      </c>
      <c r="G61" s="124" t="n">
        <f aca="false">VLOOKUP($A61,Table,MATCH(G$4,Curves,0))</f>
        <v>3</v>
      </c>
      <c r="H61" s="125" t="n">
        <f aca="false">G61+$H$7</f>
        <v>3</v>
      </c>
      <c r="I61" s="124" t="n">
        <f aca="false">H61</f>
        <v>3</v>
      </c>
      <c r="J61" s="124" t="n">
        <f aca="false">VLOOKUP($A61,Table,MATCH(J$4,Curves,0))</f>
        <v>4</v>
      </c>
      <c r="K61" s="125" t="n">
        <f aca="false">J61+$K$7</f>
        <v>4</v>
      </c>
      <c r="L61" s="126" t="n">
        <f aca="false">K61</f>
        <v>4</v>
      </c>
      <c r="M61" s="124" t="n">
        <f aca="false">VLOOKUP($A61,Table,MATCH(M$4,Curves,0))</f>
        <v>4</v>
      </c>
      <c r="N61" s="125" t="n">
        <f aca="false">M61+$N$7</f>
        <v>4</v>
      </c>
      <c r="O61" s="126" t="n">
        <f aca="false">0.07</f>
        <v>0.07</v>
      </c>
      <c r="P61" s="114"/>
      <c r="Q61" s="126" t="n">
        <f aca="false">M61+J61+G61</f>
        <v>11</v>
      </c>
      <c r="R61" s="126" t="n">
        <f aca="false">N61+K61+H61</f>
        <v>11</v>
      </c>
      <c r="S61" s="126" t="n">
        <f aca="false">O61+L61+I61</f>
        <v>7.07</v>
      </c>
      <c r="T61" s="127"/>
      <c r="U61" s="5" t="n">
        <f aca="false">A62-A61</f>
        <v>31</v>
      </c>
      <c r="V61" s="128" t="n">
        <f aca="false">CHOOSE(F$3,A62+24,A61)</f>
        <v>38838</v>
      </c>
      <c r="W61" s="5" t="n">
        <f aca="false">V61-C$3</f>
        <v>1607</v>
      </c>
      <c r="X61" s="124" t="n">
        <f aca="false">VLOOKUP($A61,Table,MATCH(X$4,Curves,0))</f>
        <v>2</v>
      </c>
      <c r="Y61" s="129" t="n">
        <f aca="false">1/(1+CHOOSE(F$3,(X62+($K$3/10000))/2,(X61+($K$3/10000))/2))^(2*W61/365.25)</f>
        <v>0.00224440316880488</v>
      </c>
      <c r="Z61" s="5" t="n">
        <f aca="false">IF(AND(mthbeg&lt;=A61,mthend&gt;=A61),1,0)</f>
        <v>0</v>
      </c>
      <c r="AA61" s="5" t="n">
        <f aca="false">U61*Z61</f>
        <v>0</v>
      </c>
      <c r="AC61" s="115" t="n">
        <f aca="false">IF(G54=2,F61*(S61-Q61),F61*(Q61-S61))</f>
        <v>0</v>
      </c>
      <c r="AE61" s="116" t="n">
        <f aca="false">IF($G$3=1,F61*(R61-Q61),F61*(Q61-R61))</f>
        <v>0</v>
      </c>
      <c r="AG61" s="116" t="n">
        <f aca="false">AC61+AE61</f>
        <v>0</v>
      </c>
    </row>
    <row r="62" customFormat="false" ht="12.75" hidden="false" customHeight="false" outlineLevel="0" collapsed="false">
      <c r="A62" s="120" t="n">
        <f aca="false">EDATE(A61,1)</f>
        <v>38869</v>
      </c>
      <c r="B62" s="121" t="e">
        <f aca="false">VLOOKUP(A62,'Inputs-Summary'!$A$32:$B$41,2,FALSE())</f>
        <v>#N/A</v>
      </c>
      <c r="C62" s="122"/>
      <c r="D62" s="123" t="e">
        <f aca="false">B62+C62</f>
        <v>#N/A</v>
      </c>
      <c r="E62" s="111" t="n">
        <f aca="false">IF(Z62=0,0,IF(AND(Z62=1,$H$3=1),D62*U62,IF($H$3=2,D62,"N/A")))</f>
        <v>0</v>
      </c>
      <c r="F62" s="111" t="n">
        <f aca="false">E62*Y62</f>
        <v>0</v>
      </c>
      <c r="G62" s="124" t="n">
        <f aca="false">VLOOKUP($A62,Table,MATCH(G$4,Curves,0))</f>
        <v>3</v>
      </c>
      <c r="H62" s="125" t="n">
        <f aca="false">G62+$H$7</f>
        <v>3</v>
      </c>
      <c r="I62" s="124" t="n">
        <f aca="false">H62</f>
        <v>3</v>
      </c>
      <c r="J62" s="124" t="n">
        <f aca="false">VLOOKUP($A62,Table,MATCH(J$4,Curves,0))</f>
        <v>4</v>
      </c>
      <c r="K62" s="125" t="n">
        <f aca="false">J62+$K$7</f>
        <v>4</v>
      </c>
      <c r="L62" s="126" t="n">
        <f aca="false">K62</f>
        <v>4</v>
      </c>
      <c r="M62" s="124" t="n">
        <f aca="false">VLOOKUP($A62,Table,MATCH(M$4,Curves,0))</f>
        <v>4</v>
      </c>
      <c r="N62" s="125" t="n">
        <f aca="false">M62+$N$7</f>
        <v>4</v>
      </c>
      <c r="O62" s="126" t="n">
        <f aca="false">0.07</f>
        <v>0.07</v>
      </c>
      <c r="P62" s="114"/>
      <c r="Q62" s="126" t="n">
        <f aca="false">M62+J62+G62</f>
        <v>11</v>
      </c>
      <c r="R62" s="126" t="n">
        <f aca="false">N62+K62+H62</f>
        <v>11</v>
      </c>
      <c r="S62" s="126" t="n">
        <f aca="false">O62+L62+I62</f>
        <v>7.07</v>
      </c>
      <c r="T62" s="127"/>
      <c r="U62" s="5" t="n">
        <f aca="false">A63-A62</f>
        <v>30</v>
      </c>
      <c r="V62" s="128" t="n">
        <f aca="false">CHOOSE(F$3,A63+24,A62)</f>
        <v>38869</v>
      </c>
      <c r="W62" s="5" t="n">
        <f aca="false">V62-C$3</f>
        <v>1638</v>
      </c>
      <c r="X62" s="124" t="n">
        <f aca="false">VLOOKUP($A62,Table,MATCH(X$4,Curves,0))</f>
        <v>2</v>
      </c>
      <c r="Y62" s="129" t="n">
        <f aca="false">1/(1+CHOOSE(F$3,(X63+($K$3/10000))/2,(X62+($K$3/10000))/2))^(2*W62/365.25)</f>
        <v>0.00199527155011321</v>
      </c>
      <c r="Z62" s="5" t="n">
        <f aca="false">IF(AND(mthbeg&lt;=A62,mthend&gt;=A62),1,0)</f>
        <v>0</v>
      </c>
      <c r="AA62" s="5" t="n">
        <f aca="false">U62*Z62</f>
        <v>0</v>
      </c>
      <c r="AC62" s="115" t="n">
        <f aca="false">IF(G55=2,F62*(S62-Q62),F62*(Q62-S62))</f>
        <v>0</v>
      </c>
      <c r="AE62" s="116" t="n">
        <f aca="false">IF($G$3=1,F62*(R62-Q62),F62*(Q62-R62))</f>
        <v>0</v>
      </c>
      <c r="AG62" s="116" t="n">
        <f aca="false">AC62+AE62</f>
        <v>0</v>
      </c>
    </row>
    <row r="63" customFormat="false" ht="12.75" hidden="false" customHeight="false" outlineLevel="0" collapsed="false">
      <c r="A63" s="120" t="n">
        <f aca="false">EDATE(A62,1)</f>
        <v>38899</v>
      </c>
      <c r="B63" s="121" t="e">
        <f aca="false">VLOOKUP(A63,'Inputs-Summary'!$A$32:$B$41,2,FALSE())</f>
        <v>#N/A</v>
      </c>
      <c r="C63" s="122"/>
      <c r="D63" s="123" t="e">
        <f aca="false">B63+C63</f>
        <v>#N/A</v>
      </c>
      <c r="E63" s="111" t="n">
        <f aca="false">IF(Z63=0,0,IF(AND(Z63=1,$H$3=1),D63*U63,IF($H$3=2,D63,"N/A")))</f>
        <v>0</v>
      </c>
      <c r="F63" s="111" t="n">
        <f aca="false">E63*Y63</f>
        <v>0</v>
      </c>
      <c r="G63" s="124" t="n">
        <f aca="false">VLOOKUP($A63,Table,MATCH(G$4,Curves,0))</f>
        <v>3</v>
      </c>
      <c r="H63" s="125" t="n">
        <f aca="false">G63+$H$7</f>
        <v>3</v>
      </c>
      <c r="I63" s="124" t="n">
        <f aca="false">H63</f>
        <v>3</v>
      </c>
      <c r="J63" s="124" t="n">
        <f aca="false">VLOOKUP($A63,Table,MATCH(J$4,Curves,0))</f>
        <v>4</v>
      </c>
      <c r="K63" s="125" t="n">
        <f aca="false">J63+$K$7</f>
        <v>4</v>
      </c>
      <c r="L63" s="126" t="n">
        <f aca="false">K63</f>
        <v>4</v>
      </c>
      <c r="M63" s="124" t="n">
        <f aca="false">VLOOKUP($A63,Table,MATCH(M$4,Curves,0))</f>
        <v>4</v>
      </c>
      <c r="N63" s="125" t="n">
        <f aca="false">M63+$N$7</f>
        <v>4</v>
      </c>
      <c r="O63" s="126" t="n">
        <f aca="false">0.07</f>
        <v>0.07</v>
      </c>
      <c r="P63" s="114"/>
      <c r="Q63" s="126" t="n">
        <f aca="false">M63+J63+G63</f>
        <v>11</v>
      </c>
      <c r="R63" s="126" t="n">
        <f aca="false">N63+K63+H63</f>
        <v>11</v>
      </c>
      <c r="S63" s="126" t="n">
        <f aca="false">O63+L63+I63</f>
        <v>7.07</v>
      </c>
      <c r="T63" s="127"/>
      <c r="U63" s="5" t="n">
        <f aca="false">A64-A63</f>
        <v>31</v>
      </c>
      <c r="V63" s="128" t="n">
        <f aca="false">CHOOSE(F$3,A64+24,A63)</f>
        <v>38899</v>
      </c>
      <c r="W63" s="5" t="n">
        <f aca="false">V63-C$3</f>
        <v>1668</v>
      </c>
      <c r="X63" s="124" t="n">
        <f aca="false">VLOOKUP($A63,Table,MATCH(X$4,Curves,0))</f>
        <v>2</v>
      </c>
      <c r="Y63" s="129" t="n">
        <f aca="false">1/(1+CHOOSE(F$3,(X64+($K$3/10000))/2,(X63+($K$3/10000))/2))^(2*W63/365.25)</f>
        <v>0.00178053902801661</v>
      </c>
      <c r="Z63" s="5" t="n">
        <f aca="false">IF(AND(mthbeg&lt;=A63,mthend&gt;=A63),1,0)</f>
        <v>0</v>
      </c>
      <c r="AA63" s="5" t="n">
        <f aca="false">U63*Z63</f>
        <v>0</v>
      </c>
      <c r="AC63" s="115" t="n">
        <f aca="false">IF(G56=2,F63*(S63-Q63),F63*(Q63-S63))</f>
        <v>0</v>
      </c>
      <c r="AE63" s="116" t="n">
        <f aca="false">IF($G$3=1,F63*(R63-Q63),F63*(Q63-R63))</f>
        <v>0</v>
      </c>
      <c r="AG63" s="116" t="n">
        <f aca="false">AC63+AE63</f>
        <v>0</v>
      </c>
    </row>
    <row r="64" customFormat="false" ht="12.75" hidden="false" customHeight="false" outlineLevel="0" collapsed="false">
      <c r="A64" s="120" t="n">
        <f aca="false">EDATE(A63,1)</f>
        <v>38930</v>
      </c>
      <c r="B64" s="121" t="e">
        <f aca="false">VLOOKUP(A64,'Inputs-Summary'!$A$32:$B$41,2,FALSE())</f>
        <v>#N/A</v>
      </c>
      <c r="C64" s="122"/>
      <c r="D64" s="123" t="e">
        <f aca="false">B64+C64</f>
        <v>#N/A</v>
      </c>
      <c r="E64" s="111" t="n">
        <f aca="false">IF(Z64=0,0,IF(AND(Z64=1,$H$3=1),D64*U64,IF($H$3=2,D64,"N/A")))</f>
        <v>0</v>
      </c>
      <c r="F64" s="111" t="n">
        <f aca="false">E64*Y64</f>
        <v>0</v>
      </c>
      <c r="G64" s="124" t="n">
        <f aca="false">VLOOKUP($A64,Table,MATCH(G$4,Curves,0))</f>
        <v>3</v>
      </c>
      <c r="H64" s="125" t="n">
        <f aca="false">G64+$H$7</f>
        <v>3</v>
      </c>
      <c r="I64" s="124" t="n">
        <f aca="false">H64</f>
        <v>3</v>
      </c>
      <c r="J64" s="124" t="n">
        <f aca="false">VLOOKUP($A64,Table,MATCH(J$4,Curves,0))</f>
        <v>4</v>
      </c>
      <c r="K64" s="125" t="n">
        <f aca="false">J64+$K$7</f>
        <v>4</v>
      </c>
      <c r="L64" s="126" t="n">
        <f aca="false">K64</f>
        <v>4</v>
      </c>
      <c r="M64" s="124" t="n">
        <f aca="false">VLOOKUP($A64,Table,MATCH(M$4,Curves,0))</f>
        <v>4</v>
      </c>
      <c r="N64" s="125" t="n">
        <f aca="false">M64+$N$7</f>
        <v>4</v>
      </c>
      <c r="O64" s="126" t="n">
        <f aca="false">0.07</f>
        <v>0.07</v>
      </c>
      <c r="P64" s="114"/>
      <c r="Q64" s="126" t="n">
        <f aca="false">M64+J64+G64</f>
        <v>11</v>
      </c>
      <c r="R64" s="126" t="n">
        <f aca="false">N64+K64+H64</f>
        <v>11</v>
      </c>
      <c r="S64" s="126" t="n">
        <f aca="false">O64+L64+I64</f>
        <v>7.07</v>
      </c>
      <c r="T64" s="127"/>
      <c r="U64" s="5" t="n">
        <f aca="false">A65-A64</f>
        <v>31</v>
      </c>
      <c r="V64" s="128" t="n">
        <f aca="false">CHOOSE(F$3,A65+24,A64)</f>
        <v>38930</v>
      </c>
      <c r="W64" s="5" t="n">
        <f aca="false">V64-C$3</f>
        <v>1699</v>
      </c>
      <c r="X64" s="124" t="n">
        <f aca="false">VLOOKUP($A64,Table,MATCH(X$4,Curves,0))</f>
        <v>2</v>
      </c>
      <c r="Y64" s="129" t="n">
        <f aca="false">1/(1+CHOOSE(F$3,(X65+($K$3/10000))/2,(X64+($K$3/10000))/2))^(2*W64/365.25)</f>
        <v>0.00158289692148293</v>
      </c>
      <c r="Z64" s="5" t="n">
        <f aca="false">IF(AND(mthbeg&lt;=A64,mthend&gt;=A64),1,0)</f>
        <v>0</v>
      </c>
      <c r="AA64" s="5" t="n">
        <f aca="false">U64*Z64</f>
        <v>0</v>
      </c>
      <c r="AC64" s="115" t="n">
        <f aca="false">IF(G57=2,F64*(S64-Q64),F64*(Q64-S64))</f>
        <v>0</v>
      </c>
      <c r="AE64" s="116" t="n">
        <f aca="false">IF($G$3=1,F64*(R64-Q64),F64*(Q64-R64))</f>
        <v>0</v>
      </c>
      <c r="AG64" s="116" t="n">
        <f aca="false">AC64+AE64</f>
        <v>0</v>
      </c>
    </row>
    <row r="65" customFormat="false" ht="12.75" hidden="false" customHeight="false" outlineLevel="0" collapsed="false">
      <c r="A65" s="120" t="n">
        <f aca="false">EDATE(A64,1)</f>
        <v>38961</v>
      </c>
      <c r="B65" s="121" t="e">
        <f aca="false">VLOOKUP(A65,'Inputs-Summary'!$A$32:$B$41,2,FALSE())</f>
        <v>#N/A</v>
      </c>
      <c r="C65" s="122"/>
      <c r="D65" s="123" t="e">
        <f aca="false">B65+C65</f>
        <v>#N/A</v>
      </c>
      <c r="E65" s="111" t="n">
        <f aca="false">IF(Z65=0,0,IF(AND(Z65=1,$H$3=1),D65*U65,IF($H$3=2,D65,"N/A")))</f>
        <v>0</v>
      </c>
      <c r="F65" s="111" t="n">
        <f aca="false">E65*Y65</f>
        <v>0</v>
      </c>
      <c r="G65" s="124" t="n">
        <f aca="false">VLOOKUP($A65,Table,MATCH(G$4,Curves,0))</f>
        <v>3</v>
      </c>
      <c r="H65" s="125" t="n">
        <f aca="false">G65+$H$7</f>
        <v>3</v>
      </c>
      <c r="I65" s="124" t="n">
        <f aca="false">H65</f>
        <v>3</v>
      </c>
      <c r="J65" s="124" t="n">
        <f aca="false">VLOOKUP($A65,Table,MATCH(J$4,Curves,0))</f>
        <v>4</v>
      </c>
      <c r="K65" s="125" t="n">
        <f aca="false">J65+$K$7</f>
        <v>4</v>
      </c>
      <c r="L65" s="126" t="n">
        <f aca="false">K65</f>
        <v>4</v>
      </c>
      <c r="M65" s="124" t="n">
        <f aca="false">VLOOKUP($A65,Table,MATCH(M$4,Curves,0))</f>
        <v>4</v>
      </c>
      <c r="N65" s="125" t="n">
        <f aca="false">M65+$N$7</f>
        <v>4</v>
      </c>
      <c r="O65" s="126" t="n">
        <f aca="false">0.07</f>
        <v>0.07</v>
      </c>
      <c r="P65" s="114"/>
      <c r="Q65" s="126" t="n">
        <f aca="false">M65+J65+G65</f>
        <v>11</v>
      </c>
      <c r="R65" s="126" t="n">
        <f aca="false">N65+K65+H65</f>
        <v>11</v>
      </c>
      <c r="S65" s="126" t="n">
        <f aca="false">O65+L65+I65</f>
        <v>7.07</v>
      </c>
      <c r="T65" s="127"/>
      <c r="U65" s="5" t="n">
        <f aca="false">A66-A65</f>
        <v>30</v>
      </c>
      <c r="V65" s="128" t="n">
        <f aca="false">CHOOSE(F$3,A66+24,A65)</f>
        <v>38961</v>
      </c>
      <c r="W65" s="5" t="n">
        <f aca="false">V65-C$3</f>
        <v>1730</v>
      </c>
      <c r="X65" s="124" t="n">
        <f aca="false">VLOOKUP($A65,Table,MATCH(X$4,Curves,0))</f>
        <v>2</v>
      </c>
      <c r="Y65" s="129" t="n">
        <f aca="false">1/(1+CHOOSE(F$3,(X66+($K$3/10000))/2,(X65+($K$3/10000))/2))^(2*W65/365.25)</f>
        <v>0.00140719334123845</v>
      </c>
      <c r="Z65" s="5" t="n">
        <f aca="false">IF(AND(mthbeg&lt;=A65,mthend&gt;=A65),1,0)</f>
        <v>0</v>
      </c>
      <c r="AA65" s="5" t="n">
        <f aca="false">U65*Z65</f>
        <v>0</v>
      </c>
      <c r="AC65" s="115" t="n">
        <f aca="false">IF(G58=2,F65*(S65-Q65),F65*(Q65-S65))</f>
        <v>0</v>
      </c>
      <c r="AE65" s="116" t="n">
        <f aca="false">IF($G$3=1,F65*(R65-Q65),F65*(Q65-R65))</f>
        <v>0</v>
      </c>
      <c r="AG65" s="116" t="n">
        <f aca="false">AC65+AE65</f>
        <v>0</v>
      </c>
    </row>
    <row r="66" customFormat="false" ht="12.75" hidden="false" customHeight="false" outlineLevel="0" collapsed="false">
      <c r="A66" s="120" t="n">
        <f aca="false">EDATE(A65,1)</f>
        <v>38991</v>
      </c>
      <c r="B66" s="121" t="e">
        <f aca="false">VLOOKUP(A66,'Inputs-Summary'!$A$32:$B$41,2,FALSE())</f>
        <v>#N/A</v>
      </c>
      <c r="C66" s="122"/>
      <c r="D66" s="123" t="e">
        <f aca="false">B66+C66</f>
        <v>#N/A</v>
      </c>
      <c r="E66" s="111" t="n">
        <f aca="false">IF(Z66=0,0,IF(AND(Z66=1,$H$3=1),D66*U66,IF($H$3=2,D66,"N/A")))</f>
        <v>0</v>
      </c>
      <c r="F66" s="111" t="n">
        <f aca="false">E66*Y66</f>
        <v>0</v>
      </c>
      <c r="G66" s="124" t="n">
        <f aca="false">VLOOKUP($A66,Table,MATCH(G$4,Curves,0))</f>
        <v>3</v>
      </c>
      <c r="H66" s="125" t="n">
        <f aca="false">G66+$H$7</f>
        <v>3</v>
      </c>
      <c r="I66" s="124" t="n">
        <f aca="false">H66</f>
        <v>3</v>
      </c>
      <c r="J66" s="124" t="n">
        <f aca="false">VLOOKUP($A66,Table,MATCH(J$4,Curves,0))</f>
        <v>4</v>
      </c>
      <c r="K66" s="125" t="n">
        <f aca="false">J66+$K$7</f>
        <v>4</v>
      </c>
      <c r="L66" s="126" t="n">
        <f aca="false">K66</f>
        <v>4</v>
      </c>
      <c r="M66" s="124" t="n">
        <f aca="false">VLOOKUP($A66,Table,MATCH(M$4,Curves,0))</f>
        <v>4</v>
      </c>
      <c r="N66" s="125" t="n">
        <f aca="false">M66+$N$7</f>
        <v>4</v>
      </c>
      <c r="O66" s="126" t="n">
        <f aca="false">0.07</f>
        <v>0.07</v>
      </c>
      <c r="P66" s="114"/>
      <c r="Q66" s="126" t="n">
        <f aca="false">M66+J66+G66</f>
        <v>11</v>
      </c>
      <c r="R66" s="126" t="n">
        <f aca="false">N66+K66+H66</f>
        <v>11</v>
      </c>
      <c r="S66" s="126" t="n">
        <f aca="false">O66+L66+I66</f>
        <v>7.07</v>
      </c>
      <c r="T66" s="127"/>
      <c r="U66" s="5" t="n">
        <f aca="false">A67-A66</f>
        <v>31</v>
      </c>
      <c r="V66" s="128" t="n">
        <f aca="false">CHOOSE(F$3,A67+24,A66)</f>
        <v>38991</v>
      </c>
      <c r="W66" s="5" t="n">
        <f aca="false">V66-C$3</f>
        <v>1760</v>
      </c>
      <c r="X66" s="124" t="n">
        <f aca="false">VLOOKUP($A66,Table,MATCH(X$4,Curves,0))</f>
        <v>2</v>
      </c>
      <c r="Y66" s="129" t="n">
        <f aca="false">1/(1+CHOOSE(F$3,(X67+($K$3/10000))/2,(X66+($K$3/10000))/2))^(2*W66/365.25)</f>
        <v>0.00125575020798447</v>
      </c>
      <c r="Z66" s="5" t="n">
        <f aca="false">IF(AND(mthbeg&lt;=A66,mthend&gt;=A66),1,0)</f>
        <v>0</v>
      </c>
      <c r="AA66" s="5" t="n">
        <f aca="false">U66*Z66</f>
        <v>0</v>
      </c>
      <c r="AC66" s="115" t="n">
        <f aca="false">IF(G59=2,F66*(S66-Q66),F66*(Q66-S66))</f>
        <v>0</v>
      </c>
      <c r="AE66" s="116" t="n">
        <f aca="false">IF($G$3=1,F66*(R66-Q66),F66*(Q66-R66))</f>
        <v>0</v>
      </c>
      <c r="AG66" s="116" t="n">
        <f aca="false">AC66+AE66</f>
        <v>0</v>
      </c>
    </row>
    <row r="67" customFormat="false" ht="12.75" hidden="false" customHeight="false" outlineLevel="0" collapsed="false">
      <c r="A67" s="120" t="n">
        <f aca="false">EDATE(A66,1)</f>
        <v>39022</v>
      </c>
      <c r="B67" s="121" t="e">
        <f aca="false">VLOOKUP(A67,'Inputs-Summary'!$A$32:$B$41,2,FALSE())</f>
        <v>#N/A</v>
      </c>
      <c r="C67" s="122"/>
      <c r="D67" s="123" t="e">
        <f aca="false">B67+C67</f>
        <v>#N/A</v>
      </c>
      <c r="E67" s="111" t="n">
        <f aca="false">IF(Z67=0,0,IF(AND(Z67=1,$H$3=1),D67*U67,IF($H$3=2,D67,"N/A")))</f>
        <v>0</v>
      </c>
      <c r="F67" s="111" t="n">
        <f aca="false">E67*Y67</f>
        <v>0</v>
      </c>
      <c r="G67" s="124" t="n">
        <f aca="false">VLOOKUP($A67,Table,MATCH(G$4,Curves,0))</f>
        <v>3</v>
      </c>
      <c r="H67" s="125" t="n">
        <f aca="false">G67+$H$7</f>
        <v>3</v>
      </c>
      <c r="I67" s="124" t="n">
        <f aca="false">H67</f>
        <v>3</v>
      </c>
      <c r="J67" s="124" t="n">
        <f aca="false">VLOOKUP($A67,Table,MATCH(J$4,Curves,0))</f>
        <v>4</v>
      </c>
      <c r="K67" s="125" t="n">
        <f aca="false">J67+$K$7</f>
        <v>4</v>
      </c>
      <c r="L67" s="126" t="n">
        <f aca="false">K67</f>
        <v>4</v>
      </c>
      <c r="M67" s="124" t="n">
        <f aca="false">VLOOKUP($A67,Table,MATCH(M$4,Curves,0))</f>
        <v>4</v>
      </c>
      <c r="N67" s="125" t="n">
        <f aca="false">M67+$N$7</f>
        <v>4</v>
      </c>
      <c r="O67" s="126" t="n">
        <f aca="false">0.07</f>
        <v>0.07</v>
      </c>
      <c r="P67" s="114"/>
      <c r="Q67" s="126" t="n">
        <f aca="false">M67+J67+G67</f>
        <v>11</v>
      </c>
      <c r="R67" s="126" t="n">
        <f aca="false">N67+K67+H67</f>
        <v>11</v>
      </c>
      <c r="S67" s="126" t="n">
        <f aca="false">O67+L67+I67</f>
        <v>7.07</v>
      </c>
      <c r="T67" s="127"/>
      <c r="U67" s="5" t="n">
        <f aca="false">A68-A67</f>
        <v>30</v>
      </c>
      <c r="V67" s="128" t="n">
        <f aca="false">CHOOSE(F$3,A68+24,A67)</f>
        <v>39022</v>
      </c>
      <c r="W67" s="5" t="n">
        <f aca="false">V67-C$3</f>
        <v>1791</v>
      </c>
      <c r="X67" s="124" t="n">
        <f aca="false">VLOOKUP($A67,Table,MATCH(X$4,Curves,0))</f>
        <v>2</v>
      </c>
      <c r="Y67" s="129" t="n">
        <f aca="false">1/(1+CHOOSE(F$3,(X68+($K$3/10000))/2,(X67+($K$3/10000))/2))^(2*W67/365.25)</f>
        <v>0.00111636033082877</v>
      </c>
      <c r="Z67" s="5" t="n">
        <f aca="false">IF(AND(mthbeg&lt;=A67,mthend&gt;=A67),1,0)</f>
        <v>0</v>
      </c>
      <c r="AA67" s="5" t="n">
        <f aca="false">U67*Z67</f>
        <v>0</v>
      </c>
      <c r="AC67" s="115" t="n">
        <f aca="false">IF(G60=2,F67*(S67-Q67),F67*(Q67-S67))</f>
        <v>0</v>
      </c>
      <c r="AE67" s="116" t="n">
        <f aca="false">IF($G$3=1,F67*(R67-Q67),F67*(Q67-R67))</f>
        <v>0</v>
      </c>
      <c r="AG67" s="116" t="n">
        <f aca="false">AC67+AE67</f>
        <v>0</v>
      </c>
    </row>
    <row r="68" customFormat="false" ht="12.75" hidden="false" customHeight="false" outlineLevel="0" collapsed="false">
      <c r="A68" s="120" t="n">
        <f aca="false">EDATE(A67,1)</f>
        <v>39052</v>
      </c>
      <c r="B68" s="121" t="e">
        <f aca="false">VLOOKUP(A68,'Inputs-Summary'!$A$32:$B$41,2,FALSE())</f>
        <v>#N/A</v>
      </c>
      <c r="C68" s="122"/>
      <c r="D68" s="123" t="e">
        <f aca="false">B68+C68</f>
        <v>#N/A</v>
      </c>
      <c r="E68" s="111" t="n">
        <f aca="false">IF(Z68=0,0,IF(AND(Z68=1,$H$3=1),D68*U68,IF($H$3=2,D68,"N/A")))</f>
        <v>0</v>
      </c>
      <c r="F68" s="111" t="n">
        <f aca="false">E68*Y68</f>
        <v>0</v>
      </c>
      <c r="G68" s="124" t="n">
        <f aca="false">VLOOKUP($A68,Table,MATCH(G$4,Curves,0))</f>
        <v>3</v>
      </c>
      <c r="H68" s="125" t="n">
        <f aca="false">G68+$H$7</f>
        <v>3</v>
      </c>
      <c r="I68" s="124" t="n">
        <f aca="false">H68</f>
        <v>3</v>
      </c>
      <c r="J68" s="124" t="n">
        <f aca="false">VLOOKUP($A68,Table,MATCH(J$4,Curves,0))</f>
        <v>4</v>
      </c>
      <c r="K68" s="125" t="n">
        <f aca="false">J68+$K$7</f>
        <v>4</v>
      </c>
      <c r="L68" s="126" t="n">
        <f aca="false">K68</f>
        <v>4</v>
      </c>
      <c r="M68" s="124" t="n">
        <f aca="false">VLOOKUP($A68,Table,MATCH(M$4,Curves,0))</f>
        <v>4</v>
      </c>
      <c r="N68" s="125" t="n">
        <f aca="false">M68+$N$7</f>
        <v>4</v>
      </c>
      <c r="O68" s="126" t="n">
        <f aca="false">0.07</f>
        <v>0.07</v>
      </c>
      <c r="P68" s="114"/>
      <c r="Q68" s="126" t="n">
        <f aca="false">M68+J68+G68</f>
        <v>11</v>
      </c>
      <c r="R68" s="126" t="n">
        <f aca="false">N68+K68+H68</f>
        <v>11</v>
      </c>
      <c r="S68" s="126" t="n">
        <f aca="false">O68+L68+I68</f>
        <v>7.07</v>
      </c>
      <c r="T68" s="127"/>
      <c r="U68" s="5" t="n">
        <f aca="false">A69-A68</f>
        <v>31</v>
      </c>
      <c r="V68" s="128" t="n">
        <f aca="false">CHOOSE(F$3,A69+24,A68)</f>
        <v>39052</v>
      </c>
      <c r="W68" s="5" t="n">
        <f aca="false">V68-C$3</f>
        <v>1821</v>
      </c>
      <c r="X68" s="124" t="n">
        <f aca="false">VLOOKUP($A68,Table,MATCH(X$4,Curves,0))</f>
        <v>2</v>
      </c>
      <c r="Y68" s="129" t="n">
        <f aca="false">1/(1+CHOOSE(F$3,(X69+($K$3/10000))/2,(X68+($K$3/10000))/2))^(2*W68/365.25)</f>
        <v>0.000996216849910671</v>
      </c>
      <c r="Z68" s="5" t="n">
        <f aca="false">IF(AND(mthbeg&lt;=A68,mthend&gt;=A68),1,0)</f>
        <v>0</v>
      </c>
      <c r="AA68" s="5" t="n">
        <f aca="false">U68*Z68</f>
        <v>0</v>
      </c>
      <c r="AC68" s="115" t="n">
        <f aca="false">IF(G61=2,F68*(S68-Q68),F68*(Q68-S68))</f>
        <v>0</v>
      </c>
      <c r="AE68" s="116" t="n">
        <f aca="false">IF($G$3=1,F68*(R68-Q68),F68*(Q68-R68))</f>
        <v>0</v>
      </c>
      <c r="AG68" s="116" t="n">
        <f aca="false">AC68+AE68</f>
        <v>0</v>
      </c>
    </row>
    <row r="69" customFormat="false" ht="12.75" hidden="false" customHeight="false" outlineLevel="0" collapsed="false">
      <c r="A69" s="120" t="n">
        <f aca="false">EDATE(A68,1)</f>
        <v>39083</v>
      </c>
      <c r="B69" s="121" t="e">
        <f aca="false">VLOOKUP(A69,'Inputs-Summary'!$A$32:$B$41,2,FALSE())</f>
        <v>#N/A</v>
      </c>
      <c r="C69" s="122"/>
      <c r="D69" s="123" t="e">
        <f aca="false">B69+C69</f>
        <v>#N/A</v>
      </c>
      <c r="E69" s="111" t="n">
        <f aca="false">IF(Z69=0,0,IF(AND(Z69=1,$H$3=1),D69*U69,IF($H$3=2,D69,"N/A")))</f>
        <v>0</v>
      </c>
      <c r="F69" s="111" t="n">
        <f aca="false">E69*Y69</f>
        <v>0</v>
      </c>
      <c r="G69" s="124" t="n">
        <f aca="false">VLOOKUP($A69,Table,MATCH(G$4,Curves,0))</f>
        <v>3</v>
      </c>
      <c r="H69" s="125" t="n">
        <f aca="false">G69+$H$7</f>
        <v>3</v>
      </c>
      <c r="I69" s="124" t="n">
        <f aca="false">H69</f>
        <v>3</v>
      </c>
      <c r="J69" s="124" t="n">
        <f aca="false">VLOOKUP($A69,Table,MATCH(J$4,Curves,0))</f>
        <v>4</v>
      </c>
      <c r="K69" s="125" t="n">
        <f aca="false">J69+$K$7</f>
        <v>4</v>
      </c>
      <c r="L69" s="126" t="n">
        <f aca="false">K69</f>
        <v>4</v>
      </c>
      <c r="M69" s="124" t="n">
        <f aca="false">VLOOKUP($A69,Table,MATCH(M$4,Curves,0))</f>
        <v>4</v>
      </c>
      <c r="N69" s="125" t="n">
        <f aca="false">M69+$N$7</f>
        <v>4</v>
      </c>
      <c r="O69" s="126" t="n">
        <f aca="false">0.07</f>
        <v>0.07</v>
      </c>
      <c r="P69" s="114"/>
      <c r="Q69" s="126" t="n">
        <f aca="false">M69+J69+G69</f>
        <v>11</v>
      </c>
      <c r="R69" s="126" t="n">
        <f aca="false">N69+K69+H69</f>
        <v>11</v>
      </c>
      <c r="S69" s="126" t="n">
        <f aca="false">O69+L69+I69</f>
        <v>7.07</v>
      </c>
      <c r="T69" s="127"/>
      <c r="U69" s="5" t="n">
        <f aca="false">A70-A69</f>
        <v>31</v>
      </c>
      <c r="V69" s="128" t="n">
        <f aca="false">CHOOSE(F$3,A70+24,A69)</f>
        <v>39083</v>
      </c>
      <c r="W69" s="5" t="n">
        <f aca="false">V69-C$3</f>
        <v>1852</v>
      </c>
      <c r="X69" s="124" t="n">
        <f aca="false">VLOOKUP($A69,Table,MATCH(X$4,Curves,0))</f>
        <v>2</v>
      </c>
      <c r="Y69" s="129" t="n">
        <f aca="false">1/(1+CHOOSE(F$3,(X70+($K$3/10000))/2,(X69+($K$3/10000))/2))^(2*W69/365.25)</f>
        <v>0.000885635507023727</v>
      </c>
      <c r="Z69" s="5" t="n">
        <f aca="false">IF(AND(mthbeg&lt;=A69,mthend&gt;=A69),1,0)</f>
        <v>0</v>
      </c>
      <c r="AA69" s="5" t="n">
        <f aca="false">U69*Z69</f>
        <v>0</v>
      </c>
      <c r="AC69" s="115" t="n">
        <f aca="false">IF(G62=2,F69*(S69-Q69),F69*(Q69-S69))</f>
        <v>0</v>
      </c>
      <c r="AE69" s="116" t="n">
        <f aca="false">IF($G$3=1,F69*(R69-Q69),F69*(Q69-R69))</f>
        <v>0</v>
      </c>
      <c r="AG69" s="116" t="n">
        <f aca="false">AC69+AE69</f>
        <v>0</v>
      </c>
    </row>
    <row r="70" customFormat="false" ht="12.75" hidden="false" customHeight="false" outlineLevel="0" collapsed="false">
      <c r="A70" s="120" t="n">
        <f aca="false">EDATE(A69,1)</f>
        <v>39114</v>
      </c>
      <c r="B70" s="121" t="e">
        <f aca="false">VLOOKUP(A70,'Inputs-Summary'!$A$32:$B$41,2,FALSE())</f>
        <v>#N/A</v>
      </c>
      <c r="C70" s="122"/>
      <c r="D70" s="123" t="e">
        <f aca="false">B70+C70</f>
        <v>#N/A</v>
      </c>
      <c r="E70" s="111" t="n">
        <f aca="false">IF(Z70=0,0,IF(AND(Z70=1,$H$3=1),D70*U70,IF($H$3=2,D70,"N/A")))</f>
        <v>0</v>
      </c>
      <c r="F70" s="111" t="n">
        <f aca="false">E70*Y70</f>
        <v>0</v>
      </c>
      <c r="G70" s="124" t="n">
        <f aca="false">VLOOKUP($A70,Table,MATCH(G$4,Curves,0))</f>
        <v>3</v>
      </c>
      <c r="H70" s="125" t="n">
        <f aca="false">G70+$H$7</f>
        <v>3</v>
      </c>
      <c r="I70" s="124" t="n">
        <f aca="false">H70</f>
        <v>3</v>
      </c>
      <c r="J70" s="124" t="n">
        <f aca="false">VLOOKUP($A70,Table,MATCH(J$4,Curves,0))</f>
        <v>4</v>
      </c>
      <c r="K70" s="125" t="n">
        <f aca="false">J70+$K$7</f>
        <v>4</v>
      </c>
      <c r="L70" s="126" t="n">
        <f aca="false">K70</f>
        <v>4</v>
      </c>
      <c r="M70" s="124" t="n">
        <f aca="false">VLOOKUP($A70,Table,MATCH(M$4,Curves,0))</f>
        <v>4</v>
      </c>
      <c r="N70" s="125" t="n">
        <f aca="false">M70+$N$7</f>
        <v>4</v>
      </c>
      <c r="O70" s="126" t="n">
        <f aca="false">0.07</f>
        <v>0.07</v>
      </c>
      <c r="P70" s="114"/>
      <c r="Q70" s="126" t="n">
        <f aca="false">M70+J70+G70</f>
        <v>11</v>
      </c>
      <c r="R70" s="126" t="n">
        <f aca="false">N70+K70+H70</f>
        <v>11</v>
      </c>
      <c r="S70" s="126" t="n">
        <f aca="false">O70+L70+I70</f>
        <v>7.07</v>
      </c>
      <c r="T70" s="127"/>
      <c r="U70" s="5" t="n">
        <f aca="false">A71-A70</f>
        <v>28</v>
      </c>
      <c r="V70" s="128" t="n">
        <f aca="false">CHOOSE(F$3,A71+24,A70)</f>
        <v>39114</v>
      </c>
      <c r="W70" s="5" t="n">
        <f aca="false">V70-C$3</f>
        <v>1883</v>
      </c>
      <c r="X70" s="124" t="n">
        <f aca="false">VLOOKUP($A70,Table,MATCH(X$4,Curves,0))</f>
        <v>2</v>
      </c>
      <c r="Y70" s="129" t="n">
        <f aca="false">1/(1+CHOOSE(F$3,(X71+($K$3/10000))/2,(X70+($K$3/10000))/2))^(2*W70/365.25)</f>
        <v>0.000787328834451561</v>
      </c>
      <c r="Z70" s="5" t="n">
        <f aca="false">IF(AND(mthbeg&lt;=A70,mthend&gt;=A70),1,0)</f>
        <v>0</v>
      </c>
      <c r="AA70" s="5" t="n">
        <f aca="false">U70*Z70</f>
        <v>0</v>
      </c>
      <c r="AC70" s="115" t="n">
        <f aca="false">IF(G63=2,F70*(S70-Q70),F70*(Q70-S70))</f>
        <v>0</v>
      </c>
      <c r="AE70" s="116" t="n">
        <f aca="false">IF($G$3=1,F70*(R70-Q70),F70*(Q70-R70))</f>
        <v>0</v>
      </c>
      <c r="AG70" s="116" t="n">
        <f aca="false">AC70+AE70</f>
        <v>0</v>
      </c>
    </row>
    <row r="71" customFormat="false" ht="12.75" hidden="false" customHeight="false" outlineLevel="0" collapsed="false">
      <c r="A71" s="120" t="n">
        <f aca="false">EDATE(A70,1)</f>
        <v>39142</v>
      </c>
      <c r="B71" s="121" t="e">
        <f aca="false">VLOOKUP(A71,'Inputs-Summary'!$A$32:$B$41,2,FALSE())</f>
        <v>#N/A</v>
      </c>
      <c r="C71" s="122"/>
      <c r="D71" s="123" t="e">
        <f aca="false">B71+C71</f>
        <v>#N/A</v>
      </c>
      <c r="E71" s="111" t="n">
        <f aca="false">IF(Z71=0,0,IF(AND(Z71=1,$H$3=1),D71*U71,IF($H$3=2,D71,"N/A")))</f>
        <v>0</v>
      </c>
      <c r="F71" s="111" t="n">
        <f aca="false">E71*Y71</f>
        <v>0</v>
      </c>
      <c r="G71" s="124" t="n">
        <f aca="false">VLOOKUP($A71,Table,MATCH(G$4,Curves,0))</f>
        <v>3</v>
      </c>
      <c r="H71" s="125" t="n">
        <f aca="false">G71+$H$7</f>
        <v>3</v>
      </c>
      <c r="I71" s="124" t="n">
        <f aca="false">H71</f>
        <v>3</v>
      </c>
      <c r="J71" s="124" t="n">
        <f aca="false">VLOOKUP($A71,Table,MATCH(J$4,Curves,0))</f>
        <v>4</v>
      </c>
      <c r="K71" s="125" t="n">
        <f aca="false">J71+$K$7</f>
        <v>4</v>
      </c>
      <c r="L71" s="126" t="n">
        <f aca="false">K71</f>
        <v>4</v>
      </c>
      <c r="M71" s="124" t="n">
        <f aca="false">VLOOKUP($A71,Table,MATCH(M$4,Curves,0))</f>
        <v>4</v>
      </c>
      <c r="N71" s="125" t="n">
        <f aca="false">M71+$N$7</f>
        <v>4</v>
      </c>
      <c r="O71" s="126" t="n">
        <f aca="false">0.07</f>
        <v>0.07</v>
      </c>
      <c r="P71" s="114"/>
      <c r="Q71" s="126" t="n">
        <f aca="false">M71+J71+G71</f>
        <v>11</v>
      </c>
      <c r="R71" s="126" t="n">
        <f aca="false">N71+K71+H71</f>
        <v>11</v>
      </c>
      <c r="S71" s="126" t="n">
        <f aca="false">O71+L71+I71</f>
        <v>7.07</v>
      </c>
      <c r="T71" s="127"/>
      <c r="U71" s="5" t="n">
        <f aca="false">A72-A71</f>
        <v>31</v>
      </c>
      <c r="V71" s="128" t="n">
        <f aca="false">CHOOSE(F$3,A72+24,A71)</f>
        <v>39142</v>
      </c>
      <c r="W71" s="5" t="n">
        <f aca="false">V71-C$3</f>
        <v>1911</v>
      </c>
      <c r="X71" s="124" t="n">
        <f aca="false">VLOOKUP($A71,Table,MATCH(X$4,Curves,0))</f>
        <v>2</v>
      </c>
      <c r="Y71" s="129" t="n">
        <f aca="false">1/(1+CHOOSE(F$3,(X72+($K$3/10000))/2,(X71+($K$3/10000))/2))^(2*W71/365.25)</f>
        <v>0.000707949607263949</v>
      </c>
      <c r="Z71" s="5" t="n">
        <f aca="false">IF(AND(mthbeg&lt;=A71,mthend&gt;=A71),1,0)</f>
        <v>0</v>
      </c>
      <c r="AA71" s="5" t="n">
        <f aca="false">U71*Z71</f>
        <v>0</v>
      </c>
      <c r="AC71" s="115" t="n">
        <f aca="false">IF(G64=2,F71*(S71-Q71),F71*(Q71-S71))</f>
        <v>0</v>
      </c>
      <c r="AE71" s="116" t="n">
        <f aca="false">IF($G$3=1,F71*(R71-Q71),F71*(Q71-R71))</f>
        <v>0</v>
      </c>
      <c r="AG71" s="116" t="n">
        <f aca="false">AC71+AE71</f>
        <v>0</v>
      </c>
    </row>
    <row r="72" customFormat="false" ht="12.75" hidden="false" customHeight="false" outlineLevel="0" collapsed="false">
      <c r="A72" s="120" t="n">
        <f aca="false">EDATE(A71,1)</f>
        <v>39173</v>
      </c>
      <c r="B72" s="121" t="e">
        <f aca="false">VLOOKUP(A72,'Inputs-Summary'!$A$32:$B$41,2,FALSE())</f>
        <v>#N/A</v>
      </c>
      <c r="C72" s="122"/>
      <c r="D72" s="123" t="e">
        <f aca="false">B72+C72</f>
        <v>#N/A</v>
      </c>
      <c r="E72" s="111" t="n">
        <f aca="false">IF(Z72=0,0,IF(AND(Z72=1,$H$3=1),D72*U72,IF($H$3=2,D72,"N/A")))</f>
        <v>0</v>
      </c>
      <c r="F72" s="111" t="n">
        <f aca="false">E72*Y72</f>
        <v>0</v>
      </c>
      <c r="G72" s="124" t="n">
        <f aca="false">VLOOKUP($A72,Table,MATCH(G$4,Curves,0))</f>
        <v>3</v>
      </c>
      <c r="H72" s="125" t="n">
        <f aca="false">G72+$H$7</f>
        <v>3</v>
      </c>
      <c r="I72" s="124" t="n">
        <f aca="false">H72</f>
        <v>3</v>
      </c>
      <c r="J72" s="124" t="n">
        <f aca="false">VLOOKUP($A72,Table,MATCH(J$4,Curves,0))</f>
        <v>4</v>
      </c>
      <c r="K72" s="125" t="n">
        <f aca="false">J72+$K$7</f>
        <v>4</v>
      </c>
      <c r="L72" s="126" t="n">
        <f aca="false">K72</f>
        <v>4</v>
      </c>
      <c r="M72" s="124" t="n">
        <f aca="false">VLOOKUP($A72,Table,MATCH(M$4,Curves,0))</f>
        <v>4</v>
      </c>
      <c r="N72" s="125" t="n">
        <f aca="false">M72+$N$7</f>
        <v>4</v>
      </c>
      <c r="O72" s="126" t="n">
        <f aca="false">0.07</f>
        <v>0.07</v>
      </c>
      <c r="P72" s="114"/>
      <c r="Q72" s="126" t="n">
        <f aca="false">M72+J72+G72</f>
        <v>11</v>
      </c>
      <c r="R72" s="126" t="n">
        <f aca="false">N72+K72+H72</f>
        <v>11</v>
      </c>
      <c r="S72" s="126" t="n">
        <f aca="false">O72+L72+I72</f>
        <v>7.07</v>
      </c>
      <c r="T72" s="127"/>
      <c r="U72" s="5" t="n">
        <f aca="false">A73-A72</f>
        <v>30</v>
      </c>
      <c r="V72" s="128" t="n">
        <f aca="false">CHOOSE(F$3,A73+24,A72)</f>
        <v>39173</v>
      </c>
      <c r="W72" s="5" t="n">
        <f aca="false">V72-C$3</f>
        <v>1942</v>
      </c>
      <c r="X72" s="124" t="n">
        <f aca="false">VLOOKUP($A72,Table,MATCH(X$4,Curves,0))</f>
        <v>2</v>
      </c>
      <c r="Y72" s="129" t="n">
        <f aca="false">1/(1+CHOOSE(F$3,(X73+($K$3/10000))/2,(X72+($K$3/10000))/2))^(2*W72/365.25)</f>
        <v>0.000629366296537423</v>
      </c>
      <c r="Z72" s="5" t="n">
        <f aca="false">IF(AND(mthbeg&lt;=A72,mthend&gt;=A72),1,0)</f>
        <v>0</v>
      </c>
      <c r="AA72" s="5" t="n">
        <f aca="false">U72*Z72</f>
        <v>0</v>
      </c>
      <c r="AC72" s="115" t="n">
        <f aca="false">IF(G65=2,F72*(S72-Q72),F72*(Q72-S72))</f>
        <v>0</v>
      </c>
      <c r="AE72" s="116" t="n">
        <f aca="false">IF($G$3=1,F72*(R72-Q72),F72*(Q72-R72))</f>
        <v>0</v>
      </c>
      <c r="AG72" s="116" t="n">
        <f aca="false">AC72+AE72</f>
        <v>0</v>
      </c>
    </row>
    <row r="73" customFormat="false" ht="12.75" hidden="false" customHeight="false" outlineLevel="0" collapsed="false">
      <c r="A73" s="120" t="n">
        <f aca="false">EDATE(A72,1)</f>
        <v>39203</v>
      </c>
      <c r="B73" s="121" t="e">
        <f aca="false">VLOOKUP(A73,'Inputs-Summary'!$A$32:$B$41,2,FALSE())</f>
        <v>#N/A</v>
      </c>
      <c r="C73" s="122"/>
      <c r="D73" s="123" t="e">
        <f aca="false">B73+C73</f>
        <v>#N/A</v>
      </c>
      <c r="E73" s="111" t="n">
        <f aca="false">IF(Z73=0,0,IF(AND(Z73=1,$H$3=1),D73*U73,IF($H$3=2,D73,"N/A")))</f>
        <v>0</v>
      </c>
      <c r="F73" s="111" t="n">
        <f aca="false">E73*Y73</f>
        <v>0</v>
      </c>
      <c r="G73" s="124" t="n">
        <f aca="false">VLOOKUP($A73,Table,MATCH(G$4,Curves,0))</f>
        <v>3</v>
      </c>
      <c r="H73" s="125" t="n">
        <f aca="false">G73+$H$7</f>
        <v>3</v>
      </c>
      <c r="I73" s="124" t="n">
        <f aca="false">H73</f>
        <v>3</v>
      </c>
      <c r="J73" s="124" t="n">
        <f aca="false">VLOOKUP($A73,Table,MATCH(J$4,Curves,0))</f>
        <v>4</v>
      </c>
      <c r="K73" s="125" t="n">
        <f aca="false">J73+$K$7</f>
        <v>4</v>
      </c>
      <c r="L73" s="126" t="n">
        <f aca="false">K73</f>
        <v>4</v>
      </c>
      <c r="M73" s="124" t="n">
        <f aca="false">VLOOKUP($A73,Table,MATCH(M$4,Curves,0))</f>
        <v>4</v>
      </c>
      <c r="N73" s="125" t="n">
        <f aca="false">M73+$N$7</f>
        <v>4</v>
      </c>
      <c r="O73" s="126" t="n">
        <f aca="false">0.07</f>
        <v>0.07</v>
      </c>
      <c r="P73" s="114"/>
      <c r="Q73" s="126" t="n">
        <f aca="false">M73+J73+G73</f>
        <v>11</v>
      </c>
      <c r="R73" s="126" t="n">
        <f aca="false">N73+K73+H73</f>
        <v>11</v>
      </c>
      <c r="S73" s="126" t="n">
        <f aca="false">O73+L73+I73</f>
        <v>7.07</v>
      </c>
      <c r="T73" s="127"/>
      <c r="U73" s="5" t="n">
        <f aca="false">A74-A73</f>
        <v>31</v>
      </c>
      <c r="V73" s="128" t="n">
        <f aca="false">CHOOSE(F$3,A74+24,A73)</f>
        <v>39203</v>
      </c>
      <c r="W73" s="5" t="n">
        <f aca="false">V73-C$3</f>
        <v>1972</v>
      </c>
      <c r="X73" s="124" t="n">
        <f aca="false">VLOOKUP($A73,Table,MATCH(X$4,Curves,0))</f>
        <v>2</v>
      </c>
      <c r="Y73" s="129" t="n">
        <f aca="false">1/(1+CHOOSE(F$3,(X74+($K$3/10000))/2,(X73+($K$3/10000))/2))^(2*W73/365.25)</f>
        <v>0.000561633454774402</v>
      </c>
      <c r="Z73" s="5" t="n">
        <f aca="false">IF(AND(mthbeg&lt;=A73,mthend&gt;=A73),1,0)</f>
        <v>0</v>
      </c>
      <c r="AA73" s="5" t="n">
        <f aca="false">U73*Z73</f>
        <v>0</v>
      </c>
      <c r="AC73" s="115" t="n">
        <f aca="false">IF(G66=2,F73*(S73-Q73),F73*(Q73-S73))</f>
        <v>0</v>
      </c>
      <c r="AE73" s="116" t="n">
        <f aca="false">IF($G$3=1,F73*(R73-Q73),F73*(Q73-R73))</f>
        <v>0</v>
      </c>
      <c r="AG73" s="116" t="n">
        <f aca="false">AC73+AE73</f>
        <v>0</v>
      </c>
    </row>
    <row r="74" customFormat="false" ht="12.75" hidden="false" customHeight="false" outlineLevel="0" collapsed="false">
      <c r="A74" s="120" t="n">
        <f aca="false">EDATE(A73,1)</f>
        <v>39234</v>
      </c>
      <c r="B74" s="121" t="e">
        <f aca="false">VLOOKUP(A74,'Inputs-Summary'!$A$32:$B$41,2,FALSE())</f>
        <v>#N/A</v>
      </c>
      <c r="C74" s="122"/>
      <c r="D74" s="123" t="e">
        <f aca="false">B74+C74</f>
        <v>#N/A</v>
      </c>
      <c r="E74" s="111" t="n">
        <f aca="false">IF(Z74=0,0,IF(AND(Z74=1,$H$3=1),D74*U74,IF($H$3=2,D74,"N/A")))</f>
        <v>0</v>
      </c>
      <c r="F74" s="111" t="n">
        <f aca="false">E74*Y74</f>
        <v>0</v>
      </c>
      <c r="G74" s="124" t="n">
        <f aca="false">VLOOKUP($A74,Table,MATCH(G$4,Curves,0))</f>
        <v>3</v>
      </c>
      <c r="H74" s="125" t="n">
        <f aca="false">G74+$H$7</f>
        <v>3</v>
      </c>
      <c r="I74" s="124" t="n">
        <f aca="false">H74</f>
        <v>3</v>
      </c>
      <c r="J74" s="124" t="n">
        <f aca="false">VLOOKUP($A74,Table,MATCH(J$4,Curves,0))</f>
        <v>4</v>
      </c>
      <c r="K74" s="125" t="n">
        <f aca="false">J74+$K$7</f>
        <v>4</v>
      </c>
      <c r="L74" s="126" t="n">
        <f aca="false">K74</f>
        <v>4</v>
      </c>
      <c r="M74" s="124" t="n">
        <f aca="false">VLOOKUP($A74,Table,MATCH(M$4,Curves,0))</f>
        <v>4</v>
      </c>
      <c r="N74" s="125" t="n">
        <f aca="false">M74+$N$7</f>
        <v>4</v>
      </c>
      <c r="O74" s="126" t="n">
        <f aca="false">0.07</f>
        <v>0.07</v>
      </c>
      <c r="P74" s="114"/>
      <c r="Q74" s="126" t="n">
        <f aca="false">M74+J74+G74</f>
        <v>11</v>
      </c>
      <c r="R74" s="126" t="n">
        <f aca="false">N74+K74+H74</f>
        <v>11</v>
      </c>
      <c r="S74" s="126" t="n">
        <f aca="false">O74+L74+I74</f>
        <v>7.07</v>
      </c>
      <c r="T74" s="127"/>
      <c r="U74" s="5" t="n">
        <f aca="false">A75-A74</f>
        <v>30</v>
      </c>
      <c r="V74" s="128" t="n">
        <f aca="false">CHOOSE(F$3,A75+24,A74)</f>
        <v>39234</v>
      </c>
      <c r="W74" s="5" t="n">
        <f aca="false">V74-C$3</f>
        <v>2003</v>
      </c>
      <c r="X74" s="124" t="n">
        <f aca="false">VLOOKUP($A74,Table,MATCH(X$4,Curves,0))</f>
        <v>2</v>
      </c>
      <c r="Y74" s="129" t="n">
        <f aca="false">1/(1+CHOOSE(F$3,(X75+($K$3/10000))/2,(X74+($K$3/10000))/2))^(2*W74/365.25)</f>
        <v>0.00049929142387545</v>
      </c>
      <c r="Z74" s="5" t="n">
        <f aca="false">IF(AND(mthbeg&lt;=A74,mthend&gt;=A74),1,0)</f>
        <v>0</v>
      </c>
      <c r="AA74" s="5" t="n">
        <f aca="false">U74*Z74</f>
        <v>0</v>
      </c>
      <c r="AC74" s="115" t="n">
        <f aca="false">IF(G67=2,F74*(S74-Q74),F74*(Q74-S74))</f>
        <v>0</v>
      </c>
      <c r="AE74" s="116" t="n">
        <f aca="false">IF($G$3=1,F74*(R74-Q74),F74*(Q74-R74))</f>
        <v>0</v>
      </c>
      <c r="AG74" s="116" t="n">
        <f aca="false">AC74+AE74</f>
        <v>0</v>
      </c>
    </row>
    <row r="75" customFormat="false" ht="12.75" hidden="false" customHeight="false" outlineLevel="0" collapsed="false">
      <c r="A75" s="120" t="n">
        <f aca="false">EDATE(A74,1)</f>
        <v>39264</v>
      </c>
      <c r="B75" s="121" t="e">
        <f aca="false">VLOOKUP(A75,'Inputs-Summary'!$A$32:$B$41,2,FALSE())</f>
        <v>#N/A</v>
      </c>
      <c r="C75" s="122"/>
      <c r="D75" s="123" t="e">
        <f aca="false">B75+C75</f>
        <v>#N/A</v>
      </c>
      <c r="E75" s="111" t="n">
        <f aca="false">IF(Z75=0,0,IF(AND(Z75=1,$H$3=1),D75*U75,IF($H$3=2,D75,"N/A")))</f>
        <v>0</v>
      </c>
      <c r="F75" s="111" t="n">
        <f aca="false">E75*Y75</f>
        <v>0</v>
      </c>
      <c r="G75" s="124" t="n">
        <f aca="false">VLOOKUP($A75,Table,MATCH(G$4,Curves,0))</f>
        <v>3</v>
      </c>
      <c r="H75" s="125" t="n">
        <f aca="false">G75+$H$7</f>
        <v>3</v>
      </c>
      <c r="I75" s="124" t="n">
        <f aca="false">H75</f>
        <v>3</v>
      </c>
      <c r="J75" s="124" t="n">
        <f aca="false">VLOOKUP($A75,Table,MATCH(J$4,Curves,0))</f>
        <v>4</v>
      </c>
      <c r="K75" s="125" t="n">
        <f aca="false">J75+$K$7</f>
        <v>4</v>
      </c>
      <c r="L75" s="126" t="n">
        <f aca="false">K75</f>
        <v>4</v>
      </c>
      <c r="M75" s="124" t="n">
        <f aca="false">VLOOKUP($A75,Table,MATCH(M$4,Curves,0))</f>
        <v>4</v>
      </c>
      <c r="N75" s="125" t="n">
        <f aca="false">M75+$N$7</f>
        <v>4</v>
      </c>
      <c r="O75" s="126" t="n">
        <f aca="false">0.07</f>
        <v>0.07</v>
      </c>
      <c r="P75" s="114"/>
      <c r="Q75" s="126" t="n">
        <f aca="false">M75+J75+G75</f>
        <v>11</v>
      </c>
      <c r="R75" s="126" t="n">
        <f aca="false">N75+K75+H75</f>
        <v>11</v>
      </c>
      <c r="S75" s="126" t="n">
        <f aca="false">O75+L75+I75</f>
        <v>7.07</v>
      </c>
      <c r="T75" s="127"/>
      <c r="U75" s="5" t="n">
        <f aca="false">A76-A75</f>
        <v>31</v>
      </c>
      <c r="V75" s="128" t="n">
        <f aca="false">CHOOSE(F$3,A76+24,A75)</f>
        <v>39264</v>
      </c>
      <c r="W75" s="5" t="n">
        <f aca="false">V75-C$3</f>
        <v>2033</v>
      </c>
      <c r="X75" s="124" t="n">
        <f aca="false">VLOOKUP($A75,Table,MATCH(X$4,Curves,0))</f>
        <v>2</v>
      </c>
      <c r="Y75" s="129" t="n">
        <f aca="false">1/(1+CHOOSE(F$3,(X76+($K$3/10000))/2,(X75+($K$3/10000))/2))^(2*W75/365.25)</f>
        <v>0.000445557331037864</v>
      </c>
      <c r="Z75" s="5" t="n">
        <f aca="false">IF(AND(mthbeg&lt;=A75,mthend&gt;=A75),1,0)</f>
        <v>0</v>
      </c>
      <c r="AA75" s="5" t="n">
        <f aca="false">U75*Z75</f>
        <v>0</v>
      </c>
      <c r="AC75" s="115" t="n">
        <f aca="false">IF(G68=2,F75*(S75-Q75),F75*(Q75-S75))</f>
        <v>0</v>
      </c>
      <c r="AE75" s="116" t="n">
        <f aca="false">IF($G$3=1,F75*(R75-Q75),F75*(Q75-R75))</f>
        <v>0</v>
      </c>
      <c r="AG75" s="116" t="n">
        <f aca="false">AC75+AE75</f>
        <v>0</v>
      </c>
    </row>
    <row r="76" customFormat="false" ht="12.75" hidden="false" customHeight="false" outlineLevel="0" collapsed="false">
      <c r="A76" s="120" t="n">
        <f aca="false">EDATE(A75,1)</f>
        <v>39295</v>
      </c>
      <c r="B76" s="121" t="e">
        <f aca="false">VLOOKUP(A76,'Inputs-Summary'!$A$32:$B$41,2,FALSE())</f>
        <v>#N/A</v>
      </c>
      <c r="C76" s="122"/>
      <c r="D76" s="123" t="e">
        <f aca="false">B76+C76</f>
        <v>#N/A</v>
      </c>
      <c r="E76" s="111" t="n">
        <f aca="false">IF(Z76=0,0,IF(AND(Z76=1,$H$3=1),D76*U76,IF($H$3=2,D76,"N/A")))</f>
        <v>0</v>
      </c>
      <c r="F76" s="111" t="n">
        <f aca="false">E76*Y76</f>
        <v>0</v>
      </c>
      <c r="G76" s="124" t="n">
        <f aca="false">VLOOKUP($A76,Table,MATCH(G$4,Curves,0))</f>
        <v>3</v>
      </c>
      <c r="H76" s="125" t="n">
        <f aca="false">G76+$H$7</f>
        <v>3</v>
      </c>
      <c r="I76" s="124" t="n">
        <f aca="false">H76</f>
        <v>3</v>
      </c>
      <c r="J76" s="124" t="n">
        <f aca="false">VLOOKUP($A76,Table,MATCH(J$4,Curves,0))</f>
        <v>4</v>
      </c>
      <c r="K76" s="125" t="n">
        <f aca="false">J76+$K$7</f>
        <v>4</v>
      </c>
      <c r="L76" s="126" t="n">
        <f aca="false">K76</f>
        <v>4</v>
      </c>
      <c r="M76" s="124" t="n">
        <f aca="false">VLOOKUP($A76,Table,MATCH(M$4,Curves,0))</f>
        <v>4</v>
      </c>
      <c r="N76" s="125" t="n">
        <f aca="false">M76+$N$7</f>
        <v>4</v>
      </c>
      <c r="O76" s="126" t="n">
        <f aca="false">0.07</f>
        <v>0.07</v>
      </c>
      <c r="P76" s="114"/>
      <c r="Q76" s="126" t="n">
        <f aca="false">M76+J76+G76</f>
        <v>11</v>
      </c>
      <c r="R76" s="126" t="n">
        <f aca="false">N76+K76+H76</f>
        <v>11</v>
      </c>
      <c r="S76" s="126" t="n">
        <f aca="false">O76+L76+I76</f>
        <v>7.07</v>
      </c>
      <c r="T76" s="127"/>
      <c r="U76" s="5" t="n">
        <f aca="false">A77-A76</f>
        <v>31</v>
      </c>
      <c r="V76" s="128" t="n">
        <f aca="false">CHOOSE(F$3,A77+24,A76)</f>
        <v>39295</v>
      </c>
      <c r="W76" s="5" t="n">
        <f aca="false">V76-C$3</f>
        <v>2064</v>
      </c>
      <c r="X76" s="124" t="n">
        <f aca="false">VLOOKUP($A76,Table,MATCH(X$4,Curves,0))</f>
        <v>2</v>
      </c>
      <c r="Y76" s="129" t="n">
        <f aca="false">1/(1+CHOOSE(F$3,(X77+($K$3/10000))/2,(X76+($K$3/10000))/2))^(2*W76/365.25)</f>
        <v>0.000396099898146915</v>
      </c>
      <c r="Z76" s="5" t="n">
        <f aca="false">IF(AND(mthbeg&lt;=A76,mthend&gt;=A76),1,0)</f>
        <v>0</v>
      </c>
      <c r="AA76" s="5" t="n">
        <f aca="false">U76*Z76</f>
        <v>0</v>
      </c>
      <c r="AC76" s="115" t="n">
        <f aca="false">IF(G69=2,F76*(S76-Q76),F76*(Q76-S76))</f>
        <v>0</v>
      </c>
      <c r="AE76" s="116" t="n">
        <f aca="false">IF($G$3=1,F76*(R76-Q76),F76*(Q76-R76))</f>
        <v>0</v>
      </c>
      <c r="AG76" s="116" t="n">
        <f aca="false">AC76+AE76</f>
        <v>0</v>
      </c>
    </row>
    <row r="77" customFormat="false" ht="12.75" hidden="false" customHeight="false" outlineLevel="0" collapsed="false">
      <c r="A77" s="120" t="n">
        <f aca="false">EDATE(A76,1)</f>
        <v>39326</v>
      </c>
      <c r="B77" s="121" t="e">
        <f aca="false">VLOOKUP(A77,'Inputs-Summary'!$A$32:$B$41,2,FALSE())</f>
        <v>#N/A</v>
      </c>
      <c r="C77" s="122"/>
      <c r="D77" s="123" t="e">
        <f aca="false">B77+C77</f>
        <v>#N/A</v>
      </c>
      <c r="E77" s="111" t="n">
        <f aca="false">IF(Z77=0,0,IF(AND(Z77=1,$H$3=1),D77*U77,IF($H$3=2,D77,"N/A")))</f>
        <v>0</v>
      </c>
      <c r="F77" s="111" t="n">
        <f aca="false">E77*Y77</f>
        <v>0</v>
      </c>
      <c r="G77" s="124" t="n">
        <f aca="false">VLOOKUP($A77,Table,MATCH(G$4,Curves,0))</f>
        <v>3</v>
      </c>
      <c r="H77" s="125" t="n">
        <f aca="false">G77+$H$7</f>
        <v>3</v>
      </c>
      <c r="I77" s="124" t="n">
        <f aca="false">H77</f>
        <v>3</v>
      </c>
      <c r="J77" s="124" t="n">
        <f aca="false">VLOOKUP($A77,Table,MATCH(J$4,Curves,0))</f>
        <v>4</v>
      </c>
      <c r="K77" s="125" t="n">
        <f aca="false">J77+$K$7</f>
        <v>4</v>
      </c>
      <c r="L77" s="126" t="n">
        <f aca="false">K77</f>
        <v>4</v>
      </c>
      <c r="M77" s="124" t="n">
        <f aca="false">VLOOKUP($A77,Table,MATCH(M$4,Curves,0))</f>
        <v>4</v>
      </c>
      <c r="N77" s="125" t="n">
        <f aca="false">M77+$N$7</f>
        <v>4</v>
      </c>
      <c r="O77" s="126" t="n">
        <f aca="false">0.07</f>
        <v>0.07</v>
      </c>
      <c r="P77" s="114"/>
      <c r="Q77" s="126" t="n">
        <f aca="false">M77+J77+G77</f>
        <v>11</v>
      </c>
      <c r="R77" s="126" t="n">
        <f aca="false">N77+K77+H77</f>
        <v>11</v>
      </c>
      <c r="S77" s="126" t="n">
        <f aca="false">O77+L77+I77</f>
        <v>7.07</v>
      </c>
      <c r="T77" s="127"/>
      <c r="U77" s="5" t="n">
        <f aca="false">A78-A77</f>
        <v>30</v>
      </c>
      <c r="V77" s="128" t="n">
        <f aca="false">CHOOSE(F$3,A78+24,A77)</f>
        <v>39326</v>
      </c>
      <c r="W77" s="5" t="n">
        <f aca="false">V77-C$3</f>
        <v>2095</v>
      </c>
      <c r="X77" s="124" t="n">
        <f aca="false">VLOOKUP($A77,Table,MATCH(X$4,Curves,0))</f>
        <v>2</v>
      </c>
      <c r="Y77" s="129" t="n">
        <f aca="false">1/(1+CHOOSE(F$3,(X78+($K$3/10000))/2,(X77+($K$3/10000))/2))^(2*W77/365.25)</f>
        <v>0.000352132303482767</v>
      </c>
      <c r="Z77" s="5" t="n">
        <f aca="false">IF(AND(mthbeg&lt;=A77,mthend&gt;=A77),1,0)</f>
        <v>0</v>
      </c>
      <c r="AA77" s="5" t="n">
        <f aca="false">U77*Z77</f>
        <v>0</v>
      </c>
      <c r="AC77" s="115" t="n">
        <f aca="false">IF(G70=2,F77*(S77-Q77),F77*(Q77-S77))</f>
        <v>0</v>
      </c>
      <c r="AE77" s="116" t="n">
        <f aca="false">IF($G$3=1,F77*(R77-Q77),F77*(Q77-R77))</f>
        <v>0</v>
      </c>
      <c r="AG77" s="116" t="n">
        <f aca="false">AC77+AE77</f>
        <v>0</v>
      </c>
    </row>
    <row r="78" customFormat="false" ht="12.75" hidden="false" customHeight="false" outlineLevel="0" collapsed="false">
      <c r="A78" s="120" t="n">
        <f aca="false">EDATE(A77,1)</f>
        <v>39356</v>
      </c>
      <c r="B78" s="121" t="e">
        <f aca="false">VLOOKUP(A78,'Inputs-Summary'!$A$32:$B$41,2,FALSE())</f>
        <v>#N/A</v>
      </c>
      <c r="C78" s="122"/>
      <c r="D78" s="123" t="e">
        <f aca="false">B78+C78</f>
        <v>#N/A</v>
      </c>
      <c r="E78" s="111" t="n">
        <f aca="false">IF(Z78=0,0,IF(AND(Z78=1,$H$3=1),D78*U78,IF($H$3=2,D78,"N/A")))</f>
        <v>0</v>
      </c>
      <c r="F78" s="111" t="n">
        <f aca="false">E78*Y78</f>
        <v>0</v>
      </c>
      <c r="G78" s="124" t="n">
        <f aca="false">VLOOKUP($A78,Table,MATCH(G$4,Curves,0))</f>
        <v>3</v>
      </c>
      <c r="H78" s="125" t="n">
        <f aca="false">G78+$H$7</f>
        <v>3</v>
      </c>
      <c r="I78" s="124" t="n">
        <f aca="false">H78</f>
        <v>3</v>
      </c>
      <c r="J78" s="124" t="n">
        <f aca="false">VLOOKUP($A78,Table,MATCH(J$4,Curves,0))</f>
        <v>4</v>
      </c>
      <c r="K78" s="125" t="n">
        <f aca="false">J78+$K$7</f>
        <v>4</v>
      </c>
      <c r="L78" s="126" t="n">
        <f aca="false">K78</f>
        <v>4</v>
      </c>
      <c r="M78" s="124" t="n">
        <f aca="false">VLOOKUP($A78,Table,MATCH(M$4,Curves,0))</f>
        <v>4</v>
      </c>
      <c r="N78" s="125" t="n">
        <f aca="false">M78+$N$7</f>
        <v>4</v>
      </c>
      <c r="O78" s="126" t="n">
        <f aca="false">0.07</f>
        <v>0.07</v>
      </c>
      <c r="P78" s="114"/>
      <c r="Q78" s="126" t="n">
        <f aca="false">M78+J78+G78</f>
        <v>11</v>
      </c>
      <c r="R78" s="126" t="n">
        <f aca="false">N78+K78+H78</f>
        <v>11</v>
      </c>
      <c r="S78" s="126" t="n">
        <f aca="false">O78+L78+I78</f>
        <v>7.07</v>
      </c>
      <c r="T78" s="127"/>
      <c r="U78" s="5" t="n">
        <f aca="false">A79-A78</f>
        <v>31</v>
      </c>
      <c r="V78" s="128" t="n">
        <f aca="false">CHOOSE(F$3,A79+24,A78)</f>
        <v>39356</v>
      </c>
      <c r="W78" s="5" t="n">
        <f aca="false">V78-C$3</f>
        <v>2125</v>
      </c>
      <c r="X78" s="124" t="n">
        <f aca="false">VLOOKUP($A78,Table,MATCH(X$4,Curves,0))</f>
        <v>2</v>
      </c>
      <c r="Y78" s="129" t="n">
        <f aca="false">1/(1+CHOOSE(F$3,(X79+($K$3/10000))/2,(X78+($K$3/10000))/2))^(2*W78/365.25)</f>
        <v>0.000314235578280501</v>
      </c>
      <c r="Z78" s="5" t="n">
        <f aca="false">IF(AND(mthbeg&lt;=A78,mthend&gt;=A78),1,0)</f>
        <v>0</v>
      </c>
      <c r="AA78" s="5" t="n">
        <f aca="false">U78*Z78</f>
        <v>0</v>
      </c>
      <c r="AC78" s="115" t="n">
        <f aca="false">IF(G71=2,F78*(S78-Q78),F78*(Q78-S78))</f>
        <v>0</v>
      </c>
      <c r="AE78" s="116" t="n">
        <f aca="false">IF($G$3=1,F78*(R78-Q78),F78*(Q78-R78))</f>
        <v>0</v>
      </c>
      <c r="AG78" s="116" t="n">
        <f aca="false">AC78+AE78</f>
        <v>0</v>
      </c>
    </row>
    <row r="79" customFormat="false" ht="12.75" hidden="false" customHeight="false" outlineLevel="0" collapsed="false">
      <c r="A79" s="120" t="n">
        <f aca="false">EDATE(A78,1)</f>
        <v>39387</v>
      </c>
      <c r="B79" s="121" t="e">
        <f aca="false">VLOOKUP(A79,'Inputs-Summary'!$A$32:$B$41,2,FALSE())</f>
        <v>#N/A</v>
      </c>
      <c r="C79" s="122"/>
      <c r="D79" s="123" t="e">
        <f aca="false">B79+C79</f>
        <v>#N/A</v>
      </c>
      <c r="E79" s="111" t="n">
        <f aca="false">IF(Z79=0,0,IF(AND(Z79=1,$H$3=1),D79*U79,IF($H$3=2,D79,"N/A")))</f>
        <v>0</v>
      </c>
      <c r="F79" s="111" t="n">
        <f aca="false">E79*Y79</f>
        <v>0</v>
      </c>
      <c r="G79" s="124" t="n">
        <f aca="false">VLOOKUP($A79,Table,MATCH(G$4,Curves,0))</f>
        <v>3</v>
      </c>
      <c r="H79" s="125" t="n">
        <f aca="false">G79+$H$7</f>
        <v>3</v>
      </c>
      <c r="I79" s="124" t="n">
        <f aca="false">H79</f>
        <v>3</v>
      </c>
      <c r="J79" s="124" t="n">
        <f aca="false">VLOOKUP($A79,Table,MATCH(J$4,Curves,0))</f>
        <v>4</v>
      </c>
      <c r="K79" s="125" t="n">
        <f aca="false">J79+$K$7</f>
        <v>4</v>
      </c>
      <c r="L79" s="126" t="n">
        <f aca="false">K79</f>
        <v>4</v>
      </c>
      <c r="M79" s="124" t="n">
        <f aca="false">VLOOKUP($A79,Table,MATCH(M$4,Curves,0))</f>
        <v>4</v>
      </c>
      <c r="N79" s="125" t="n">
        <f aca="false">M79+$N$7</f>
        <v>4</v>
      </c>
      <c r="O79" s="126" t="n">
        <f aca="false">0.07</f>
        <v>0.07</v>
      </c>
      <c r="P79" s="114"/>
      <c r="Q79" s="126" t="n">
        <f aca="false">M79+J79+G79</f>
        <v>11</v>
      </c>
      <c r="R79" s="126" t="n">
        <f aca="false">N79+K79+H79</f>
        <v>11</v>
      </c>
      <c r="S79" s="126" t="n">
        <f aca="false">O79+L79+I79</f>
        <v>7.07</v>
      </c>
      <c r="T79" s="127"/>
      <c r="U79" s="5" t="n">
        <f aca="false">A80-A79</f>
        <v>30</v>
      </c>
      <c r="V79" s="128" t="n">
        <f aca="false">CHOOSE(F$3,A80+24,A79)</f>
        <v>39387</v>
      </c>
      <c r="W79" s="5" t="n">
        <f aca="false">V79-C$3</f>
        <v>2156</v>
      </c>
      <c r="X79" s="124" t="n">
        <f aca="false">VLOOKUP($A79,Table,MATCH(X$4,Curves,0))</f>
        <v>2</v>
      </c>
      <c r="Y79" s="129" t="n">
        <f aca="false">1/(1+CHOOSE(F$3,(X80+($K$3/10000))/2,(X79+($K$3/10000))/2))^(2*W79/365.25)</f>
        <v>0.000279355027693318</v>
      </c>
      <c r="Z79" s="5" t="n">
        <f aca="false">IF(AND(mthbeg&lt;=A79,mthend&gt;=A79),1,0)</f>
        <v>0</v>
      </c>
      <c r="AA79" s="5" t="n">
        <f aca="false">U79*Z79</f>
        <v>0</v>
      </c>
      <c r="AC79" s="115" t="n">
        <f aca="false">IF(G72=2,F79*(S79-Q79),F79*(Q79-S79))</f>
        <v>0</v>
      </c>
      <c r="AE79" s="116" t="n">
        <f aca="false">IF($G$3=1,F79*(R79-Q79),F79*(Q79-R79))</f>
        <v>0</v>
      </c>
      <c r="AG79" s="116" t="n">
        <f aca="false">AC79+AE79</f>
        <v>0</v>
      </c>
    </row>
    <row r="80" customFormat="false" ht="12.75" hidden="false" customHeight="false" outlineLevel="0" collapsed="false">
      <c r="A80" s="120" t="n">
        <f aca="false">EDATE(A79,1)</f>
        <v>39417</v>
      </c>
      <c r="B80" s="121" t="e">
        <f aca="false">VLOOKUP(A80,'Inputs-Summary'!$A$32:$B$41,2,FALSE())</f>
        <v>#N/A</v>
      </c>
      <c r="C80" s="122"/>
      <c r="D80" s="123" t="e">
        <f aca="false">B80+C80</f>
        <v>#N/A</v>
      </c>
      <c r="E80" s="111" t="n">
        <f aca="false">IF(Z80=0,0,IF(AND(Z80=1,$H$3=1),D80*U80,IF($H$3=2,D80,"N/A")))</f>
        <v>0</v>
      </c>
      <c r="F80" s="111" t="n">
        <f aca="false">E80*Y80</f>
        <v>0</v>
      </c>
      <c r="G80" s="124" t="n">
        <f aca="false">VLOOKUP($A80,Table,MATCH(G$4,Curves,0))</f>
        <v>3</v>
      </c>
      <c r="H80" s="125" t="n">
        <f aca="false">G80+$H$7</f>
        <v>3</v>
      </c>
      <c r="I80" s="124" t="n">
        <f aca="false">H80</f>
        <v>3</v>
      </c>
      <c r="J80" s="124" t="n">
        <f aca="false">VLOOKUP($A80,Table,MATCH(J$4,Curves,0))</f>
        <v>4</v>
      </c>
      <c r="K80" s="125" t="n">
        <f aca="false">J80+$K$7</f>
        <v>4</v>
      </c>
      <c r="L80" s="126" t="n">
        <f aca="false">K80</f>
        <v>4</v>
      </c>
      <c r="M80" s="124" t="n">
        <f aca="false">VLOOKUP($A80,Table,MATCH(M$4,Curves,0))</f>
        <v>4</v>
      </c>
      <c r="N80" s="125" t="n">
        <f aca="false">M80+$N$7</f>
        <v>4</v>
      </c>
      <c r="O80" s="126" t="n">
        <f aca="false">0.07</f>
        <v>0.07</v>
      </c>
      <c r="P80" s="114"/>
      <c r="Q80" s="126" t="n">
        <f aca="false">M80+J80+G80</f>
        <v>11</v>
      </c>
      <c r="R80" s="126" t="n">
        <f aca="false">N80+K80+H80</f>
        <v>11</v>
      </c>
      <c r="S80" s="126" t="n">
        <f aca="false">O80+L80+I80</f>
        <v>7.07</v>
      </c>
      <c r="T80" s="127"/>
      <c r="U80" s="5" t="n">
        <f aca="false">A81-A80</f>
        <v>31</v>
      </c>
      <c r="V80" s="128" t="n">
        <f aca="false">CHOOSE(F$3,A81+24,A80)</f>
        <v>39417</v>
      </c>
      <c r="W80" s="5" t="n">
        <f aca="false">V80-C$3</f>
        <v>2186</v>
      </c>
      <c r="X80" s="124" t="n">
        <f aca="false">VLOOKUP($A80,Table,MATCH(X$4,Curves,0))</f>
        <v>2</v>
      </c>
      <c r="Y80" s="129" t="n">
        <f aca="false">1/(1+CHOOSE(F$3,(X81+($K$3/10000))/2,(X80+($K$3/10000))/2))^(2*W80/365.25)</f>
        <v>0.000249290643898768</v>
      </c>
      <c r="Z80" s="5" t="n">
        <f aca="false">IF(AND(mthbeg&lt;=A80,mthend&gt;=A80),1,0)</f>
        <v>0</v>
      </c>
      <c r="AA80" s="5" t="n">
        <f aca="false">U80*Z80</f>
        <v>0</v>
      </c>
      <c r="AC80" s="115" t="n">
        <f aca="false">IF(G73=2,F80*(S80-Q80),F80*(Q80-S80))</f>
        <v>0</v>
      </c>
      <c r="AE80" s="116" t="n">
        <f aca="false">IF($G$3=1,F80*(R80-Q80),F80*(Q80-R80))</f>
        <v>0</v>
      </c>
      <c r="AG80" s="116" t="n">
        <f aca="false">AC80+AE80</f>
        <v>0</v>
      </c>
    </row>
    <row r="81" customFormat="false" ht="12.75" hidden="false" customHeight="false" outlineLevel="0" collapsed="false">
      <c r="A81" s="120" t="n">
        <f aca="false">EDATE(A80,1)</f>
        <v>39448</v>
      </c>
      <c r="B81" s="121" t="e">
        <f aca="false">VLOOKUP(A81,'Inputs-Summary'!$A$32:$B$41,2,FALSE())</f>
        <v>#N/A</v>
      </c>
      <c r="C81" s="122"/>
      <c r="D81" s="123" t="e">
        <f aca="false">B81+C81</f>
        <v>#N/A</v>
      </c>
      <c r="E81" s="111" t="n">
        <f aca="false">IF(Z81=0,0,IF(AND(Z81=1,$H$3=1),D81*U81,IF($H$3=2,D81,"N/A")))</f>
        <v>0</v>
      </c>
      <c r="F81" s="111" t="n">
        <f aca="false">E81*Y81</f>
        <v>0</v>
      </c>
      <c r="G81" s="124" t="n">
        <f aca="false">VLOOKUP($A81,Table,MATCH(G$4,Curves,0))</f>
        <v>3</v>
      </c>
      <c r="H81" s="125" t="n">
        <f aca="false">G81+$H$7</f>
        <v>3</v>
      </c>
      <c r="I81" s="124" t="n">
        <f aca="false">H81</f>
        <v>3</v>
      </c>
      <c r="J81" s="124" t="n">
        <f aca="false">VLOOKUP($A81,Table,MATCH(J$4,Curves,0))</f>
        <v>4</v>
      </c>
      <c r="K81" s="125" t="n">
        <f aca="false">J81+$K$7</f>
        <v>4</v>
      </c>
      <c r="L81" s="126" t="n">
        <f aca="false">K81</f>
        <v>4</v>
      </c>
      <c r="M81" s="124" t="n">
        <f aca="false">VLOOKUP($A81,Table,MATCH(M$4,Curves,0))</f>
        <v>4</v>
      </c>
      <c r="N81" s="125" t="n">
        <f aca="false">M81+$N$7</f>
        <v>4</v>
      </c>
      <c r="O81" s="126" t="n">
        <f aca="false">0.07</f>
        <v>0.07</v>
      </c>
      <c r="P81" s="114"/>
      <c r="Q81" s="126" t="n">
        <f aca="false">M81+J81+G81</f>
        <v>11</v>
      </c>
      <c r="R81" s="126" t="n">
        <f aca="false">N81+K81+H81</f>
        <v>11</v>
      </c>
      <c r="S81" s="126" t="n">
        <f aca="false">O81+L81+I81</f>
        <v>7.07</v>
      </c>
      <c r="T81" s="127"/>
      <c r="U81" s="5" t="n">
        <f aca="false">A82-A81</f>
        <v>31</v>
      </c>
      <c r="V81" s="128" t="n">
        <f aca="false">CHOOSE(F$3,A82+24,A81)</f>
        <v>39448</v>
      </c>
      <c r="W81" s="5" t="n">
        <f aca="false">V81-C$3</f>
        <v>2217</v>
      </c>
      <c r="X81" s="124" t="n">
        <f aca="false">VLOOKUP($A81,Table,MATCH(X$4,Curves,0))</f>
        <v>2</v>
      </c>
      <c r="Y81" s="129" t="n">
        <f aca="false">1/(1+CHOOSE(F$3,(X82+($K$3/10000))/2,(X81+($K$3/10000))/2))^(2*W81/365.25)</f>
        <v>0.000221619063987277</v>
      </c>
      <c r="Z81" s="5" t="n">
        <f aca="false">IF(AND(mthbeg&lt;=A81,mthend&gt;=A81),1,0)</f>
        <v>0</v>
      </c>
      <c r="AA81" s="5" t="n">
        <f aca="false">U81*Z81</f>
        <v>0</v>
      </c>
      <c r="AC81" s="115" t="n">
        <f aca="false">IF(G74=2,F81*(S81-Q81),F81*(Q81-S81))</f>
        <v>0</v>
      </c>
      <c r="AE81" s="116" t="n">
        <f aca="false">IF($G$3=1,F81*(R81-Q81),F81*(Q81-R81))</f>
        <v>0</v>
      </c>
      <c r="AG81" s="116" t="n">
        <f aca="false">AC81+AE81</f>
        <v>0</v>
      </c>
    </row>
    <row r="82" customFormat="false" ht="12.75" hidden="false" customHeight="false" outlineLevel="0" collapsed="false">
      <c r="A82" s="120" t="n">
        <f aca="false">EDATE(A81,1)</f>
        <v>39479</v>
      </c>
      <c r="B82" s="121" t="e">
        <f aca="false">VLOOKUP(A82,'Inputs-Summary'!$A$32:$B$41,2,FALSE())</f>
        <v>#N/A</v>
      </c>
      <c r="C82" s="122"/>
      <c r="D82" s="123" t="e">
        <f aca="false">B82+C82</f>
        <v>#N/A</v>
      </c>
      <c r="E82" s="111" t="n">
        <f aca="false">IF(Z82=0,0,IF(AND(Z82=1,$H$3=1),D82*U82,IF($H$3=2,D82,"N/A")))</f>
        <v>0</v>
      </c>
      <c r="F82" s="111" t="n">
        <f aca="false">E82*Y82</f>
        <v>0</v>
      </c>
      <c r="G82" s="124" t="n">
        <f aca="false">VLOOKUP($A82,Table,MATCH(G$4,Curves,0))</f>
        <v>3</v>
      </c>
      <c r="H82" s="125" t="n">
        <f aca="false">G82+$H$7</f>
        <v>3</v>
      </c>
      <c r="I82" s="124" t="n">
        <f aca="false">H82</f>
        <v>3</v>
      </c>
      <c r="J82" s="124" t="n">
        <f aca="false">VLOOKUP($A82,Table,MATCH(J$4,Curves,0))</f>
        <v>4</v>
      </c>
      <c r="K82" s="125" t="n">
        <f aca="false">J82+$K$7</f>
        <v>4</v>
      </c>
      <c r="L82" s="126" t="n">
        <f aca="false">K82</f>
        <v>4</v>
      </c>
      <c r="M82" s="124" t="n">
        <f aca="false">VLOOKUP($A82,Table,MATCH(M$4,Curves,0))</f>
        <v>4</v>
      </c>
      <c r="N82" s="125" t="n">
        <f aca="false">M82+$N$7</f>
        <v>4</v>
      </c>
      <c r="O82" s="126" t="n">
        <f aca="false">0.07</f>
        <v>0.07</v>
      </c>
      <c r="P82" s="114"/>
      <c r="Q82" s="126" t="n">
        <f aca="false">M82+J82+G82</f>
        <v>11</v>
      </c>
      <c r="R82" s="126" t="n">
        <f aca="false">N82+K82+H82</f>
        <v>11</v>
      </c>
      <c r="S82" s="126" t="n">
        <f aca="false">O82+L82+I82</f>
        <v>7.07</v>
      </c>
      <c r="T82" s="127"/>
      <c r="U82" s="5" t="n">
        <f aca="false">A83-A82</f>
        <v>29</v>
      </c>
      <c r="V82" s="128" t="n">
        <f aca="false">CHOOSE(F$3,A83+24,A82)</f>
        <v>39479</v>
      </c>
      <c r="W82" s="5" t="n">
        <f aca="false">V82-C$3</f>
        <v>2248</v>
      </c>
      <c r="X82" s="124" t="n">
        <f aca="false">VLOOKUP($A82,Table,MATCH(X$4,Curves,0))</f>
        <v>2</v>
      </c>
      <c r="Y82" s="129" t="n">
        <f aca="false">1/(1+CHOOSE(F$3,(X83+($K$3/10000))/2,(X82+($K$3/10000))/2))^(2*W82/365.25)</f>
        <v>0.000197019064793067</v>
      </c>
      <c r="Z82" s="5" t="n">
        <f aca="false">IF(AND(mthbeg&lt;=A82,mthend&gt;=A82),1,0)</f>
        <v>0</v>
      </c>
      <c r="AA82" s="5" t="n">
        <f aca="false">U82*Z82</f>
        <v>0</v>
      </c>
      <c r="AC82" s="115" t="n">
        <f aca="false">IF(G75=2,F82*(S82-Q82),F82*(Q82-S82))</f>
        <v>0</v>
      </c>
      <c r="AE82" s="116" t="n">
        <f aca="false">IF($G$3=1,F82*(R82-Q82),F82*(Q82-R82))</f>
        <v>0</v>
      </c>
      <c r="AG82" s="116" t="n">
        <f aca="false">AC82+AE82</f>
        <v>0</v>
      </c>
    </row>
    <row r="83" customFormat="false" ht="12.75" hidden="false" customHeight="false" outlineLevel="0" collapsed="false">
      <c r="A83" s="120" t="n">
        <f aca="false">EDATE(A82,1)</f>
        <v>39508</v>
      </c>
      <c r="B83" s="121" t="e">
        <f aca="false">VLOOKUP(A83,'Inputs-Summary'!$A$32:$B$41,2,FALSE())</f>
        <v>#N/A</v>
      </c>
      <c r="C83" s="122"/>
      <c r="D83" s="123" t="e">
        <f aca="false">B83+C83</f>
        <v>#N/A</v>
      </c>
      <c r="E83" s="111" t="n">
        <f aca="false">IF(Z83=0,0,IF(AND(Z83=1,$H$3=1),D83*U83,IF($H$3=2,D83,"N/A")))</f>
        <v>0</v>
      </c>
      <c r="F83" s="111" t="n">
        <f aca="false">E83*Y83</f>
        <v>0</v>
      </c>
      <c r="G83" s="124" t="n">
        <f aca="false">VLOOKUP($A83,Table,MATCH(G$4,Curves,0))</f>
        <v>3</v>
      </c>
      <c r="H83" s="125" t="n">
        <f aca="false">G83+$H$7</f>
        <v>3</v>
      </c>
      <c r="I83" s="124" t="n">
        <f aca="false">H83</f>
        <v>3</v>
      </c>
      <c r="J83" s="124" t="n">
        <f aca="false">VLOOKUP($A83,Table,MATCH(J$4,Curves,0))</f>
        <v>4</v>
      </c>
      <c r="K83" s="125" t="n">
        <f aca="false">J83+$K$7</f>
        <v>4</v>
      </c>
      <c r="L83" s="126" t="n">
        <f aca="false">K83</f>
        <v>4</v>
      </c>
      <c r="M83" s="124" t="n">
        <f aca="false">VLOOKUP($A83,Table,MATCH(M$4,Curves,0))</f>
        <v>4</v>
      </c>
      <c r="N83" s="125" t="n">
        <f aca="false">M83+$N$7</f>
        <v>4</v>
      </c>
      <c r="O83" s="126" t="n">
        <f aca="false">0.07</f>
        <v>0.07</v>
      </c>
      <c r="P83" s="114"/>
      <c r="Q83" s="126" t="n">
        <f aca="false">M83+J83+G83</f>
        <v>11</v>
      </c>
      <c r="R83" s="126" t="n">
        <f aca="false">N83+K83+H83</f>
        <v>11</v>
      </c>
      <c r="S83" s="126" t="n">
        <f aca="false">O83+L83+I83</f>
        <v>7.07</v>
      </c>
      <c r="T83" s="127"/>
      <c r="U83" s="5" t="n">
        <f aca="false">A84-A83</f>
        <v>31</v>
      </c>
      <c r="V83" s="128" t="n">
        <f aca="false">CHOOSE(F$3,A84+24,A83)</f>
        <v>39508</v>
      </c>
      <c r="W83" s="5" t="n">
        <f aca="false">V83-C$3</f>
        <v>2277</v>
      </c>
      <c r="X83" s="124" t="n">
        <f aca="false">VLOOKUP($A83,Table,MATCH(X$4,Curves,0))</f>
        <v>2</v>
      </c>
      <c r="Y83" s="129" t="n">
        <f aca="false">1/(1+CHOOSE(F$3,(X84+($K$3/10000))/2,(X83+($K$3/10000))/2))^(2*W83/365.25)</f>
        <v>0.000176484305815765</v>
      </c>
      <c r="Z83" s="5" t="n">
        <f aca="false">IF(AND(mthbeg&lt;=A83,mthend&gt;=A83),1,0)</f>
        <v>0</v>
      </c>
      <c r="AA83" s="5" t="n">
        <f aca="false">U83*Z83</f>
        <v>0</v>
      </c>
      <c r="AC83" s="115" t="n">
        <f aca="false">IF(G76=2,F83*(S83-Q83),F83*(Q83-S83))</f>
        <v>0</v>
      </c>
      <c r="AE83" s="116" t="n">
        <f aca="false">IF($G$3=1,F83*(R83-Q83),F83*(Q83-R83))</f>
        <v>0</v>
      </c>
      <c r="AG83" s="116" t="n">
        <f aca="false">AC83+AE83</f>
        <v>0</v>
      </c>
    </row>
    <row r="84" customFormat="false" ht="12.75" hidden="false" customHeight="false" outlineLevel="0" collapsed="false">
      <c r="A84" s="120" t="n">
        <f aca="false">EDATE(A83,1)</f>
        <v>39539</v>
      </c>
      <c r="B84" s="121" t="e">
        <f aca="false">VLOOKUP(A84,'Inputs-Summary'!$A$32:$B$41,2,FALSE())</f>
        <v>#N/A</v>
      </c>
      <c r="C84" s="122"/>
      <c r="D84" s="123" t="e">
        <f aca="false">B84+C84</f>
        <v>#N/A</v>
      </c>
      <c r="E84" s="111" t="n">
        <f aca="false">IF(Z84=0,0,IF(AND(Z84=1,$H$3=1),D84*U84,IF($H$3=2,D84,"N/A")))</f>
        <v>0</v>
      </c>
      <c r="F84" s="111" t="n">
        <f aca="false">E84*Y84</f>
        <v>0</v>
      </c>
      <c r="G84" s="124" t="n">
        <f aca="false">VLOOKUP($A84,Table,MATCH(G$4,Curves,0))</f>
        <v>3</v>
      </c>
      <c r="H84" s="125" t="n">
        <f aca="false">G84+$H$7</f>
        <v>3</v>
      </c>
      <c r="I84" s="124" t="n">
        <f aca="false">H84</f>
        <v>3</v>
      </c>
      <c r="J84" s="124" t="n">
        <f aca="false">VLOOKUP($A84,Table,MATCH(J$4,Curves,0))</f>
        <v>4</v>
      </c>
      <c r="K84" s="125" t="n">
        <f aca="false">J84+$K$7</f>
        <v>4</v>
      </c>
      <c r="L84" s="126" t="n">
        <f aca="false">K84</f>
        <v>4</v>
      </c>
      <c r="M84" s="124" t="n">
        <f aca="false">VLOOKUP($A84,Table,MATCH(M$4,Curves,0))</f>
        <v>4</v>
      </c>
      <c r="N84" s="125" t="n">
        <f aca="false">M84+$N$7</f>
        <v>4</v>
      </c>
      <c r="O84" s="126" t="n">
        <f aca="false">0.07</f>
        <v>0.07</v>
      </c>
      <c r="P84" s="114"/>
      <c r="Q84" s="126" t="n">
        <f aca="false">M84+J84+G84</f>
        <v>11</v>
      </c>
      <c r="R84" s="126" t="n">
        <f aca="false">N84+K84+H84</f>
        <v>11</v>
      </c>
      <c r="S84" s="126" t="n">
        <f aca="false">O84+L84+I84</f>
        <v>7.07</v>
      </c>
      <c r="T84" s="127"/>
      <c r="U84" s="5" t="n">
        <f aca="false">A85-A84</f>
        <v>30</v>
      </c>
      <c r="V84" s="128" t="n">
        <f aca="false">CHOOSE(F$3,A85+24,A84)</f>
        <v>39539</v>
      </c>
      <c r="W84" s="5" t="n">
        <f aca="false">V84-C$3</f>
        <v>2308</v>
      </c>
      <c r="X84" s="124" t="n">
        <f aca="false">VLOOKUP($A84,Table,MATCH(X$4,Curves,0))</f>
        <v>2</v>
      </c>
      <c r="Y84" s="129" t="n">
        <f aca="false">1/(1+CHOOSE(F$3,(X85+($K$3/10000))/2,(X84+($K$3/10000))/2))^(2*W84/365.25)</f>
        <v>0.000156894322432802</v>
      </c>
      <c r="Z84" s="5" t="n">
        <f aca="false">IF(AND(mthbeg&lt;=A84,mthend&gt;=A84),1,0)</f>
        <v>0</v>
      </c>
      <c r="AA84" s="5" t="n">
        <f aca="false">U84*Z84</f>
        <v>0</v>
      </c>
      <c r="AC84" s="115" t="n">
        <f aca="false">IF(G77=2,F84*(S84-Q84),F84*(Q84-S84))</f>
        <v>0</v>
      </c>
      <c r="AE84" s="116" t="n">
        <f aca="false">IF($G$3=1,F84*(R84-Q84),F84*(Q84-R84))</f>
        <v>0</v>
      </c>
      <c r="AG84" s="116" t="n">
        <f aca="false">AC84+AE84</f>
        <v>0</v>
      </c>
    </row>
    <row r="85" customFormat="false" ht="12.75" hidden="false" customHeight="false" outlineLevel="0" collapsed="false">
      <c r="A85" s="120" t="n">
        <f aca="false">EDATE(A84,1)</f>
        <v>39569</v>
      </c>
      <c r="B85" s="121" t="e">
        <f aca="false">VLOOKUP(A85,'Inputs-Summary'!$A$32:$B$41,2,FALSE())</f>
        <v>#N/A</v>
      </c>
      <c r="C85" s="122"/>
      <c r="D85" s="123" t="e">
        <f aca="false">B85+C85</f>
        <v>#N/A</v>
      </c>
      <c r="E85" s="111" t="n">
        <f aca="false">IF(Z85=0,0,IF(AND(Z85=1,$H$3=1),D85*U85,IF($H$3=2,D85,"N/A")))</f>
        <v>0</v>
      </c>
      <c r="F85" s="111" t="n">
        <f aca="false">E85*Y85</f>
        <v>0</v>
      </c>
      <c r="G85" s="124" t="n">
        <f aca="false">VLOOKUP($A85,Table,MATCH(G$4,Curves,0))</f>
        <v>3</v>
      </c>
      <c r="H85" s="125" t="n">
        <f aca="false">G85+$H$7</f>
        <v>3</v>
      </c>
      <c r="I85" s="124" t="n">
        <f aca="false">H85</f>
        <v>3</v>
      </c>
      <c r="J85" s="124" t="n">
        <f aca="false">VLOOKUP($A85,Table,MATCH(J$4,Curves,0))</f>
        <v>4</v>
      </c>
      <c r="K85" s="125" t="n">
        <f aca="false">J85+$K$7</f>
        <v>4</v>
      </c>
      <c r="L85" s="126" t="n">
        <f aca="false">K85</f>
        <v>4</v>
      </c>
      <c r="M85" s="124" t="n">
        <f aca="false">VLOOKUP($A85,Table,MATCH(M$4,Curves,0))</f>
        <v>4</v>
      </c>
      <c r="N85" s="125" t="n">
        <f aca="false">M85+$N$7</f>
        <v>4</v>
      </c>
      <c r="O85" s="126" t="n">
        <f aca="false">0.07</f>
        <v>0.07</v>
      </c>
      <c r="P85" s="114"/>
      <c r="Q85" s="126" t="n">
        <f aca="false">M85+J85+G85</f>
        <v>11</v>
      </c>
      <c r="R85" s="126" t="n">
        <f aca="false">N85+K85+H85</f>
        <v>11</v>
      </c>
      <c r="S85" s="126" t="n">
        <f aca="false">O85+L85+I85</f>
        <v>7.07</v>
      </c>
      <c r="T85" s="127"/>
      <c r="U85" s="5" t="n">
        <f aca="false">A86-A85</f>
        <v>31</v>
      </c>
      <c r="V85" s="128" t="n">
        <f aca="false">CHOOSE(F$3,A86+24,A85)</f>
        <v>39569</v>
      </c>
      <c r="W85" s="5" t="n">
        <f aca="false">V85-C$3</f>
        <v>2338</v>
      </c>
      <c r="X85" s="124" t="n">
        <f aca="false">VLOOKUP($A85,Table,MATCH(X$4,Curves,0))</f>
        <v>2</v>
      </c>
      <c r="Y85" s="129" t="n">
        <f aca="false">1/(1+CHOOSE(F$3,(X86+($K$3/10000))/2,(X85+($K$3/10000))/2))^(2*W85/365.25)</f>
        <v>0.000140009245533509</v>
      </c>
      <c r="Z85" s="5" t="n">
        <f aca="false">IF(AND(mthbeg&lt;=A85,mthend&gt;=A85),1,0)</f>
        <v>0</v>
      </c>
      <c r="AA85" s="5" t="n">
        <f aca="false">U85*Z85</f>
        <v>0</v>
      </c>
      <c r="AC85" s="115" t="n">
        <f aca="false">IF(G78=2,F85*(S85-Q85),F85*(Q85-S85))</f>
        <v>0</v>
      </c>
      <c r="AE85" s="116" t="n">
        <f aca="false">IF($G$3=1,F85*(R85-Q85),F85*(Q85-R85))</f>
        <v>0</v>
      </c>
      <c r="AG85" s="116" t="n">
        <f aca="false">AC85+AE85</f>
        <v>0</v>
      </c>
    </row>
    <row r="86" customFormat="false" ht="12.75" hidden="false" customHeight="false" outlineLevel="0" collapsed="false">
      <c r="A86" s="120" t="n">
        <f aca="false">EDATE(A85,1)</f>
        <v>39600</v>
      </c>
      <c r="B86" s="121" t="e">
        <f aca="false">VLOOKUP(A86,'Inputs-Summary'!$A$32:$B$41,2,FALSE())</f>
        <v>#N/A</v>
      </c>
      <c r="C86" s="122"/>
      <c r="D86" s="123" t="e">
        <f aca="false">B86+C86</f>
        <v>#N/A</v>
      </c>
      <c r="E86" s="111" t="n">
        <f aca="false">IF(Z86=0,0,IF(AND(Z86=1,$H$3=1),D86*U86,IF($H$3=2,D86,"N/A")))</f>
        <v>0</v>
      </c>
      <c r="F86" s="111" t="n">
        <f aca="false">E86*Y86</f>
        <v>0</v>
      </c>
      <c r="G86" s="124" t="n">
        <f aca="false">VLOOKUP($A86,Table,MATCH(G$4,Curves,0))</f>
        <v>3</v>
      </c>
      <c r="H86" s="125" t="n">
        <f aca="false">G86+$H$7</f>
        <v>3</v>
      </c>
      <c r="I86" s="124" t="n">
        <f aca="false">H86</f>
        <v>3</v>
      </c>
      <c r="J86" s="124" t="n">
        <f aca="false">VLOOKUP($A86,Table,MATCH(J$4,Curves,0))</f>
        <v>4</v>
      </c>
      <c r="K86" s="125" t="n">
        <f aca="false">J86+$K$7</f>
        <v>4</v>
      </c>
      <c r="L86" s="126" t="n">
        <f aca="false">K86</f>
        <v>4</v>
      </c>
      <c r="M86" s="124" t="n">
        <f aca="false">VLOOKUP($A86,Table,MATCH(M$4,Curves,0))</f>
        <v>4</v>
      </c>
      <c r="N86" s="125" t="n">
        <f aca="false">M86+$N$7</f>
        <v>4</v>
      </c>
      <c r="O86" s="126" t="n">
        <f aca="false">0.07</f>
        <v>0.07</v>
      </c>
      <c r="P86" s="114"/>
      <c r="Q86" s="126" t="n">
        <f aca="false">M86+J86+G86</f>
        <v>11</v>
      </c>
      <c r="R86" s="126" t="n">
        <f aca="false">N86+K86+H86</f>
        <v>11</v>
      </c>
      <c r="S86" s="126" t="n">
        <f aca="false">O86+L86+I86</f>
        <v>7.07</v>
      </c>
      <c r="T86" s="127"/>
      <c r="U86" s="5" t="n">
        <f aca="false">A87-A86</f>
        <v>30</v>
      </c>
      <c r="V86" s="128" t="n">
        <f aca="false">CHOOSE(F$3,A87+24,A86)</f>
        <v>39600</v>
      </c>
      <c r="W86" s="5" t="n">
        <f aca="false">V86-C$3</f>
        <v>2369</v>
      </c>
      <c r="X86" s="124" t="n">
        <f aca="false">VLOOKUP($A86,Table,MATCH(X$4,Curves,0))</f>
        <v>2</v>
      </c>
      <c r="Y86" s="129" t="n">
        <f aca="false">1/(1+CHOOSE(F$3,(X87+($K$3/10000))/2,(X86+($K$3/10000))/2))^(2*W86/365.25)</f>
        <v>0.000124468040434367</v>
      </c>
      <c r="Z86" s="5" t="n">
        <f aca="false">IF(AND(mthbeg&lt;=A86,mthend&gt;=A86),1,0)</f>
        <v>0</v>
      </c>
      <c r="AA86" s="5" t="n">
        <f aca="false">U86*Z86</f>
        <v>0</v>
      </c>
      <c r="AC86" s="115" t="n">
        <f aca="false">IF(G79=2,F86*(S86-Q86),F86*(Q86-S86))</f>
        <v>0</v>
      </c>
      <c r="AE86" s="116" t="n">
        <f aca="false">IF($G$3=1,F86*(R86-Q86),F86*(Q86-R86))</f>
        <v>0</v>
      </c>
      <c r="AG86" s="116" t="n">
        <f aca="false">AC86+AE86</f>
        <v>0</v>
      </c>
    </row>
    <row r="87" customFormat="false" ht="12.75" hidden="false" customHeight="false" outlineLevel="0" collapsed="false">
      <c r="A87" s="120" t="n">
        <f aca="false">EDATE(A86,1)</f>
        <v>39630</v>
      </c>
      <c r="B87" s="121" t="e">
        <f aca="false">VLOOKUP(A87,'Inputs-Summary'!$A$32:$B$41,2,FALSE())</f>
        <v>#N/A</v>
      </c>
      <c r="C87" s="122"/>
      <c r="D87" s="123" t="e">
        <f aca="false">B87+C87</f>
        <v>#N/A</v>
      </c>
      <c r="E87" s="111" t="n">
        <f aca="false">IF(Z87=0,0,IF(AND(Z87=1,$H$3=1),D87*U87,IF($H$3=2,D87,"N/A")))</f>
        <v>0</v>
      </c>
      <c r="F87" s="111" t="n">
        <f aca="false">E87*Y87</f>
        <v>0</v>
      </c>
      <c r="G87" s="124" t="n">
        <f aca="false">VLOOKUP($A87,Table,MATCH(G$4,Curves,0))</f>
        <v>3</v>
      </c>
      <c r="H87" s="125" t="n">
        <f aca="false">G87+$H$7</f>
        <v>3</v>
      </c>
      <c r="I87" s="124" t="n">
        <f aca="false">H87</f>
        <v>3</v>
      </c>
      <c r="J87" s="124" t="n">
        <f aca="false">VLOOKUP($A87,Table,MATCH(J$4,Curves,0))</f>
        <v>4</v>
      </c>
      <c r="K87" s="125" t="n">
        <f aca="false">J87+$K$7</f>
        <v>4</v>
      </c>
      <c r="L87" s="126" t="n">
        <f aca="false">K87</f>
        <v>4</v>
      </c>
      <c r="M87" s="124" t="n">
        <f aca="false">VLOOKUP($A87,Table,MATCH(M$4,Curves,0))</f>
        <v>4</v>
      </c>
      <c r="N87" s="125" t="n">
        <f aca="false">M87+$N$7</f>
        <v>4</v>
      </c>
      <c r="O87" s="126" t="n">
        <f aca="false">0.07</f>
        <v>0.07</v>
      </c>
      <c r="P87" s="114"/>
      <c r="Q87" s="126" t="n">
        <f aca="false">M87+J87+G87</f>
        <v>11</v>
      </c>
      <c r="R87" s="126" t="n">
        <f aca="false">N87+K87+H87</f>
        <v>11</v>
      </c>
      <c r="S87" s="126" t="n">
        <f aca="false">O87+L87+I87</f>
        <v>7.07</v>
      </c>
      <c r="T87" s="127"/>
      <c r="U87" s="5" t="n">
        <f aca="false">A88-A87</f>
        <v>31</v>
      </c>
      <c r="V87" s="128" t="n">
        <f aca="false">CHOOSE(F$3,A88+24,A87)</f>
        <v>39630</v>
      </c>
      <c r="W87" s="5" t="n">
        <f aca="false">V87-C$3</f>
        <v>2399</v>
      </c>
      <c r="X87" s="124" t="n">
        <f aca="false">VLOOKUP($A87,Table,MATCH(X$4,Curves,0))</f>
        <v>2</v>
      </c>
      <c r="Y87" s="129" t="n">
        <f aca="false">1/(1+CHOOSE(F$3,(X88+($K$3/10000))/2,(X87+($K$3/10000))/2))^(2*W87/365.25)</f>
        <v>0.000111072702721374</v>
      </c>
      <c r="Z87" s="5" t="n">
        <f aca="false">IF(AND(mthbeg&lt;=A87,mthend&gt;=A87),1,0)</f>
        <v>0</v>
      </c>
      <c r="AA87" s="5" t="n">
        <f aca="false">U87*Z87</f>
        <v>0</v>
      </c>
      <c r="AC87" s="115" t="n">
        <f aca="false">IF(G80=2,F87*(S87-Q87),F87*(Q87-S87))</f>
        <v>0</v>
      </c>
      <c r="AE87" s="116" t="n">
        <f aca="false">IF($G$3=1,F87*(R87-Q87),F87*(Q87-R87))</f>
        <v>0</v>
      </c>
      <c r="AG87" s="116" t="n">
        <f aca="false">AC87+AE87</f>
        <v>0</v>
      </c>
    </row>
    <row r="88" customFormat="false" ht="12.75" hidden="false" customHeight="false" outlineLevel="0" collapsed="false">
      <c r="A88" s="120" t="n">
        <f aca="false">EDATE(A87,1)</f>
        <v>39661</v>
      </c>
      <c r="B88" s="121" t="e">
        <f aca="false">VLOOKUP(A88,'Inputs-Summary'!$A$32:$B$41,2,FALSE())</f>
        <v>#N/A</v>
      </c>
      <c r="C88" s="122"/>
      <c r="D88" s="123" t="e">
        <f aca="false">B88+C88</f>
        <v>#N/A</v>
      </c>
      <c r="E88" s="111" t="n">
        <f aca="false">IF(Z88=0,0,IF(AND(Z88=1,$H$3=1),D88*U88,IF($H$3=2,D88,"N/A")))</f>
        <v>0</v>
      </c>
      <c r="F88" s="111" t="n">
        <f aca="false">E88*Y88</f>
        <v>0</v>
      </c>
      <c r="G88" s="124" t="n">
        <f aca="false">VLOOKUP($A88,Table,MATCH(G$4,Curves,0))</f>
        <v>3</v>
      </c>
      <c r="H88" s="125" t="n">
        <f aca="false">G88+$H$7</f>
        <v>3</v>
      </c>
      <c r="I88" s="124" t="n">
        <f aca="false">H88</f>
        <v>3</v>
      </c>
      <c r="J88" s="124" t="n">
        <f aca="false">VLOOKUP($A88,Table,MATCH(J$4,Curves,0))</f>
        <v>4</v>
      </c>
      <c r="K88" s="125" t="n">
        <f aca="false">J88+$K$7</f>
        <v>4</v>
      </c>
      <c r="L88" s="126" t="n">
        <f aca="false">K88</f>
        <v>4</v>
      </c>
      <c r="M88" s="124" t="n">
        <f aca="false">VLOOKUP($A88,Table,MATCH(M$4,Curves,0))</f>
        <v>4</v>
      </c>
      <c r="N88" s="125" t="n">
        <f aca="false">M88+$N$7</f>
        <v>4</v>
      </c>
      <c r="O88" s="126" t="n">
        <f aca="false">0.07</f>
        <v>0.07</v>
      </c>
      <c r="P88" s="114"/>
      <c r="Q88" s="126" t="n">
        <f aca="false">M88+J88+G88</f>
        <v>11</v>
      </c>
      <c r="R88" s="126" t="n">
        <f aca="false">N88+K88+H88</f>
        <v>11</v>
      </c>
      <c r="S88" s="126" t="n">
        <f aca="false">O88+L88+I88</f>
        <v>7.07</v>
      </c>
      <c r="T88" s="127"/>
      <c r="U88" s="5" t="n">
        <f aca="false">A89-A88</f>
        <v>31</v>
      </c>
      <c r="V88" s="128" t="n">
        <f aca="false">CHOOSE(F$3,A89+24,A88)</f>
        <v>39661</v>
      </c>
      <c r="W88" s="5" t="n">
        <f aca="false">V88-C$3</f>
        <v>2430</v>
      </c>
      <c r="X88" s="124" t="n">
        <f aca="false">VLOOKUP($A88,Table,MATCH(X$4,Curves,0))</f>
        <v>2</v>
      </c>
      <c r="Y88" s="129" t="n">
        <f aca="false">1/(1+CHOOSE(F$3,(X89+($K$3/10000))/2,(X88+($K$3/10000))/2))^(2*W88/365.25)</f>
        <v>9.8743490837322E-005</v>
      </c>
      <c r="Z88" s="5" t="n">
        <f aca="false">IF(AND(mthbeg&lt;=A88,mthend&gt;=A88),1,0)</f>
        <v>0</v>
      </c>
      <c r="AA88" s="5" t="n">
        <f aca="false">U88*Z88</f>
        <v>0</v>
      </c>
      <c r="AC88" s="115" t="n">
        <f aca="false">IF(G81=2,F88*(S88-Q88),F88*(Q88-S88))</f>
        <v>0</v>
      </c>
      <c r="AE88" s="116" t="n">
        <f aca="false">IF($G$3=1,F88*(R88-Q88),F88*(Q88-R88))</f>
        <v>0</v>
      </c>
      <c r="AG88" s="116" t="n">
        <f aca="false">AC88+AE88</f>
        <v>0</v>
      </c>
    </row>
    <row r="89" customFormat="false" ht="12.75" hidden="false" customHeight="false" outlineLevel="0" collapsed="false">
      <c r="A89" s="120" t="n">
        <f aca="false">EDATE(A88,1)</f>
        <v>39692</v>
      </c>
      <c r="B89" s="121" t="e">
        <f aca="false">VLOOKUP(A89,'Inputs-Summary'!$A$32:$B$41,2,FALSE())</f>
        <v>#N/A</v>
      </c>
      <c r="C89" s="122"/>
      <c r="D89" s="123" t="e">
        <f aca="false">B89+C89</f>
        <v>#N/A</v>
      </c>
      <c r="E89" s="111" t="n">
        <f aca="false">IF(Z89=0,0,IF(AND(Z89=1,$H$3=1),D89*U89,IF($H$3=2,D89,"N/A")))</f>
        <v>0</v>
      </c>
      <c r="F89" s="111" t="n">
        <f aca="false">E89*Y89</f>
        <v>0</v>
      </c>
      <c r="G89" s="124" t="n">
        <f aca="false">VLOOKUP($A89,Table,MATCH(G$4,Curves,0))</f>
        <v>3</v>
      </c>
      <c r="H89" s="125" t="n">
        <f aca="false">G89+$H$7</f>
        <v>3</v>
      </c>
      <c r="I89" s="124" t="n">
        <f aca="false">H89</f>
        <v>3</v>
      </c>
      <c r="J89" s="124" t="n">
        <f aca="false">VLOOKUP($A89,Table,MATCH(J$4,Curves,0))</f>
        <v>4</v>
      </c>
      <c r="K89" s="125" t="n">
        <f aca="false">J89+$K$7</f>
        <v>4</v>
      </c>
      <c r="L89" s="126" t="n">
        <f aca="false">K89</f>
        <v>4</v>
      </c>
      <c r="M89" s="124" t="n">
        <f aca="false">VLOOKUP($A89,Table,MATCH(M$4,Curves,0))</f>
        <v>4</v>
      </c>
      <c r="N89" s="125" t="n">
        <f aca="false">M89+$N$7</f>
        <v>4</v>
      </c>
      <c r="O89" s="126" t="n">
        <f aca="false">0.07</f>
        <v>0.07</v>
      </c>
      <c r="P89" s="114"/>
      <c r="Q89" s="126" t="n">
        <f aca="false">M89+J89+G89</f>
        <v>11</v>
      </c>
      <c r="R89" s="126" t="n">
        <f aca="false">N89+K89+H89</f>
        <v>11</v>
      </c>
      <c r="S89" s="126" t="n">
        <f aca="false">O89+L89+I89</f>
        <v>7.07</v>
      </c>
      <c r="T89" s="127"/>
      <c r="U89" s="5" t="n">
        <f aca="false">A90-A89</f>
        <v>30</v>
      </c>
      <c r="V89" s="128" t="n">
        <f aca="false">CHOOSE(F$3,A90+24,A89)</f>
        <v>39692</v>
      </c>
      <c r="W89" s="5" t="n">
        <f aca="false">V89-C$3</f>
        <v>2461</v>
      </c>
      <c r="X89" s="124" t="n">
        <f aca="false">VLOOKUP($A89,Table,MATCH(X$4,Curves,0))</f>
        <v>2</v>
      </c>
      <c r="Y89" s="129" t="n">
        <f aca="false">1/(1+CHOOSE(F$3,(X90+($K$3/10000))/2,(X89+($K$3/10000))/2))^(2*W89/365.25)</f>
        <v>8.77828372214803E-005</v>
      </c>
      <c r="Z89" s="5" t="n">
        <f aca="false">IF(AND(mthbeg&lt;=A89,mthend&gt;=A89),1,0)</f>
        <v>0</v>
      </c>
      <c r="AA89" s="5" t="n">
        <f aca="false">U89*Z89</f>
        <v>0</v>
      </c>
      <c r="AC89" s="115" t="n">
        <f aca="false">IF(G82=2,F89*(S89-Q89),F89*(Q89-S89))</f>
        <v>0</v>
      </c>
      <c r="AE89" s="116" t="n">
        <f aca="false">IF($G$3=1,F89*(R89-Q89),F89*(Q89-R89))</f>
        <v>0</v>
      </c>
      <c r="AG89" s="116" t="n">
        <f aca="false">AC89+AE89</f>
        <v>0</v>
      </c>
    </row>
    <row r="90" customFormat="false" ht="12.75" hidden="false" customHeight="false" outlineLevel="0" collapsed="false">
      <c r="A90" s="120" t="n">
        <f aca="false">EDATE(A89,1)</f>
        <v>39722</v>
      </c>
      <c r="B90" s="121" t="e">
        <f aca="false">VLOOKUP(A90,'Inputs-Summary'!$A$32:$B$41,2,FALSE())</f>
        <v>#N/A</v>
      </c>
      <c r="C90" s="122"/>
      <c r="D90" s="123" t="e">
        <f aca="false">B90+C90</f>
        <v>#N/A</v>
      </c>
      <c r="E90" s="111" t="n">
        <f aca="false">IF(Z90=0,0,IF(AND(Z90=1,$H$3=1),D90*U90,IF($H$3=2,D90,"N/A")))</f>
        <v>0</v>
      </c>
      <c r="F90" s="111" t="n">
        <f aca="false">E90*Y90</f>
        <v>0</v>
      </c>
      <c r="G90" s="124" t="n">
        <f aca="false">VLOOKUP($A90,Table,MATCH(G$4,Curves,0))</f>
        <v>3</v>
      </c>
      <c r="H90" s="125" t="n">
        <f aca="false">G90+$H$7</f>
        <v>3</v>
      </c>
      <c r="I90" s="124" t="n">
        <f aca="false">H90</f>
        <v>3</v>
      </c>
      <c r="J90" s="124" t="n">
        <f aca="false">VLOOKUP($A90,Table,MATCH(J$4,Curves,0))</f>
        <v>4</v>
      </c>
      <c r="K90" s="125" t="n">
        <f aca="false">J90+$K$7</f>
        <v>4</v>
      </c>
      <c r="L90" s="126" t="n">
        <f aca="false">K90</f>
        <v>4</v>
      </c>
      <c r="M90" s="124" t="n">
        <f aca="false">VLOOKUP($A90,Table,MATCH(M$4,Curves,0))</f>
        <v>4</v>
      </c>
      <c r="N90" s="125" t="n">
        <f aca="false">M90+$N$7</f>
        <v>4</v>
      </c>
      <c r="O90" s="126" t="n">
        <f aca="false">0.07</f>
        <v>0.07</v>
      </c>
      <c r="P90" s="114"/>
      <c r="Q90" s="126" t="n">
        <f aca="false">M90+J90+G90</f>
        <v>11</v>
      </c>
      <c r="R90" s="126" t="n">
        <f aca="false">N90+K90+H90</f>
        <v>11</v>
      </c>
      <c r="S90" s="126" t="n">
        <f aca="false">O90+L90+I90</f>
        <v>7.07</v>
      </c>
      <c r="T90" s="127"/>
      <c r="U90" s="5" t="n">
        <f aca="false">A91-A90</f>
        <v>31</v>
      </c>
      <c r="V90" s="128" t="n">
        <f aca="false">CHOOSE(F$3,A91+24,A90)</f>
        <v>39722</v>
      </c>
      <c r="W90" s="5" t="n">
        <f aca="false">V90-C$3</f>
        <v>2491</v>
      </c>
      <c r="X90" s="124" t="n">
        <f aca="false">VLOOKUP($A90,Table,MATCH(X$4,Curves,0))</f>
        <v>2</v>
      </c>
      <c r="Y90" s="129" t="n">
        <f aca="false">1/(1+CHOOSE(F$3,(X91+($K$3/10000))/2,(X90+($K$3/10000))/2))^(2*W90/365.25)</f>
        <v>7.83355867796575E-005</v>
      </c>
      <c r="Z90" s="5" t="n">
        <f aca="false">IF(AND(mthbeg&lt;=A90,mthend&gt;=A90),1,0)</f>
        <v>0</v>
      </c>
      <c r="AA90" s="5" t="n">
        <f aca="false">U90*Z90</f>
        <v>0</v>
      </c>
      <c r="AC90" s="115" t="n">
        <f aca="false">IF(G83=2,F90*(S90-Q90),F90*(Q90-S90))</f>
        <v>0</v>
      </c>
      <c r="AE90" s="116" t="n">
        <f aca="false">IF($G$3=1,F90*(R90-Q90),F90*(Q90-R90))</f>
        <v>0</v>
      </c>
      <c r="AG90" s="116" t="n">
        <f aca="false">AC90+AE90</f>
        <v>0</v>
      </c>
    </row>
    <row r="91" customFormat="false" ht="12.75" hidden="false" customHeight="false" outlineLevel="0" collapsed="false">
      <c r="A91" s="120" t="n">
        <f aca="false">EDATE(A90,1)</f>
        <v>39753</v>
      </c>
      <c r="B91" s="121" t="e">
        <f aca="false">VLOOKUP(A91,'Inputs-Summary'!$A$32:$B$41,2,FALSE())</f>
        <v>#N/A</v>
      </c>
      <c r="C91" s="122"/>
      <c r="D91" s="123" t="e">
        <f aca="false">B91+C91</f>
        <v>#N/A</v>
      </c>
      <c r="E91" s="111" t="n">
        <f aca="false">IF(Z91=0,0,IF(AND(Z91=1,$H$3=1),D91*U91,IF($H$3=2,D91,"N/A")))</f>
        <v>0</v>
      </c>
      <c r="F91" s="111" t="n">
        <f aca="false">E91*Y91</f>
        <v>0</v>
      </c>
      <c r="G91" s="124" t="n">
        <f aca="false">VLOOKUP($A91,Table,MATCH(G$4,Curves,0))</f>
        <v>3</v>
      </c>
      <c r="H91" s="125" t="n">
        <f aca="false">G91+$H$7</f>
        <v>3</v>
      </c>
      <c r="I91" s="124" t="n">
        <f aca="false">H91</f>
        <v>3</v>
      </c>
      <c r="J91" s="124" t="n">
        <f aca="false">VLOOKUP($A91,Table,MATCH(J$4,Curves,0))</f>
        <v>4</v>
      </c>
      <c r="K91" s="125" t="n">
        <f aca="false">J91+$K$7</f>
        <v>4</v>
      </c>
      <c r="L91" s="126" t="n">
        <f aca="false">K91</f>
        <v>4</v>
      </c>
      <c r="M91" s="124" t="n">
        <f aca="false">VLOOKUP($A91,Table,MATCH(M$4,Curves,0))</f>
        <v>4</v>
      </c>
      <c r="N91" s="125" t="n">
        <f aca="false">M91+$N$7</f>
        <v>4</v>
      </c>
      <c r="O91" s="126" t="n">
        <f aca="false">0.07</f>
        <v>0.07</v>
      </c>
      <c r="P91" s="114"/>
      <c r="Q91" s="126" t="n">
        <f aca="false">M91+J91+G91</f>
        <v>11</v>
      </c>
      <c r="R91" s="126" t="n">
        <f aca="false">N91+K91+H91</f>
        <v>11</v>
      </c>
      <c r="S91" s="126" t="n">
        <f aca="false">O91+L91+I91</f>
        <v>7.07</v>
      </c>
      <c r="T91" s="127"/>
      <c r="U91" s="5" t="n">
        <f aca="false">A92-A91</f>
        <v>30</v>
      </c>
      <c r="V91" s="128" t="n">
        <f aca="false">CHOOSE(F$3,A92+24,A91)</f>
        <v>39753</v>
      </c>
      <c r="W91" s="5" t="n">
        <f aca="false">V91-C$3</f>
        <v>2522</v>
      </c>
      <c r="X91" s="124" t="n">
        <f aca="false">VLOOKUP($A91,Table,MATCH(X$4,Curves,0))</f>
        <v>2</v>
      </c>
      <c r="Y91" s="129" t="n">
        <f aca="false">1/(1+CHOOSE(F$3,(X92+($K$3/10000))/2,(X91+($K$3/10000))/2))^(2*W91/365.25)</f>
        <v>6.96402365828525E-005</v>
      </c>
      <c r="Z91" s="5" t="n">
        <f aca="false">IF(AND(mthbeg&lt;=A91,mthend&gt;=A91),1,0)</f>
        <v>0</v>
      </c>
      <c r="AA91" s="5" t="n">
        <f aca="false">U91*Z91</f>
        <v>0</v>
      </c>
      <c r="AC91" s="115" t="n">
        <f aca="false">IF(G84=2,F91*(S91-Q91),F91*(Q91-S91))</f>
        <v>0</v>
      </c>
      <c r="AE91" s="116" t="n">
        <f aca="false">IF($G$3=1,F91*(R91-Q91),F91*(Q91-R91))</f>
        <v>0</v>
      </c>
      <c r="AG91" s="116" t="n">
        <f aca="false">AC91+AE91</f>
        <v>0</v>
      </c>
    </row>
    <row r="92" customFormat="false" ht="12.75" hidden="false" customHeight="false" outlineLevel="0" collapsed="false">
      <c r="A92" s="120" t="n">
        <f aca="false">EDATE(A91,1)</f>
        <v>39783</v>
      </c>
      <c r="B92" s="121" t="e">
        <f aca="false">VLOOKUP(A92,'Inputs-Summary'!$A$32:$B$41,2,FALSE())</f>
        <v>#N/A</v>
      </c>
      <c r="C92" s="122"/>
      <c r="D92" s="123" t="e">
        <f aca="false">B92+C92</f>
        <v>#N/A</v>
      </c>
      <c r="E92" s="111" t="n">
        <f aca="false">IF(Z92=0,0,IF(AND(Z92=1,$H$3=1),D92*U92,IF($H$3=2,D92,"N/A")))</f>
        <v>0</v>
      </c>
      <c r="F92" s="111" t="n">
        <f aca="false">E92*Y92</f>
        <v>0</v>
      </c>
      <c r="G92" s="124" t="n">
        <f aca="false">VLOOKUP($A92,Table,MATCH(G$4,Curves,0))</f>
        <v>3</v>
      </c>
      <c r="H92" s="125" t="n">
        <f aca="false">G92+$H$7</f>
        <v>3</v>
      </c>
      <c r="I92" s="124" t="n">
        <f aca="false">H92</f>
        <v>3</v>
      </c>
      <c r="J92" s="124" t="n">
        <f aca="false">VLOOKUP($A92,Table,MATCH(J$4,Curves,0))</f>
        <v>4</v>
      </c>
      <c r="K92" s="125" t="n">
        <f aca="false">J92+$K$7</f>
        <v>4</v>
      </c>
      <c r="L92" s="126" t="n">
        <f aca="false">K92</f>
        <v>4</v>
      </c>
      <c r="M92" s="124" t="n">
        <f aca="false">VLOOKUP($A92,Table,MATCH(M$4,Curves,0))</f>
        <v>4</v>
      </c>
      <c r="N92" s="125" t="n">
        <f aca="false">M92+$N$7</f>
        <v>4</v>
      </c>
      <c r="O92" s="126" t="n">
        <f aca="false">0.07</f>
        <v>0.07</v>
      </c>
      <c r="P92" s="114"/>
      <c r="Q92" s="126" t="n">
        <f aca="false">M92+J92+G92</f>
        <v>11</v>
      </c>
      <c r="R92" s="126" t="n">
        <f aca="false">N92+K92+H92</f>
        <v>11</v>
      </c>
      <c r="S92" s="126" t="n">
        <f aca="false">O92+L92+I92</f>
        <v>7.07</v>
      </c>
      <c r="T92" s="127"/>
      <c r="U92" s="5" t="n">
        <f aca="false">A93-A92</f>
        <v>31</v>
      </c>
      <c r="V92" s="128" t="n">
        <f aca="false">CHOOSE(F$3,A93+24,A92)</f>
        <v>39783</v>
      </c>
      <c r="W92" s="5" t="n">
        <f aca="false">V92-C$3</f>
        <v>2552</v>
      </c>
      <c r="X92" s="124" t="n">
        <f aca="false">VLOOKUP($A92,Table,MATCH(X$4,Curves,0))</f>
        <v>2</v>
      </c>
      <c r="Y92" s="129" t="n">
        <f aca="false">1/(1+CHOOSE(F$3,(X93+($K$3/10000))/2,(X92+($K$3/10000))/2))^(2*W92/365.25)</f>
        <v>6.2145505532339E-005</v>
      </c>
      <c r="Z92" s="5" t="n">
        <f aca="false">IF(AND(mthbeg&lt;=A92,mthend&gt;=A92),1,0)</f>
        <v>0</v>
      </c>
      <c r="AA92" s="5" t="n">
        <f aca="false">U92*Z92</f>
        <v>0</v>
      </c>
      <c r="AC92" s="115" t="n">
        <f aca="false">IF(G85=2,F92*(S92-Q92),F92*(Q92-S92))</f>
        <v>0</v>
      </c>
      <c r="AE92" s="116" t="n">
        <f aca="false">IF($G$3=1,F92*(R92-Q92),F92*(Q92-R92))</f>
        <v>0</v>
      </c>
      <c r="AG92" s="116" t="n">
        <f aca="false">AC92+AE92</f>
        <v>0</v>
      </c>
    </row>
    <row r="93" customFormat="false" ht="12.75" hidden="false" customHeight="false" outlineLevel="0" collapsed="false">
      <c r="A93" s="120" t="n">
        <f aca="false">EDATE(A92,1)</f>
        <v>39814</v>
      </c>
      <c r="B93" s="121" t="e">
        <f aca="false">VLOOKUP(A93,'Inputs-Summary'!$A$32:$B$41,2,FALSE())</f>
        <v>#N/A</v>
      </c>
      <c r="C93" s="122"/>
      <c r="D93" s="123" t="e">
        <f aca="false">B93+C93</f>
        <v>#N/A</v>
      </c>
      <c r="E93" s="111" t="n">
        <f aca="false">IF(Z93=0,0,IF(AND(Z93=1,$H$3=1),D93*U93,IF($H$3=2,D93,"N/A")))</f>
        <v>0</v>
      </c>
      <c r="F93" s="111" t="n">
        <f aca="false">E93*Y93</f>
        <v>0</v>
      </c>
      <c r="G93" s="124" t="n">
        <f aca="false">VLOOKUP($A93,Table,MATCH(G$4,Curves,0))</f>
        <v>3</v>
      </c>
      <c r="H93" s="125" t="n">
        <f aca="false">G93+$H$7</f>
        <v>3</v>
      </c>
      <c r="I93" s="124" t="n">
        <f aca="false">H93</f>
        <v>3</v>
      </c>
      <c r="J93" s="124" t="n">
        <f aca="false">VLOOKUP($A93,Table,MATCH(J$4,Curves,0))</f>
        <v>4</v>
      </c>
      <c r="K93" s="125" t="n">
        <f aca="false">J93+$K$7</f>
        <v>4</v>
      </c>
      <c r="L93" s="126" t="n">
        <f aca="false">K93</f>
        <v>4</v>
      </c>
      <c r="M93" s="124" t="n">
        <f aca="false">VLOOKUP($A93,Table,MATCH(M$4,Curves,0))</f>
        <v>4</v>
      </c>
      <c r="N93" s="125" t="n">
        <f aca="false">M93+$N$7</f>
        <v>4</v>
      </c>
      <c r="O93" s="126" t="n">
        <f aca="false">0.07</f>
        <v>0.07</v>
      </c>
      <c r="P93" s="114"/>
      <c r="Q93" s="126" t="n">
        <f aca="false">M93+J93+G93</f>
        <v>11</v>
      </c>
      <c r="R93" s="126" t="n">
        <f aca="false">N93+K93+H93</f>
        <v>11</v>
      </c>
      <c r="S93" s="126" t="n">
        <f aca="false">O93+L93+I93</f>
        <v>7.07</v>
      </c>
      <c r="T93" s="127"/>
      <c r="U93" s="5" t="n">
        <f aca="false">A94-A93</f>
        <v>31</v>
      </c>
      <c r="V93" s="128" t="n">
        <f aca="false">CHOOSE(F$3,A94+24,A93)</f>
        <v>39814</v>
      </c>
      <c r="W93" s="5" t="n">
        <f aca="false">V93-C$3</f>
        <v>2583</v>
      </c>
      <c r="X93" s="124" t="n">
        <f aca="false">VLOOKUP($A93,Table,MATCH(X$4,Curves,0))</f>
        <v>2</v>
      </c>
      <c r="Y93" s="129" t="n">
        <f aca="false">1/(1+CHOOSE(F$3,(X94+($K$3/10000))/2,(X93+($K$3/10000))/2))^(2*W93/365.25)</f>
        <v>5.52472750348622E-005</v>
      </c>
      <c r="Z93" s="5" t="n">
        <f aca="false">IF(AND(mthbeg&lt;=A93,mthend&gt;=A93),1,0)</f>
        <v>0</v>
      </c>
      <c r="AA93" s="5" t="n">
        <f aca="false">U93*Z93</f>
        <v>0</v>
      </c>
      <c r="AC93" s="115" t="n">
        <f aca="false">IF(G86=2,F93*(S93-Q93),F93*(Q93-S93))</f>
        <v>0</v>
      </c>
      <c r="AE93" s="116" t="n">
        <f aca="false">IF($G$3=1,F93*(R93-Q93),F93*(Q93-R93))</f>
        <v>0</v>
      </c>
      <c r="AG93" s="116" t="n">
        <f aca="false">AC93+AE93</f>
        <v>0</v>
      </c>
    </row>
    <row r="94" customFormat="false" ht="12.75" hidden="false" customHeight="false" outlineLevel="0" collapsed="false">
      <c r="A94" s="120" t="n">
        <f aca="false">EDATE(A93,1)</f>
        <v>39845</v>
      </c>
      <c r="B94" s="121" t="e">
        <f aca="false">VLOOKUP(A94,'Inputs-Summary'!$A$32:$B$41,2,FALSE())</f>
        <v>#N/A</v>
      </c>
      <c r="C94" s="122"/>
      <c r="D94" s="123" t="e">
        <f aca="false">B94+C94</f>
        <v>#N/A</v>
      </c>
      <c r="E94" s="111" t="n">
        <f aca="false">IF(Z94=0,0,IF(AND(Z94=1,$H$3=1),D94*U94,IF($H$3=2,D94,"N/A")))</f>
        <v>0</v>
      </c>
      <c r="F94" s="111" t="n">
        <f aca="false">E94*Y94</f>
        <v>0</v>
      </c>
      <c r="G94" s="124" t="n">
        <f aca="false">VLOOKUP($A94,Table,MATCH(G$4,Curves,0))</f>
        <v>3</v>
      </c>
      <c r="H94" s="125" t="n">
        <f aca="false">G94+$H$7</f>
        <v>3</v>
      </c>
      <c r="I94" s="124" t="n">
        <f aca="false">H94</f>
        <v>3</v>
      </c>
      <c r="J94" s="124" t="n">
        <f aca="false">VLOOKUP($A94,Table,MATCH(J$4,Curves,0))</f>
        <v>4</v>
      </c>
      <c r="K94" s="125" t="n">
        <f aca="false">J94+$K$7</f>
        <v>4</v>
      </c>
      <c r="L94" s="126" t="n">
        <f aca="false">K94</f>
        <v>4</v>
      </c>
      <c r="M94" s="124" t="n">
        <f aca="false">VLOOKUP($A94,Table,MATCH(M$4,Curves,0))</f>
        <v>4</v>
      </c>
      <c r="N94" s="125" t="n">
        <f aca="false">M94+$N$7</f>
        <v>4</v>
      </c>
      <c r="O94" s="126" t="n">
        <f aca="false">0.07</f>
        <v>0.07</v>
      </c>
      <c r="P94" s="114"/>
      <c r="Q94" s="126" t="n">
        <f aca="false">M94+J94+G94</f>
        <v>11</v>
      </c>
      <c r="R94" s="126" t="n">
        <f aca="false">N94+K94+H94</f>
        <v>11</v>
      </c>
      <c r="S94" s="126" t="n">
        <f aca="false">O94+L94+I94</f>
        <v>7.07</v>
      </c>
      <c r="T94" s="127"/>
      <c r="U94" s="5" t="n">
        <f aca="false">A95-A94</f>
        <v>28</v>
      </c>
      <c r="V94" s="128" t="n">
        <f aca="false">CHOOSE(F$3,A95+24,A94)</f>
        <v>39845</v>
      </c>
      <c r="W94" s="5" t="n">
        <f aca="false">V94-C$3</f>
        <v>2614</v>
      </c>
      <c r="X94" s="124" t="n">
        <f aca="false">VLOOKUP($A94,Table,MATCH(X$4,Curves,0))</f>
        <v>2</v>
      </c>
      <c r="Y94" s="129" t="n">
        <f aca="false">1/(1+CHOOSE(F$3,(X95+($K$3/10000))/2,(X94+($K$3/10000))/2))^(2*W94/365.25)</f>
        <v>4.91147569342627E-005</v>
      </c>
      <c r="Z94" s="5" t="n">
        <f aca="false">IF(AND(mthbeg&lt;=A94,mthend&gt;=A94),1,0)</f>
        <v>0</v>
      </c>
      <c r="AA94" s="5" t="n">
        <f aca="false">U94*Z94</f>
        <v>0</v>
      </c>
      <c r="AC94" s="115" t="n">
        <f aca="false">IF(G87=2,F94*(S94-Q94),F94*(Q94-S94))</f>
        <v>0</v>
      </c>
      <c r="AE94" s="116" t="n">
        <f aca="false">IF($G$3=1,F94*(R94-Q94),F94*(Q94-R94))</f>
        <v>0</v>
      </c>
      <c r="AG94" s="116" t="n">
        <f aca="false">AC94+AE94</f>
        <v>0</v>
      </c>
    </row>
    <row r="95" customFormat="false" ht="12.75" hidden="false" customHeight="false" outlineLevel="0" collapsed="false">
      <c r="A95" s="120" t="n">
        <f aca="false">EDATE(A94,1)</f>
        <v>39873</v>
      </c>
      <c r="B95" s="121" t="e">
        <f aca="false">VLOOKUP(A95,'Inputs-Summary'!$A$32:$B$41,2,FALSE())</f>
        <v>#N/A</v>
      </c>
      <c r="C95" s="122"/>
      <c r="D95" s="123" t="e">
        <f aca="false">B95+C95</f>
        <v>#N/A</v>
      </c>
      <c r="E95" s="111" t="n">
        <f aca="false">IF(Z95=0,0,IF(AND(Z95=1,$H$3=1),D95*U95,IF($H$3=2,D95,"N/A")))</f>
        <v>0</v>
      </c>
      <c r="F95" s="111" t="n">
        <f aca="false">E95*Y95</f>
        <v>0</v>
      </c>
      <c r="G95" s="124" t="n">
        <f aca="false">VLOOKUP($A95,Table,MATCH(G$4,Curves,0))</f>
        <v>3</v>
      </c>
      <c r="H95" s="125" t="n">
        <f aca="false">G95+$H$7</f>
        <v>3</v>
      </c>
      <c r="I95" s="124" t="n">
        <f aca="false">H95</f>
        <v>3</v>
      </c>
      <c r="J95" s="124" t="n">
        <f aca="false">VLOOKUP($A95,Table,MATCH(J$4,Curves,0))</f>
        <v>4</v>
      </c>
      <c r="K95" s="125" t="n">
        <f aca="false">J95+$K$7</f>
        <v>4</v>
      </c>
      <c r="L95" s="126" t="n">
        <f aca="false">K95</f>
        <v>4</v>
      </c>
      <c r="M95" s="124" t="n">
        <f aca="false">VLOOKUP($A95,Table,MATCH(M$4,Curves,0))</f>
        <v>4</v>
      </c>
      <c r="N95" s="125" t="n">
        <f aca="false">M95+$N$7</f>
        <v>4</v>
      </c>
      <c r="O95" s="126" t="n">
        <f aca="false">0.07</f>
        <v>0.07</v>
      </c>
      <c r="P95" s="114"/>
      <c r="Q95" s="126" t="n">
        <f aca="false">M95+J95+G95</f>
        <v>11</v>
      </c>
      <c r="R95" s="126" t="n">
        <f aca="false">N95+K95+H95</f>
        <v>11</v>
      </c>
      <c r="S95" s="126" t="n">
        <f aca="false">O95+L95+I95</f>
        <v>7.07</v>
      </c>
      <c r="T95" s="127"/>
      <c r="U95" s="5" t="n">
        <f aca="false">A96-A95</f>
        <v>31</v>
      </c>
      <c r="V95" s="128" t="n">
        <f aca="false">CHOOSE(F$3,A96+24,A95)</f>
        <v>39873</v>
      </c>
      <c r="W95" s="5" t="n">
        <f aca="false">V95-C$3</f>
        <v>2642</v>
      </c>
      <c r="X95" s="124" t="n">
        <f aca="false">VLOOKUP($A95,Table,MATCH(X$4,Curves,0))</f>
        <v>2</v>
      </c>
      <c r="Y95" s="129" t="n">
        <f aca="false">1/(1+CHOOSE(F$3,(X96+($K$3/10000))/2,(X95+($K$3/10000))/2))^(2*W95/365.25)</f>
        <v>4.41629613460002E-005</v>
      </c>
      <c r="Z95" s="5" t="n">
        <f aca="false">IF(AND(mthbeg&lt;=A95,mthend&gt;=A95),1,0)</f>
        <v>0</v>
      </c>
      <c r="AA95" s="5" t="n">
        <f aca="false">U95*Z95</f>
        <v>0</v>
      </c>
      <c r="AC95" s="115" t="n">
        <f aca="false">IF(G88=2,F95*(S95-Q95),F95*(Q95-S95))</f>
        <v>0</v>
      </c>
      <c r="AE95" s="116" t="n">
        <f aca="false">IF($G$3=1,F95*(R95-Q95),F95*(Q95-R95))</f>
        <v>0</v>
      </c>
      <c r="AG95" s="116" t="n">
        <f aca="false">AC95+AE95</f>
        <v>0</v>
      </c>
    </row>
    <row r="96" customFormat="false" ht="12.75" hidden="false" customHeight="false" outlineLevel="0" collapsed="false">
      <c r="A96" s="120" t="n">
        <f aca="false">EDATE(A95,1)</f>
        <v>39904</v>
      </c>
      <c r="B96" s="121" t="e">
        <f aca="false">VLOOKUP(A96,'Inputs-Summary'!$A$32:$B$41,2,FALSE())</f>
        <v>#N/A</v>
      </c>
      <c r="C96" s="122"/>
      <c r="D96" s="123" t="e">
        <f aca="false">B96+C96</f>
        <v>#N/A</v>
      </c>
      <c r="E96" s="111" t="n">
        <f aca="false">IF(Z96=0,0,IF(AND(Z96=1,$H$3=1),D96*U96,IF($H$3=2,D96,"N/A")))</f>
        <v>0</v>
      </c>
      <c r="F96" s="111" t="n">
        <f aca="false">E96*Y96</f>
        <v>0</v>
      </c>
      <c r="G96" s="124" t="n">
        <f aca="false">VLOOKUP($A96,Table,MATCH(G$4,Curves,0))</f>
        <v>3</v>
      </c>
      <c r="H96" s="125" t="n">
        <f aca="false">G96+$H$7</f>
        <v>3</v>
      </c>
      <c r="I96" s="124" t="n">
        <f aca="false">H96</f>
        <v>3</v>
      </c>
      <c r="J96" s="124" t="n">
        <f aca="false">VLOOKUP($A96,Table,MATCH(J$4,Curves,0))</f>
        <v>4</v>
      </c>
      <c r="K96" s="125" t="n">
        <f aca="false">J96+$K$7</f>
        <v>4</v>
      </c>
      <c r="L96" s="126" t="n">
        <f aca="false">K96</f>
        <v>4</v>
      </c>
      <c r="M96" s="124" t="n">
        <f aca="false">VLOOKUP($A96,Table,MATCH(M$4,Curves,0))</f>
        <v>4</v>
      </c>
      <c r="N96" s="125" t="n">
        <f aca="false">M96+$N$7</f>
        <v>4</v>
      </c>
      <c r="O96" s="126" t="n">
        <f aca="false">0.07</f>
        <v>0.07</v>
      </c>
      <c r="P96" s="114"/>
      <c r="Q96" s="126" t="n">
        <f aca="false">M96+J96+G96</f>
        <v>11</v>
      </c>
      <c r="R96" s="126" t="n">
        <f aca="false">N96+K96+H96</f>
        <v>11</v>
      </c>
      <c r="S96" s="126" t="n">
        <f aca="false">O96+L96+I96</f>
        <v>7.07</v>
      </c>
      <c r="T96" s="127"/>
      <c r="U96" s="5" t="n">
        <f aca="false">A97-A96</f>
        <v>30</v>
      </c>
      <c r="V96" s="128" t="n">
        <f aca="false">CHOOSE(F$3,A97+24,A96)</f>
        <v>39904</v>
      </c>
      <c r="W96" s="5" t="n">
        <f aca="false">V96-C$3</f>
        <v>2673</v>
      </c>
      <c r="X96" s="124" t="n">
        <f aca="false">VLOOKUP($A96,Table,MATCH(X$4,Curves,0))</f>
        <v>2</v>
      </c>
      <c r="Y96" s="129" t="n">
        <f aca="false">1/(1+CHOOSE(F$3,(X97+($K$3/10000))/2,(X96+($K$3/10000))/2))^(2*W96/365.25)</f>
        <v>3.9260816223738E-005</v>
      </c>
      <c r="Z96" s="5" t="n">
        <f aca="false">IF(AND(mthbeg&lt;=A96,mthend&gt;=A96),1,0)</f>
        <v>0</v>
      </c>
      <c r="AA96" s="5" t="n">
        <f aca="false">U96*Z96</f>
        <v>0</v>
      </c>
      <c r="AC96" s="115" t="n">
        <f aca="false">IF(G89=2,F96*(S96-Q96),F96*(Q96-S96))</f>
        <v>0</v>
      </c>
      <c r="AE96" s="116" t="n">
        <f aca="false">IF($G$3=1,F96*(R96-Q96),F96*(Q96-R96))</f>
        <v>0</v>
      </c>
      <c r="AG96" s="116" t="n">
        <f aca="false">AC96+AE96</f>
        <v>0</v>
      </c>
    </row>
    <row r="97" customFormat="false" ht="12.75" hidden="false" customHeight="false" outlineLevel="0" collapsed="false">
      <c r="A97" s="120" t="n">
        <f aca="false">EDATE(A96,1)</f>
        <v>39934</v>
      </c>
      <c r="B97" s="121" t="e">
        <f aca="false">VLOOKUP(A97,'Inputs-Summary'!$A$32:$B$41,2,FALSE())</f>
        <v>#N/A</v>
      </c>
      <c r="C97" s="122"/>
      <c r="D97" s="123" t="e">
        <f aca="false">B97+C97</f>
        <v>#N/A</v>
      </c>
      <c r="E97" s="111" t="n">
        <f aca="false">IF(Z97=0,0,IF(AND(Z97=1,$H$3=1),D97*U97,IF($H$3=2,D97,"N/A")))</f>
        <v>0</v>
      </c>
      <c r="F97" s="111" t="n">
        <f aca="false">E97*Y97</f>
        <v>0</v>
      </c>
      <c r="G97" s="124" t="n">
        <f aca="false">VLOOKUP($A97,Table,MATCH(G$4,Curves,0))</f>
        <v>3</v>
      </c>
      <c r="H97" s="125" t="n">
        <f aca="false">G97+$H$7</f>
        <v>3</v>
      </c>
      <c r="I97" s="124" t="n">
        <f aca="false">H97</f>
        <v>3</v>
      </c>
      <c r="J97" s="124" t="n">
        <f aca="false">VLOOKUP($A97,Table,MATCH(J$4,Curves,0))</f>
        <v>4</v>
      </c>
      <c r="K97" s="125" t="n">
        <f aca="false">J97+$K$7</f>
        <v>4</v>
      </c>
      <c r="L97" s="126" t="n">
        <f aca="false">K97</f>
        <v>4</v>
      </c>
      <c r="M97" s="124" t="n">
        <f aca="false">VLOOKUP($A97,Table,MATCH(M$4,Curves,0))</f>
        <v>4</v>
      </c>
      <c r="N97" s="125" t="n">
        <f aca="false">M97+$N$7</f>
        <v>4</v>
      </c>
      <c r="O97" s="126" t="n">
        <f aca="false">0.07</f>
        <v>0.07</v>
      </c>
      <c r="P97" s="114"/>
      <c r="Q97" s="126" t="n">
        <f aca="false">M97+J97+G97</f>
        <v>11</v>
      </c>
      <c r="R97" s="126" t="n">
        <f aca="false">N97+K97+H97</f>
        <v>11</v>
      </c>
      <c r="S97" s="126" t="n">
        <f aca="false">O97+L97+I97</f>
        <v>7.07</v>
      </c>
      <c r="T97" s="127"/>
      <c r="U97" s="5" t="n">
        <f aca="false">A98-A97</f>
        <v>31</v>
      </c>
      <c r="V97" s="128" t="n">
        <f aca="false">CHOOSE(F$3,A98+24,A97)</f>
        <v>39934</v>
      </c>
      <c r="W97" s="5" t="n">
        <f aca="false">V97-C$3</f>
        <v>2703</v>
      </c>
      <c r="X97" s="124" t="n">
        <f aca="false">VLOOKUP($A97,Table,MATCH(X$4,Curves,0))</f>
        <v>2</v>
      </c>
      <c r="Y97" s="129" t="n">
        <f aca="false">1/(1+CHOOSE(F$3,(X98+($K$3/10000))/2,(X97+($K$3/10000))/2))^(2*W97/365.25)</f>
        <v>3.50355396758837E-005</v>
      </c>
      <c r="Z97" s="5" t="n">
        <f aca="false">IF(AND(mthbeg&lt;=A97,mthend&gt;=A97),1,0)</f>
        <v>0</v>
      </c>
      <c r="AA97" s="5" t="n">
        <f aca="false">U97*Z97</f>
        <v>0</v>
      </c>
      <c r="AC97" s="115" t="n">
        <f aca="false">IF(G90=2,F97*(S97-Q97),F97*(Q97-S97))</f>
        <v>0</v>
      </c>
      <c r="AE97" s="116" t="n">
        <f aca="false">IF($G$3=1,F97*(R97-Q97),F97*(Q97-R97))</f>
        <v>0</v>
      </c>
      <c r="AG97" s="116" t="n">
        <f aca="false">AC97+AE97</f>
        <v>0</v>
      </c>
    </row>
    <row r="98" customFormat="false" ht="12.75" hidden="false" customHeight="false" outlineLevel="0" collapsed="false">
      <c r="A98" s="120" t="n">
        <f aca="false">EDATE(A97,1)</f>
        <v>39965</v>
      </c>
      <c r="B98" s="121" t="e">
        <f aca="false">VLOOKUP(A98,'Inputs-Summary'!$A$32:$B$41,2,FALSE())</f>
        <v>#N/A</v>
      </c>
      <c r="C98" s="122"/>
      <c r="D98" s="123" t="e">
        <f aca="false">B98+C98</f>
        <v>#N/A</v>
      </c>
      <c r="E98" s="111" t="n">
        <f aca="false">IF(Z98=0,0,IF(AND(Z98=1,$H$3=1),D98*U98,IF($H$3=2,D98,"N/A")))</f>
        <v>0</v>
      </c>
      <c r="F98" s="111" t="n">
        <f aca="false">E98*Y98</f>
        <v>0</v>
      </c>
      <c r="G98" s="124" t="n">
        <f aca="false">VLOOKUP($A98,Table,MATCH(G$4,Curves,0))</f>
        <v>3</v>
      </c>
      <c r="H98" s="125" t="n">
        <f aca="false">G98+$H$7</f>
        <v>3</v>
      </c>
      <c r="I98" s="124" t="n">
        <f aca="false">H98</f>
        <v>3</v>
      </c>
      <c r="J98" s="124" t="n">
        <f aca="false">VLOOKUP($A98,Table,MATCH(J$4,Curves,0))</f>
        <v>4</v>
      </c>
      <c r="K98" s="125" t="n">
        <f aca="false">J98+$K$7</f>
        <v>4</v>
      </c>
      <c r="L98" s="126" t="n">
        <f aca="false">K98</f>
        <v>4</v>
      </c>
      <c r="M98" s="124" t="n">
        <f aca="false">VLOOKUP($A98,Table,MATCH(M$4,Curves,0))</f>
        <v>4</v>
      </c>
      <c r="N98" s="125" t="n">
        <f aca="false">M98+$N$7</f>
        <v>4</v>
      </c>
      <c r="O98" s="126" t="n">
        <f aca="false">0.07</f>
        <v>0.07</v>
      </c>
      <c r="P98" s="114"/>
      <c r="Q98" s="126" t="n">
        <f aca="false">M98+J98+G98</f>
        <v>11</v>
      </c>
      <c r="R98" s="126" t="n">
        <f aca="false">N98+K98+H98</f>
        <v>11</v>
      </c>
      <c r="S98" s="126" t="n">
        <f aca="false">O98+L98+I98</f>
        <v>7.07</v>
      </c>
      <c r="T98" s="127"/>
      <c r="U98" s="5" t="n">
        <f aca="false">A99-A98</f>
        <v>30</v>
      </c>
      <c r="V98" s="128" t="n">
        <f aca="false">CHOOSE(F$3,A99+24,A98)</f>
        <v>39965</v>
      </c>
      <c r="W98" s="5" t="n">
        <f aca="false">V98-C$3</f>
        <v>2734</v>
      </c>
      <c r="X98" s="124" t="n">
        <f aca="false">VLOOKUP($A98,Table,MATCH(X$4,Curves,0))</f>
        <v>2</v>
      </c>
      <c r="Y98" s="129" t="n">
        <f aca="false">1/(1+CHOOSE(F$3,(X99+($K$3/10000))/2,(X98+($K$3/10000))/2))^(2*W98/365.25)</f>
        <v>3.11465500181848E-005</v>
      </c>
      <c r="Z98" s="5" t="n">
        <f aca="false">IF(AND(mthbeg&lt;=A98,mthend&gt;=A98),1,0)</f>
        <v>0</v>
      </c>
      <c r="AA98" s="5" t="n">
        <f aca="false">U98*Z98</f>
        <v>0</v>
      </c>
      <c r="AC98" s="115" t="n">
        <f aca="false">IF(G91=2,F98*(S98-Q98),F98*(Q98-S98))</f>
        <v>0</v>
      </c>
      <c r="AE98" s="116" t="n">
        <f aca="false">IF($G$3=1,F98*(R98-Q98),F98*(Q98-R98))</f>
        <v>0</v>
      </c>
      <c r="AG98" s="116" t="n">
        <f aca="false">AC98+AE98</f>
        <v>0</v>
      </c>
    </row>
    <row r="99" customFormat="false" ht="12.75" hidden="false" customHeight="false" outlineLevel="0" collapsed="false">
      <c r="A99" s="120" t="n">
        <f aca="false">EDATE(A98,1)</f>
        <v>39995</v>
      </c>
      <c r="B99" s="121" t="e">
        <f aca="false">VLOOKUP(A99,'Inputs-Summary'!$A$32:$B$41,2,FALSE())</f>
        <v>#N/A</v>
      </c>
      <c r="C99" s="122"/>
      <c r="D99" s="123" t="e">
        <f aca="false">B99+C99</f>
        <v>#N/A</v>
      </c>
      <c r="E99" s="111" t="n">
        <f aca="false">IF(Z99=0,0,IF(AND(Z99=1,$H$3=1),D99*U99,IF($H$3=2,D99,"N/A")))</f>
        <v>0</v>
      </c>
      <c r="F99" s="111" t="n">
        <f aca="false">E99*Y99</f>
        <v>0</v>
      </c>
      <c r="G99" s="124" t="n">
        <f aca="false">VLOOKUP($A99,Table,MATCH(G$4,Curves,0))</f>
        <v>3</v>
      </c>
      <c r="H99" s="125" t="n">
        <f aca="false">G99+$H$7</f>
        <v>3</v>
      </c>
      <c r="I99" s="124" t="n">
        <f aca="false">H99</f>
        <v>3</v>
      </c>
      <c r="J99" s="124" t="n">
        <f aca="false">VLOOKUP($A99,Table,MATCH(J$4,Curves,0))</f>
        <v>4</v>
      </c>
      <c r="K99" s="125" t="n">
        <f aca="false">J99+$K$7</f>
        <v>4</v>
      </c>
      <c r="L99" s="126" t="n">
        <f aca="false">K99</f>
        <v>4</v>
      </c>
      <c r="M99" s="124" t="n">
        <f aca="false">VLOOKUP($A99,Table,MATCH(M$4,Curves,0))</f>
        <v>4</v>
      </c>
      <c r="N99" s="125" t="n">
        <f aca="false">M99+$N$7</f>
        <v>4</v>
      </c>
      <c r="O99" s="126" t="n">
        <f aca="false">0.07</f>
        <v>0.07</v>
      </c>
      <c r="P99" s="114"/>
      <c r="Q99" s="126" t="n">
        <f aca="false">M99+J99+G99</f>
        <v>11</v>
      </c>
      <c r="R99" s="126" t="n">
        <f aca="false">N99+K99+H99</f>
        <v>11</v>
      </c>
      <c r="S99" s="126" t="n">
        <f aca="false">O99+L99+I99</f>
        <v>7.07</v>
      </c>
      <c r="T99" s="127"/>
      <c r="U99" s="5" t="n">
        <f aca="false">A100-A99</f>
        <v>31</v>
      </c>
      <c r="V99" s="128" t="n">
        <f aca="false">CHOOSE(F$3,A100+24,A99)</f>
        <v>39995</v>
      </c>
      <c r="W99" s="5" t="n">
        <f aca="false">V99-C$3</f>
        <v>2764</v>
      </c>
      <c r="X99" s="124" t="n">
        <f aca="false">VLOOKUP($A99,Table,MATCH(X$4,Curves,0))</f>
        <v>2</v>
      </c>
      <c r="Y99" s="129" t="n">
        <f aca="false">1/(1+CHOOSE(F$3,(X100+($K$3/10000))/2,(X99+($K$3/10000))/2))^(2*W99/365.25)</f>
        <v>2.77945364841708E-005</v>
      </c>
      <c r="Z99" s="5" t="n">
        <f aca="false">IF(AND(mthbeg&lt;=A99,mthend&gt;=A99),1,0)</f>
        <v>0</v>
      </c>
      <c r="AA99" s="5" t="n">
        <f aca="false">U99*Z99</f>
        <v>0</v>
      </c>
      <c r="AC99" s="115" t="n">
        <f aca="false">IF(G92=2,F99*(S99-Q99),F99*(Q99-S99))</f>
        <v>0</v>
      </c>
      <c r="AE99" s="116" t="n">
        <f aca="false">IF($G$3=1,F99*(R99-Q99),F99*(Q99-R99))</f>
        <v>0</v>
      </c>
      <c r="AG99" s="116" t="n">
        <f aca="false">AC99+AE99</f>
        <v>0</v>
      </c>
    </row>
    <row r="100" customFormat="false" ht="12.75" hidden="false" customHeight="false" outlineLevel="0" collapsed="false">
      <c r="A100" s="120" t="n">
        <f aca="false">EDATE(A99,1)</f>
        <v>40026</v>
      </c>
      <c r="B100" s="121" t="e">
        <f aca="false">VLOOKUP(A100,'Inputs-Summary'!$A$32:$B$41,2,FALSE())</f>
        <v>#N/A</v>
      </c>
      <c r="C100" s="122"/>
      <c r="D100" s="123" t="e">
        <f aca="false">B100+C100</f>
        <v>#N/A</v>
      </c>
      <c r="E100" s="111" t="n">
        <f aca="false">IF(Z100=0,0,IF(AND(Z100=1,$H$3=1),D100*U100,IF($H$3=2,D100,"N/A")))</f>
        <v>0</v>
      </c>
      <c r="F100" s="111" t="n">
        <f aca="false">E100*Y100</f>
        <v>0</v>
      </c>
      <c r="G100" s="124" t="n">
        <f aca="false">VLOOKUP($A100,Table,MATCH(G$4,Curves,0))</f>
        <v>3</v>
      </c>
      <c r="H100" s="125" t="n">
        <f aca="false">G100+$H$7</f>
        <v>3</v>
      </c>
      <c r="I100" s="124" t="n">
        <f aca="false">H100</f>
        <v>3</v>
      </c>
      <c r="J100" s="124" t="n">
        <f aca="false">VLOOKUP($A100,Table,MATCH(J$4,Curves,0))</f>
        <v>4</v>
      </c>
      <c r="K100" s="125" t="n">
        <f aca="false">J100+$K$7</f>
        <v>4</v>
      </c>
      <c r="L100" s="126" t="n">
        <f aca="false">K100</f>
        <v>4</v>
      </c>
      <c r="M100" s="124" t="n">
        <f aca="false">VLOOKUP($A100,Table,MATCH(M$4,Curves,0))</f>
        <v>4</v>
      </c>
      <c r="N100" s="125" t="n">
        <f aca="false">M100+$N$7</f>
        <v>4</v>
      </c>
      <c r="O100" s="126" t="n">
        <f aca="false">0.07</f>
        <v>0.07</v>
      </c>
      <c r="P100" s="114"/>
      <c r="Q100" s="126" t="n">
        <f aca="false">M100+J100+G100</f>
        <v>11</v>
      </c>
      <c r="R100" s="126" t="n">
        <f aca="false">N100+K100+H100</f>
        <v>11</v>
      </c>
      <c r="S100" s="126" t="n">
        <f aca="false">O100+L100+I100</f>
        <v>7.07</v>
      </c>
      <c r="T100" s="127"/>
      <c r="U100" s="5" t="n">
        <f aca="false">A101-A100</f>
        <v>31</v>
      </c>
      <c r="V100" s="128" t="n">
        <f aca="false">CHOOSE(F$3,A101+24,A100)</f>
        <v>40026</v>
      </c>
      <c r="W100" s="5" t="n">
        <f aca="false">V100-C$3</f>
        <v>2795</v>
      </c>
      <c r="X100" s="124" t="n">
        <f aca="false">VLOOKUP($A100,Table,MATCH(X$4,Curves,0))</f>
        <v>2</v>
      </c>
      <c r="Y100" s="129" t="n">
        <f aca="false">1/(1+CHOOSE(F$3,(X101+($K$3/10000))/2,(X100+($K$3/10000))/2))^(2*W100/365.25)</f>
        <v>2.47093074302601E-005</v>
      </c>
      <c r="Z100" s="5" t="n">
        <f aca="false">IF(AND(mthbeg&lt;=A100,mthend&gt;=A100),1,0)</f>
        <v>0</v>
      </c>
      <c r="AA100" s="5" t="n">
        <f aca="false">U100*Z100</f>
        <v>0</v>
      </c>
      <c r="AC100" s="115" t="n">
        <f aca="false">IF(G93=2,F100*(S100-Q100),F100*(Q100-S100))</f>
        <v>0</v>
      </c>
      <c r="AE100" s="116" t="n">
        <f aca="false">IF($G$3=1,F100*(R100-Q100),F100*(Q100-R100))</f>
        <v>0</v>
      </c>
      <c r="AG100" s="116" t="n">
        <f aca="false">AC100+AE100</f>
        <v>0</v>
      </c>
    </row>
    <row r="101" customFormat="false" ht="12.75" hidden="false" customHeight="false" outlineLevel="0" collapsed="false">
      <c r="A101" s="120" t="n">
        <f aca="false">EDATE(A100,1)</f>
        <v>40057</v>
      </c>
      <c r="B101" s="121" t="e">
        <f aca="false">VLOOKUP(A101,'Inputs-Summary'!$A$32:$B$41,2,FALSE())</f>
        <v>#N/A</v>
      </c>
      <c r="C101" s="122"/>
      <c r="D101" s="123" t="e">
        <f aca="false">B101+C101</f>
        <v>#N/A</v>
      </c>
      <c r="E101" s="111" t="n">
        <f aca="false">IF(Z101=0,0,IF(AND(Z101=1,$H$3=1),D101*U101,IF($H$3=2,D101,"N/A")))</f>
        <v>0</v>
      </c>
      <c r="F101" s="111" t="n">
        <f aca="false">E101*Y101</f>
        <v>0</v>
      </c>
      <c r="G101" s="124" t="n">
        <f aca="false">VLOOKUP($A101,Table,MATCH(G$4,Curves,0))</f>
        <v>3</v>
      </c>
      <c r="H101" s="125" t="n">
        <f aca="false">G101+$H$7</f>
        <v>3</v>
      </c>
      <c r="I101" s="124" t="n">
        <f aca="false">H101</f>
        <v>3</v>
      </c>
      <c r="J101" s="124" t="n">
        <f aca="false">VLOOKUP($A101,Table,MATCH(J$4,Curves,0))</f>
        <v>4</v>
      </c>
      <c r="K101" s="125" t="n">
        <f aca="false">J101+$K$7</f>
        <v>4</v>
      </c>
      <c r="L101" s="126" t="n">
        <f aca="false">K101</f>
        <v>4</v>
      </c>
      <c r="M101" s="124" t="n">
        <f aca="false">VLOOKUP($A101,Table,MATCH(M$4,Curves,0))</f>
        <v>4</v>
      </c>
      <c r="N101" s="125" t="n">
        <f aca="false">M101+$N$7</f>
        <v>4</v>
      </c>
      <c r="O101" s="126" t="n">
        <f aca="false">0.07</f>
        <v>0.07</v>
      </c>
      <c r="P101" s="114"/>
      <c r="Q101" s="126" t="n">
        <f aca="false">M101+J101+G101</f>
        <v>11</v>
      </c>
      <c r="R101" s="126" t="n">
        <f aca="false">N101+K101+H101</f>
        <v>11</v>
      </c>
      <c r="S101" s="126" t="n">
        <f aca="false">O101+L101+I101</f>
        <v>7.07</v>
      </c>
      <c r="T101" s="127"/>
      <c r="U101" s="5" t="n">
        <f aca="false">A102-A101</f>
        <v>30</v>
      </c>
      <c r="V101" s="128" t="n">
        <f aca="false">CHOOSE(F$3,A102+24,A101)</f>
        <v>40057</v>
      </c>
      <c r="W101" s="5" t="n">
        <f aca="false">V101-C$3</f>
        <v>2826</v>
      </c>
      <c r="X101" s="124" t="n">
        <f aca="false">VLOOKUP($A101,Table,MATCH(X$4,Curves,0))</f>
        <v>2</v>
      </c>
      <c r="Y101" s="129" t="n">
        <f aca="false">1/(1+CHOOSE(F$3,(X102+($K$3/10000))/2,(X101+($K$3/10000))/2))^(2*W101/365.25)</f>
        <v>2.19665427423415E-005</v>
      </c>
      <c r="Z101" s="5" t="n">
        <f aca="false">IF(AND(mthbeg&lt;=A101,mthend&gt;=A101),1,0)</f>
        <v>0</v>
      </c>
      <c r="AA101" s="5" t="n">
        <f aca="false">U101*Z101</f>
        <v>0</v>
      </c>
      <c r="AC101" s="115" t="n">
        <f aca="false">IF(G94=2,F101*(S101-Q101),F101*(Q101-S101))</f>
        <v>0</v>
      </c>
      <c r="AE101" s="116" t="n">
        <f aca="false">IF($G$3=1,F101*(R101-Q101),F101*(Q101-R101))</f>
        <v>0</v>
      </c>
      <c r="AG101" s="116" t="n">
        <f aca="false">AC101+AE101</f>
        <v>0</v>
      </c>
    </row>
    <row r="102" customFormat="false" ht="12.75" hidden="false" customHeight="false" outlineLevel="0" collapsed="false">
      <c r="A102" s="120" t="n">
        <f aca="false">EDATE(A101,1)</f>
        <v>40087</v>
      </c>
      <c r="B102" s="121" t="e">
        <f aca="false">VLOOKUP(A102,'Inputs-Summary'!$A$32:$B$41,2,FALSE())</f>
        <v>#N/A</v>
      </c>
      <c r="C102" s="122"/>
      <c r="D102" s="123" t="e">
        <f aca="false">B102+C102</f>
        <v>#N/A</v>
      </c>
      <c r="E102" s="111" t="n">
        <f aca="false">IF(Z102=0,0,IF(AND(Z102=1,$H$3=1),D102*U102,IF($H$3=2,D102,"N/A")))</f>
        <v>0</v>
      </c>
      <c r="F102" s="111" t="n">
        <f aca="false">E102*Y102</f>
        <v>0</v>
      </c>
      <c r="G102" s="124" t="n">
        <f aca="false">VLOOKUP($A102,Table,MATCH(G$4,Curves,0))</f>
        <v>3</v>
      </c>
      <c r="H102" s="125" t="n">
        <f aca="false">G102+$H$7</f>
        <v>3</v>
      </c>
      <c r="I102" s="124" t="n">
        <f aca="false">H102</f>
        <v>3</v>
      </c>
      <c r="J102" s="124" t="n">
        <f aca="false">VLOOKUP($A102,Table,MATCH(J$4,Curves,0))</f>
        <v>4</v>
      </c>
      <c r="K102" s="125" t="n">
        <f aca="false">J102+$K$7</f>
        <v>4</v>
      </c>
      <c r="L102" s="126" t="n">
        <f aca="false">K102</f>
        <v>4</v>
      </c>
      <c r="M102" s="124" t="n">
        <f aca="false">VLOOKUP($A102,Table,MATCH(M$4,Curves,0))</f>
        <v>4</v>
      </c>
      <c r="N102" s="125" t="n">
        <f aca="false">M102+$N$7</f>
        <v>4</v>
      </c>
      <c r="O102" s="126" t="n">
        <f aca="false">0.07</f>
        <v>0.07</v>
      </c>
      <c r="P102" s="114"/>
      <c r="Q102" s="126" t="n">
        <f aca="false">M102+J102+G102</f>
        <v>11</v>
      </c>
      <c r="R102" s="126" t="n">
        <f aca="false">N102+K102+H102</f>
        <v>11</v>
      </c>
      <c r="S102" s="126" t="n">
        <f aca="false">O102+L102+I102</f>
        <v>7.07</v>
      </c>
      <c r="T102" s="127"/>
      <c r="U102" s="5" t="n">
        <f aca="false">A103-A102</f>
        <v>31</v>
      </c>
      <c r="V102" s="128" t="n">
        <f aca="false">CHOOSE(F$3,A103+24,A102)</f>
        <v>40087</v>
      </c>
      <c r="W102" s="5" t="n">
        <f aca="false">V102-C$3</f>
        <v>2856</v>
      </c>
      <c r="X102" s="124" t="n">
        <f aca="false">VLOOKUP($A102,Table,MATCH(X$4,Curves,0))</f>
        <v>2</v>
      </c>
      <c r="Y102" s="129" t="n">
        <f aca="false">1/(1+CHOOSE(F$3,(X103+($K$3/10000))/2,(X102+($K$3/10000))/2))^(2*W102/365.25)</f>
        <v>1.96024880228031E-005</v>
      </c>
      <c r="Z102" s="5" t="n">
        <f aca="false">IF(AND(mthbeg&lt;=A102,mthend&gt;=A102),1,0)</f>
        <v>0</v>
      </c>
      <c r="AA102" s="5" t="n">
        <f aca="false">U102*Z102</f>
        <v>0</v>
      </c>
      <c r="AC102" s="115" t="n">
        <f aca="false">IF(G95=2,F102*(S102-Q102),F102*(Q102-S102))</f>
        <v>0</v>
      </c>
      <c r="AE102" s="116" t="n">
        <f aca="false">IF($G$3=1,F102*(R102-Q102),F102*(Q102-R102))</f>
        <v>0</v>
      </c>
      <c r="AG102" s="116" t="n">
        <f aca="false">AC102+AE102</f>
        <v>0</v>
      </c>
    </row>
    <row r="103" customFormat="false" ht="12.75" hidden="false" customHeight="false" outlineLevel="0" collapsed="false">
      <c r="A103" s="120" t="n">
        <f aca="false">EDATE(A102,1)</f>
        <v>40118</v>
      </c>
      <c r="B103" s="121" t="e">
        <f aca="false">VLOOKUP(A103,'Inputs-Summary'!$A$32:$B$41,2,FALSE())</f>
        <v>#N/A</v>
      </c>
      <c r="C103" s="122"/>
      <c r="D103" s="123" t="e">
        <f aca="false">B103+C103</f>
        <v>#N/A</v>
      </c>
      <c r="E103" s="111" t="n">
        <f aca="false">IF(Z103=0,0,IF(AND(Z103=1,$H$3=1),D103*U103,IF($H$3=2,D103,"N/A")))</f>
        <v>0</v>
      </c>
      <c r="F103" s="111" t="n">
        <f aca="false">E103*Y103</f>
        <v>0</v>
      </c>
      <c r="G103" s="124" t="n">
        <f aca="false">VLOOKUP($A103,Table,MATCH(G$4,Curves,0))</f>
        <v>3</v>
      </c>
      <c r="H103" s="125" t="n">
        <f aca="false">G103+$H$7</f>
        <v>3</v>
      </c>
      <c r="I103" s="124" t="n">
        <f aca="false">H103</f>
        <v>3</v>
      </c>
      <c r="J103" s="124" t="n">
        <f aca="false">VLOOKUP($A103,Table,MATCH(J$4,Curves,0))</f>
        <v>4</v>
      </c>
      <c r="K103" s="125" t="n">
        <f aca="false">J103+$K$7</f>
        <v>4</v>
      </c>
      <c r="L103" s="126" t="n">
        <f aca="false">K103</f>
        <v>4</v>
      </c>
      <c r="M103" s="124" t="n">
        <f aca="false">VLOOKUP($A103,Table,MATCH(M$4,Curves,0))</f>
        <v>4</v>
      </c>
      <c r="N103" s="125" t="n">
        <f aca="false">M103+$N$7</f>
        <v>4</v>
      </c>
      <c r="O103" s="126" t="n">
        <f aca="false">0.07</f>
        <v>0.07</v>
      </c>
      <c r="P103" s="114"/>
      <c r="Q103" s="126" t="n">
        <f aca="false">M103+J103+G103</f>
        <v>11</v>
      </c>
      <c r="R103" s="126" t="n">
        <f aca="false">N103+K103+H103</f>
        <v>11</v>
      </c>
      <c r="S103" s="126" t="n">
        <f aca="false">O103+L103+I103</f>
        <v>7.07</v>
      </c>
      <c r="T103" s="127"/>
      <c r="U103" s="5" t="n">
        <f aca="false">A104-A103</f>
        <v>30</v>
      </c>
      <c r="V103" s="128" t="n">
        <f aca="false">CHOOSE(F$3,A104+24,A103)</f>
        <v>40118</v>
      </c>
      <c r="W103" s="5" t="n">
        <f aca="false">V103-C$3</f>
        <v>2887</v>
      </c>
      <c r="X103" s="124" t="n">
        <f aca="false">VLOOKUP($A103,Table,MATCH(X$4,Curves,0))</f>
        <v>2</v>
      </c>
      <c r="Y103" s="129" t="n">
        <f aca="false">1/(1+CHOOSE(F$3,(X104+($K$3/10000))/2,(X103+($K$3/10000))/2))^(2*W103/365.25)</f>
        <v>1.7426586812458E-005</v>
      </c>
      <c r="Z103" s="5" t="n">
        <f aca="false">IF(AND(mthbeg&lt;=A103,mthend&gt;=A103),1,0)</f>
        <v>0</v>
      </c>
      <c r="AA103" s="5" t="n">
        <f aca="false">U103*Z103</f>
        <v>0</v>
      </c>
      <c r="AC103" s="115" t="n">
        <f aca="false">IF(G96=2,F103*(S103-Q103),F103*(Q103-S103))</f>
        <v>0</v>
      </c>
      <c r="AE103" s="116" t="n">
        <f aca="false">IF($G$3=1,F103*(R103-Q103),F103*(Q103-R103))</f>
        <v>0</v>
      </c>
      <c r="AG103" s="116" t="n">
        <f aca="false">AC103+AE103</f>
        <v>0</v>
      </c>
    </row>
    <row r="104" customFormat="false" ht="12.75" hidden="false" customHeight="false" outlineLevel="0" collapsed="false">
      <c r="A104" s="120" t="n">
        <f aca="false">EDATE(A103,1)</f>
        <v>40148</v>
      </c>
      <c r="B104" s="121" t="e">
        <f aca="false">VLOOKUP(A104,'Inputs-Summary'!$A$32:$B$41,2,FALSE())</f>
        <v>#N/A</v>
      </c>
      <c r="C104" s="122"/>
      <c r="D104" s="123" t="e">
        <f aca="false">B104+C104</f>
        <v>#N/A</v>
      </c>
      <c r="E104" s="111" t="n">
        <f aca="false">IF(Z104=0,0,IF(AND(Z104=1,$H$3=1),D104*U104,IF($H$3=2,D104,"N/A")))</f>
        <v>0</v>
      </c>
      <c r="F104" s="111" t="n">
        <f aca="false">E104*Y104</f>
        <v>0</v>
      </c>
      <c r="G104" s="124" t="n">
        <f aca="false">VLOOKUP($A104,Table,MATCH(G$4,Curves,0))</f>
        <v>3</v>
      </c>
      <c r="H104" s="125" t="n">
        <f aca="false">G104+$H$7</f>
        <v>3</v>
      </c>
      <c r="I104" s="124" t="n">
        <f aca="false">H104</f>
        <v>3</v>
      </c>
      <c r="J104" s="124" t="n">
        <f aca="false">VLOOKUP($A104,Table,MATCH(J$4,Curves,0))</f>
        <v>4</v>
      </c>
      <c r="K104" s="125" t="n">
        <f aca="false">J104+$K$7</f>
        <v>4</v>
      </c>
      <c r="L104" s="126" t="n">
        <f aca="false">K104</f>
        <v>4</v>
      </c>
      <c r="M104" s="124" t="n">
        <f aca="false">VLOOKUP($A104,Table,MATCH(M$4,Curves,0))</f>
        <v>4</v>
      </c>
      <c r="N104" s="125" t="n">
        <f aca="false">M104+$N$7</f>
        <v>4</v>
      </c>
      <c r="O104" s="126" t="n">
        <f aca="false">0.07</f>
        <v>0.07</v>
      </c>
      <c r="P104" s="114"/>
      <c r="Q104" s="126" t="n">
        <f aca="false">M104+J104+G104</f>
        <v>11</v>
      </c>
      <c r="R104" s="126" t="n">
        <f aca="false">N104+K104+H104</f>
        <v>11</v>
      </c>
      <c r="S104" s="126" t="n">
        <f aca="false">O104+L104+I104</f>
        <v>7.07</v>
      </c>
      <c r="T104" s="127"/>
      <c r="U104" s="5" t="n">
        <f aca="false">A105-A104</f>
        <v>31</v>
      </c>
      <c r="V104" s="128" t="n">
        <f aca="false">CHOOSE(F$3,A105+24,A104)</f>
        <v>40148</v>
      </c>
      <c r="W104" s="5" t="n">
        <f aca="false">V104-C$3</f>
        <v>2917</v>
      </c>
      <c r="X104" s="124" t="n">
        <f aca="false">VLOOKUP($A104,Table,MATCH(X$4,Curves,0))</f>
        <v>2</v>
      </c>
      <c r="Y104" s="129" t="n">
        <f aca="false">1/(1+CHOOSE(F$3,(X105+($K$3/10000))/2,(X104+($K$3/10000))/2))^(2*W104/365.25)</f>
        <v>1.55511253307554E-005</v>
      </c>
      <c r="Z104" s="5" t="n">
        <f aca="false">IF(AND(mthbeg&lt;=A104,mthend&gt;=A104),1,0)</f>
        <v>0</v>
      </c>
      <c r="AA104" s="5" t="n">
        <f aca="false">U104*Z104</f>
        <v>0</v>
      </c>
      <c r="AC104" s="115" t="n">
        <f aca="false">IF(G97=2,F104*(S104-Q104),F104*(Q104-S104))</f>
        <v>0</v>
      </c>
      <c r="AE104" s="116" t="n">
        <f aca="false">IF($G$3=1,F104*(R104-Q104),F104*(Q104-R104))</f>
        <v>0</v>
      </c>
      <c r="AG104" s="116" t="n">
        <f aca="false">AC104+AE104</f>
        <v>0</v>
      </c>
    </row>
    <row r="105" customFormat="false" ht="12.75" hidden="false" customHeight="false" outlineLevel="0" collapsed="false">
      <c r="A105" s="120" t="n">
        <f aca="false">EDATE(A104,1)</f>
        <v>40179</v>
      </c>
      <c r="B105" s="121" t="e">
        <f aca="false">VLOOKUP(A105,'Inputs-Summary'!$A$32:$B$41,2,FALSE())</f>
        <v>#N/A</v>
      </c>
      <c r="C105" s="122"/>
      <c r="D105" s="123" t="e">
        <f aca="false">B105+C105</f>
        <v>#N/A</v>
      </c>
      <c r="E105" s="111" t="n">
        <f aca="false">IF(Z105=0,0,IF(AND(Z105=1,$H$3=1),D105*U105,IF($H$3=2,D105,"N/A")))</f>
        <v>0</v>
      </c>
      <c r="F105" s="111" t="n">
        <f aca="false">E105*Y105</f>
        <v>0</v>
      </c>
      <c r="G105" s="124" t="n">
        <f aca="false">VLOOKUP($A105,Table,MATCH(G$4,Curves,0))</f>
        <v>3</v>
      </c>
      <c r="H105" s="125" t="n">
        <f aca="false">G105+$H$7</f>
        <v>3</v>
      </c>
      <c r="I105" s="124" t="n">
        <f aca="false">H105</f>
        <v>3</v>
      </c>
      <c r="J105" s="124" t="n">
        <f aca="false">VLOOKUP($A105,Table,MATCH(J$4,Curves,0))</f>
        <v>4</v>
      </c>
      <c r="K105" s="125" t="n">
        <f aca="false">J105+$K$7</f>
        <v>4</v>
      </c>
      <c r="L105" s="126" t="n">
        <f aca="false">K105</f>
        <v>4</v>
      </c>
      <c r="M105" s="124" t="n">
        <f aca="false">VLOOKUP($A105,Table,MATCH(M$4,Curves,0))</f>
        <v>4</v>
      </c>
      <c r="N105" s="125" t="n">
        <f aca="false">M105+$N$7</f>
        <v>4</v>
      </c>
      <c r="O105" s="126" t="n">
        <f aca="false">0.07</f>
        <v>0.07</v>
      </c>
      <c r="P105" s="114"/>
      <c r="Q105" s="126" t="n">
        <f aca="false">M105+J105+G105</f>
        <v>11</v>
      </c>
      <c r="R105" s="126" t="n">
        <f aca="false">N105+K105+H105</f>
        <v>11</v>
      </c>
      <c r="S105" s="126" t="n">
        <f aca="false">O105+L105+I105</f>
        <v>7.07</v>
      </c>
      <c r="T105" s="127"/>
      <c r="U105" s="5" t="n">
        <f aca="false">A106-A105</f>
        <v>31</v>
      </c>
      <c r="V105" s="128" t="n">
        <f aca="false">CHOOSE(F$3,A106+24,A105)</f>
        <v>40179</v>
      </c>
      <c r="W105" s="5" t="n">
        <f aca="false">V105-C$3</f>
        <v>2948</v>
      </c>
      <c r="X105" s="124" t="n">
        <f aca="false">VLOOKUP($A105,Table,MATCH(X$4,Curves,0))</f>
        <v>2</v>
      </c>
      <c r="Y105" s="129" t="n">
        <f aca="false">1/(1+CHOOSE(F$3,(X106+($K$3/10000))/2,(X105+($K$3/10000))/2))^(2*W105/365.25)</f>
        <v>1.38249305543548E-005</v>
      </c>
      <c r="Z105" s="5" t="n">
        <f aca="false">IF(AND(mthbeg&lt;=A105,mthend&gt;=A105),1,0)</f>
        <v>0</v>
      </c>
      <c r="AA105" s="5" t="n">
        <f aca="false">U105*Z105</f>
        <v>0</v>
      </c>
      <c r="AC105" s="115" t="n">
        <f aca="false">IF(G98=2,F105*(S105-Q105),F105*(Q105-S105))</f>
        <v>0</v>
      </c>
      <c r="AE105" s="116" t="n">
        <f aca="false">IF($G$3=1,F105*(R105-Q105),F105*(Q105-R105))</f>
        <v>0</v>
      </c>
      <c r="AG105" s="116" t="n">
        <f aca="false">AC105+AE105</f>
        <v>0</v>
      </c>
    </row>
    <row r="106" customFormat="false" ht="12.75" hidden="false" customHeight="false" outlineLevel="0" collapsed="false">
      <c r="A106" s="120" t="n">
        <f aca="false">EDATE(A105,1)</f>
        <v>40210</v>
      </c>
      <c r="B106" s="121" t="e">
        <f aca="false">VLOOKUP(A106,'Inputs-Summary'!$A$32:$B$41,2,FALSE())</f>
        <v>#N/A</v>
      </c>
      <c r="C106" s="122"/>
      <c r="D106" s="123" t="e">
        <f aca="false">B106+C106</f>
        <v>#N/A</v>
      </c>
      <c r="E106" s="111" t="n">
        <f aca="false">IF(Z106=0,0,IF(AND(Z106=1,$H$3=1),D106*U106,IF($H$3=2,D106,"N/A")))</f>
        <v>0</v>
      </c>
      <c r="F106" s="111" t="n">
        <f aca="false">E106*Y106</f>
        <v>0</v>
      </c>
      <c r="G106" s="124" t="n">
        <f aca="false">VLOOKUP($A106,Table,MATCH(G$4,Curves,0))</f>
        <v>3</v>
      </c>
      <c r="H106" s="125" t="n">
        <f aca="false">G106+$H$7</f>
        <v>3</v>
      </c>
      <c r="I106" s="124" t="n">
        <f aca="false">H106</f>
        <v>3</v>
      </c>
      <c r="J106" s="124" t="n">
        <f aca="false">VLOOKUP($A106,Table,MATCH(J$4,Curves,0))</f>
        <v>4</v>
      </c>
      <c r="K106" s="125" t="n">
        <f aca="false">J106+$K$7</f>
        <v>4</v>
      </c>
      <c r="L106" s="126" t="n">
        <f aca="false">K106</f>
        <v>4</v>
      </c>
      <c r="M106" s="124" t="n">
        <f aca="false">VLOOKUP($A106,Table,MATCH(M$4,Curves,0))</f>
        <v>4</v>
      </c>
      <c r="N106" s="125" t="n">
        <f aca="false">M106+$N$7</f>
        <v>4</v>
      </c>
      <c r="O106" s="126" t="n">
        <f aca="false">0.07</f>
        <v>0.07</v>
      </c>
      <c r="P106" s="114"/>
      <c r="Q106" s="126" t="n">
        <f aca="false">M106+J106+G106</f>
        <v>11</v>
      </c>
      <c r="R106" s="126" t="n">
        <f aca="false">N106+K106+H106</f>
        <v>11</v>
      </c>
      <c r="S106" s="126" t="n">
        <f aca="false">O106+L106+I106</f>
        <v>7.07</v>
      </c>
      <c r="T106" s="127"/>
      <c r="U106" s="5" t="n">
        <f aca="false">A107-A106</f>
        <v>28</v>
      </c>
      <c r="V106" s="128" t="n">
        <f aca="false">CHOOSE(F$3,A107+24,A106)</f>
        <v>40210</v>
      </c>
      <c r="W106" s="5" t="n">
        <f aca="false">V106-C$3</f>
        <v>2979</v>
      </c>
      <c r="X106" s="124" t="n">
        <f aca="false">VLOOKUP($A106,Table,MATCH(X$4,Curves,0))</f>
        <v>2</v>
      </c>
      <c r="Y106" s="129" t="n">
        <f aca="false">1/(1+CHOOSE(F$3,(X107+($K$3/10000))/2,(X106+($K$3/10000))/2))^(2*W106/365.25)</f>
        <v>1.22903456031402E-005</v>
      </c>
      <c r="Z106" s="5" t="n">
        <f aca="false">IF(AND(mthbeg&lt;=A106,mthend&gt;=A106),1,0)</f>
        <v>0</v>
      </c>
      <c r="AA106" s="5" t="n">
        <f aca="false">U106*Z106</f>
        <v>0</v>
      </c>
      <c r="AC106" s="115" t="n">
        <f aca="false">IF(G99=2,F106*(S106-Q106),F106*(Q106-S106))</f>
        <v>0</v>
      </c>
      <c r="AE106" s="116" t="n">
        <f aca="false">IF($G$3=1,F106*(R106-Q106),F106*(Q106-R106))</f>
        <v>0</v>
      </c>
      <c r="AG106" s="116" t="n">
        <f aca="false">AC106+AE106</f>
        <v>0</v>
      </c>
    </row>
    <row r="107" customFormat="false" ht="12.75" hidden="false" customHeight="false" outlineLevel="0" collapsed="false">
      <c r="A107" s="120" t="n">
        <f aca="false">EDATE(A106,1)</f>
        <v>40238</v>
      </c>
      <c r="B107" s="121" t="e">
        <f aca="false">VLOOKUP(A107,'Inputs-Summary'!$A$32:$B$41,2,FALSE())</f>
        <v>#N/A</v>
      </c>
      <c r="C107" s="122"/>
      <c r="D107" s="123" t="e">
        <f aca="false">B107+C107</f>
        <v>#N/A</v>
      </c>
      <c r="E107" s="111" t="n">
        <f aca="false">IF(Z107=0,0,IF(AND(Z107=1,$H$3=1),D107*U107,IF($H$3=2,D107,"N/A")))</f>
        <v>0</v>
      </c>
      <c r="F107" s="111" t="n">
        <f aca="false">E107*Y107</f>
        <v>0</v>
      </c>
      <c r="G107" s="124" t="n">
        <f aca="false">VLOOKUP($A107,Table,MATCH(G$4,Curves,0))</f>
        <v>3</v>
      </c>
      <c r="H107" s="125" t="n">
        <f aca="false">G107+$H$7</f>
        <v>3</v>
      </c>
      <c r="I107" s="124" t="n">
        <f aca="false">H107</f>
        <v>3</v>
      </c>
      <c r="J107" s="124" t="n">
        <f aca="false">VLOOKUP($A107,Table,MATCH(J$4,Curves,0))</f>
        <v>4</v>
      </c>
      <c r="K107" s="125" t="n">
        <f aca="false">J107+$K$7</f>
        <v>4</v>
      </c>
      <c r="L107" s="126" t="n">
        <f aca="false">K107</f>
        <v>4</v>
      </c>
      <c r="M107" s="124" t="n">
        <f aca="false">VLOOKUP($A107,Table,MATCH(M$4,Curves,0))</f>
        <v>4</v>
      </c>
      <c r="N107" s="125" t="n">
        <f aca="false">M107+$N$7</f>
        <v>4</v>
      </c>
      <c r="O107" s="126" t="n">
        <f aca="false">0.07</f>
        <v>0.07</v>
      </c>
      <c r="P107" s="114"/>
      <c r="Q107" s="126" t="n">
        <f aca="false">M107+J107+G107</f>
        <v>11</v>
      </c>
      <c r="R107" s="126" t="n">
        <f aca="false">N107+K107+H107</f>
        <v>11</v>
      </c>
      <c r="S107" s="126" t="n">
        <f aca="false">O107+L107+I107</f>
        <v>7.07</v>
      </c>
      <c r="T107" s="127"/>
      <c r="U107" s="5" t="n">
        <f aca="false">A108-A107</f>
        <v>31</v>
      </c>
      <c r="V107" s="128" t="n">
        <f aca="false">CHOOSE(F$3,A108+24,A107)</f>
        <v>40238</v>
      </c>
      <c r="W107" s="5" t="n">
        <f aca="false">V107-C$3</f>
        <v>3007</v>
      </c>
      <c r="X107" s="124" t="n">
        <f aca="false">VLOOKUP($A107,Table,MATCH(X$4,Curves,0))</f>
        <v>2</v>
      </c>
      <c r="Y107" s="129" t="n">
        <f aca="false">1/(1+CHOOSE(F$3,(X108+($K$3/10000))/2,(X107+($K$3/10000))/2))^(2*W107/365.25)</f>
        <v>1.10512215000258E-005</v>
      </c>
      <c r="Z107" s="5" t="n">
        <f aca="false">IF(AND(mthbeg&lt;=A107,mthend&gt;=A107),1,0)</f>
        <v>0</v>
      </c>
      <c r="AA107" s="5" t="n">
        <f aca="false">U107*Z107</f>
        <v>0</v>
      </c>
      <c r="AC107" s="115" t="n">
        <f aca="false">IF(G100=2,F107*(S107-Q107),F107*(Q107-S107))</f>
        <v>0</v>
      </c>
      <c r="AE107" s="116" t="n">
        <f aca="false">IF($G$3=1,F107*(R107-Q107),F107*(Q107-R107))</f>
        <v>0</v>
      </c>
      <c r="AG107" s="116" t="n">
        <f aca="false">AC107+AE107</f>
        <v>0</v>
      </c>
    </row>
    <row r="108" customFormat="false" ht="12.75" hidden="false" customHeight="false" outlineLevel="0" collapsed="false">
      <c r="A108" s="120" t="n">
        <f aca="false">EDATE(A107,1)</f>
        <v>40269</v>
      </c>
      <c r="B108" s="121" t="e">
        <f aca="false">VLOOKUP(A108,'Inputs-Summary'!$A$32:$B$41,2,FALSE())</f>
        <v>#N/A</v>
      </c>
      <c r="C108" s="122"/>
      <c r="D108" s="123" t="e">
        <f aca="false">B108+C108</f>
        <v>#N/A</v>
      </c>
      <c r="E108" s="111" t="n">
        <f aca="false">IF(Z108=0,0,IF(AND(Z108=1,$H$3=1),D108*U108,IF($H$3=2,D108,"N/A")))</f>
        <v>0</v>
      </c>
      <c r="F108" s="111" t="n">
        <f aca="false">E108*Y108</f>
        <v>0</v>
      </c>
      <c r="G108" s="124" t="n">
        <f aca="false">VLOOKUP($A108,Table,MATCH(G$4,Curves,0))</f>
        <v>3</v>
      </c>
      <c r="H108" s="125" t="n">
        <f aca="false">G108+$H$7</f>
        <v>3</v>
      </c>
      <c r="I108" s="124" t="n">
        <f aca="false">H108</f>
        <v>3</v>
      </c>
      <c r="J108" s="124" t="n">
        <f aca="false">VLOOKUP($A108,Table,MATCH(J$4,Curves,0))</f>
        <v>4</v>
      </c>
      <c r="K108" s="125" t="n">
        <f aca="false">J108+$K$7</f>
        <v>4</v>
      </c>
      <c r="L108" s="126" t="n">
        <f aca="false">K108</f>
        <v>4</v>
      </c>
      <c r="M108" s="124" t="n">
        <f aca="false">VLOOKUP($A108,Table,MATCH(M$4,Curves,0))</f>
        <v>4</v>
      </c>
      <c r="N108" s="125" t="n">
        <f aca="false">M108+$N$7</f>
        <v>4</v>
      </c>
      <c r="O108" s="126" t="n">
        <f aca="false">0.07</f>
        <v>0.07</v>
      </c>
      <c r="P108" s="114"/>
      <c r="Q108" s="126" t="n">
        <f aca="false">M108+J108+G108</f>
        <v>11</v>
      </c>
      <c r="R108" s="126" t="n">
        <f aca="false">N108+K108+H108</f>
        <v>11</v>
      </c>
      <c r="S108" s="126" t="n">
        <f aca="false">O108+L108+I108</f>
        <v>7.07</v>
      </c>
      <c r="T108" s="127"/>
      <c r="U108" s="5" t="n">
        <f aca="false">A109-A108</f>
        <v>30</v>
      </c>
      <c r="V108" s="128" t="n">
        <f aca="false">CHOOSE(F$3,A109+24,A108)</f>
        <v>40269</v>
      </c>
      <c r="W108" s="5" t="n">
        <f aca="false">V108-C$3</f>
        <v>3038</v>
      </c>
      <c r="X108" s="124" t="n">
        <f aca="false">VLOOKUP($A108,Table,MATCH(X$4,Curves,0))</f>
        <v>2</v>
      </c>
      <c r="Y108" s="129" t="n">
        <f aca="false">1/(1+CHOOSE(F$3,(X109+($K$3/10000))/2,(X108+($K$3/10000))/2))^(2*W108/365.25)</f>
        <v>9.82452179692048E-006</v>
      </c>
      <c r="Z108" s="5" t="n">
        <f aca="false">IF(AND(mthbeg&lt;=A108,mthend&gt;=A108),1,0)</f>
        <v>0</v>
      </c>
      <c r="AA108" s="5" t="n">
        <f aca="false">U108*Z108</f>
        <v>0</v>
      </c>
      <c r="AC108" s="115" t="n">
        <f aca="false">IF(G101=2,F108*(S108-Q108),F108*(Q108-S108))</f>
        <v>0</v>
      </c>
      <c r="AE108" s="116" t="n">
        <f aca="false">IF($G$3=1,F108*(R108-Q108),F108*(Q108-R108))</f>
        <v>0</v>
      </c>
      <c r="AG108" s="116" t="n">
        <f aca="false">AC108+AE108</f>
        <v>0</v>
      </c>
    </row>
    <row r="109" customFormat="false" ht="12.75" hidden="false" customHeight="false" outlineLevel="0" collapsed="false">
      <c r="A109" s="120" t="n">
        <f aca="false">EDATE(A108,1)</f>
        <v>40299</v>
      </c>
      <c r="B109" s="121" t="e">
        <f aca="false">VLOOKUP(A109,'Inputs-Summary'!$A$32:$B$41,2,FALSE())</f>
        <v>#N/A</v>
      </c>
      <c r="C109" s="122"/>
      <c r="D109" s="123" t="e">
        <f aca="false">B109+C109</f>
        <v>#N/A</v>
      </c>
      <c r="E109" s="111" t="n">
        <f aca="false">IF(Z109=0,0,IF(AND(Z109=1,$H$3=1),D109*U109,IF($H$3=2,D109,"N/A")))</f>
        <v>0</v>
      </c>
      <c r="F109" s="111" t="n">
        <f aca="false">E109*Y109</f>
        <v>0</v>
      </c>
      <c r="G109" s="124" t="n">
        <f aca="false">VLOOKUP($A109,Table,MATCH(G$4,Curves,0))</f>
        <v>3</v>
      </c>
      <c r="H109" s="125" t="n">
        <f aca="false">G109+$H$7</f>
        <v>3</v>
      </c>
      <c r="I109" s="124" t="n">
        <f aca="false">H109</f>
        <v>3</v>
      </c>
      <c r="J109" s="124" t="n">
        <f aca="false">VLOOKUP($A109,Table,MATCH(J$4,Curves,0))</f>
        <v>4</v>
      </c>
      <c r="K109" s="125" t="n">
        <f aca="false">J109+$K$7</f>
        <v>4</v>
      </c>
      <c r="L109" s="126" t="n">
        <f aca="false">K109</f>
        <v>4</v>
      </c>
      <c r="M109" s="124" t="n">
        <f aca="false">VLOOKUP($A109,Table,MATCH(M$4,Curves,0))</f>
        <v>4</v>
      </c>
      <c r="N109" s="125" t="n">
        <f aca="false">M109+$N$7</f>
        <v>4</v>
      </c>
      <c r="O109" s="126" t="n">
        <f aca="false">0.07</f>
        <v>0.07</v>
      </c>
      <c r="P109" s="114"/>
      <c r="Q109" s="126" t="n">
        <f aca="false">M109+J109+G109</f>
        <v>11</v>
      </c>
      <c r="R109" s="126" t="n">
        <f aca="false">N109+K109+H109</f>
        <v>11</v>
      </c>
      <c r="S109" s="126" t="n">
        <f aca="false">O109+L109+I109</f>
        <v>7.07</v>
      </c>
      <c r="T109" s="127"/>
      <c r="U109" s="5" t="n">
        <f aca="false">A110-A109</f>
        <v>31</v>
      </c>
      <c r="V109" s="128" t="n">
        <f aca="false">CHOOSE(F$3,A110+24,A109)</f>
        <v>40299</v>
      </c>
      <c r="W109" s="5" t="n">
        <f aca="false">V109-C$3</f>
        <v>3068</v>
      </c>
      <c r="X109" s="124" t="n">
        <f aca="false">VLOOKUP($A109,Table,MATCH(X$4,Curves,0))</f>
        <v>2</v>
      </c>
      <c r="Y109" s="129" t="n">
        <f aca="false">1/(1+CHOOSE(F$3,(X110+($K$3/10000))/2,(X109+($K$3/10000))/2))^(2*W109/365.25)</f>
        <v>8.76719987814404E-006</v>
      </c>
      <c r="Z109" s="5" t="n">
        <f aca="false">IF(AND(mthbeg&lt;=A109,mthend&gt;=A109),1,0)</f>
        <v>0</v>
      </c>
      <c r="AA109" s="5" t="n">
        <f aca="false">U109*Z109</f>
        <v>0</v>
      </c>
      <c r="AC109" s="115" t="n">
        <f aca="false">IF(G102=2,F109*(S109-Q109),F109*(Q109-S109))</f>
        <v>0</v>
      </c>
      <c r="AE109" s="116" t="n">
        <f aca="false">IF($G$3=1,F109*(R109-Q109),F109*(Q109-R109))</f>
        <v>0</v>
      </c>
      <c r="AG109" s="116" t="n">
        <f aca="false">AC109+AE109</f>
        <v>0</v>
      </c>
    </row>
    <row r="110" customFormat="false" ht="12.75" hidden="false" customHeight="false" outlineLevel="0" collapsed="false">
      <c r="A110" s="120" t="n">
        <f aca="false">EDATE(A109,1)</f>
        <v>40330</v>
      </c>
      <c r="B110" s="121" t="e">
        <f aca="false">VLOOKUP(A110,'Inputs-Summary'!$A$32:$B$41,2,FALSE())</f>
        <v>#N/A</v>
      </c>
      <c r="C110" s="122"/>
      <c r="D110" s="123" t="e">
        <f aca="false">B110+C110</f>
        <v>#N/A</v>
      </c>
      <c r="E110" s="111" t="n">
        <f aca="false">IF(Z110=0,0,IF(AND(Z110=1,$H$3=1),D110*U110,IF($H$3=2,D110,"N/A")))</f>
        <v>0</v>
      </c>
      <c r="F110" s="111" t="n">
        <f aca="false">E110*Y110</f>
        <v>0</v>
      </c>
      <c r="G110" s="124" t="n">
        <f aca="false">VLOOKUP($A110,Table,MATCH(G$4,Curves,0))</f>
        <v>3</v>
      </c>
      <c r="H110" s="125" t="n">
        <f aca="false">G110+$H$7</f>
        <v>3</v>
      </c>
      <c r="I110" s="124" t="n">
        <f aca="false">H110</f>
        <v>3</v>
      </c>
      <c r="J110" s="124" t="n">
        <f aca="false">VLOOKUP($A110,Table,MATCH(J$4,Curves,0))</f>
        <v>4</v>
      </c>
      <c r="K110" s="125" t="n">
        <f aca="false">J110+$K$7</f>
        <v>4</v>
      </c>
      <c r="L110" s="126" t="n">
        <f aca="false">K110</f>
        <v>4</v>
      </c>
      <c r="M110" s="124" t="n">
        <f aca="false">VLOOKUP($A110,Table,MATCH(M$4,Curves,0))</f>
        <v>4</v>
      </c>
      <c r="N110" s="125" t="n">
        <f aca="false">M110+$N$7</f>
        <v>4</v>
      </c>
      <c r="O110" s="126" t="n">
        <f aca="false">0.07</f>
        <v>0.07</v>
      </c>
      <c r="P110" s="114"/>
      <c r="Q110" s="126" t="n">
        <f aca="false">M110+J110+G110</f>
        <v>11</v>
      </c>
      <c r="R110" s="126" t="n">
        <f aca="false">N110+K110+H110</f>
        <v>11</v>
      </c>
      <c r="S110" s="126" t="n">
        <f aca="false">O110+L110+I110</f>
        <v>7.07</v>
      </c>
      <c r="T110" s="127"/>
      <c r="U110" s="5" t="n">
        <f aca="false">A111-A110</f>
        <v>30</v>
      </c>
      <c r="V110" s="128" t="n">
        <f aca="false">CHOOSE(F$3,A111+24,A110)</f>
        <v>40330</v>
      </c>
      <c r="W110" s="5" t="n">
        <f aca="false">V110-C$3</f>
        <v>3099</v>
      </c>
      <c r="X110" s="124" t="n">
        <f aca="false">VLOOKUP($A110,Table,MATCH(X$4,Curves,0))</f>
        <v>2</v>
      </c>
      <c r="Y110" s="129" t="n">
        <f aca="false">1/(1+CHOOSE(F$3,(X111+($K$3/10000))/2,(X110+($K$3/10000))/2))^(2*W110/365.25)</f>
        <v>7.79402949262973E-006</v>
      </c>
      <c r="Z110" s="5" t="n">
        <f aca="false">IF(AND(mthbeg&lt;=A110,mthend&gt;=A110),1,0)</f>
        <v>0</v>
      </c>
      <c r="AA110" s="5" t="n">
        <f aca="false">U110*Z110</f>
        <v>0</v>
      </c>
      <c r="AC110" s="115" t="n">
        <f aca="false">IF(G103=2,F110*(S110-Q110),F110*(Q110-S110))</f>
        <v>0</v>
      </c>
      <c r="AE110" s="116" t="n">
        <f aca="false">IF($G$3=1,F110*(R110-Q110),F110*(Q110-R110))</f>
        <v>0</v>
      </c>
      <c r="AG110" s="116" t="n">
        <f aca="false">AC110+AE110</f>
        <v>0</v>
      </c>
    </row>
    <row r="111" customFormat="false" ht="12.75" hidden="false" customHeight="false" outlineLevel="0" collapsed="false">
      <c r="A111" s="120" t="n">
        <f aca="false">EDATE(A110,1)</f>
        <v>40360</v>
      </c>
      <c r="B111" s="121" t="e">
        <f aca="false">VLOOKUP(A111,'Inputs-Summary'!$A$32:$B$41,2,FALSE())</f>
        <v>#N/A</v>
      </c>
      <c r="C111" s="122"/>
      <c r="D111" s="123" t="e">
        <f aca="false">B111+C111</f>
        <v>#N/A</v>
      </c>
      <c r="E111" s="111" t="n">
        <f aca="false">IF(Z111=0,0,IF(AND(Z111=1,$H$3=1),D111*U111,IF($H$3=2,D111,"N/A")))</f>
        <v>0</v>
      </c>
      <c r="F111" s="111" t="n">
        <f aca="false">E111*Y111</f>
        <v>0</v>
      </c>
      <c r="G111" s="124" t="n">
        <f aca="false">VLOOKUP($A111,Table,MATCH(G$4,Curves,0))</f>
        <v>3</v>
      </c>
      <c r="H111" s="125" t="n">
        <f aca="false">G111+$H$7</f>
        <v>3</v>
      </c>
      <c r="I111" s="124" t="n">
        <f aca="false">H111</f>
        <v>3</v>
      </c>
      <c r="J111" s="124" t="n">
        <f aca="false">VLOOKUP($A111,Table,MATCH(J$4,Curves,0))</f>
        <v>4</v>
      </c>
      <c r="K111" s="125" t="n">
        <f aca="false">J111+$K$7</f>
        <v>4</v>
      </c>
      <c r="L111" s="126" t="n">
        <f aca="false">K111</f>
        <v>4</v>
      </c>
      <c r="M111" s="124" t="n">
        <f aca="false">VLOOKUP($A111,Table,MATCH(M$4,Curves,0))</f>
        <v>4</v>
      </c>
      <c r="N111" s="125" t="n">
        <f aca="false">M111+$N$7</f>
        <v>4</v>
      </c>
      <c r="O111" s="126" t="n">
        <f aca="false">0.07</f>
        <v>0.07</v>
      </c>
      <c r="P111" s="114"/>
      <c r="Q111" s="126" t="n">
        <f aca="false">M111+J111+G111</f>
        <v>11</v>
      </c>
      <c r="R111" s="126" t="n">
        <f aca="false">N111+K111+H111</f>
        <v>11</v>
      </c>
      <c r="S111" s="126" t="n">
        <f aca="false">O111+L111+I111</f>
        <v>7.07</v>
      </c>
      <c r="T111" s="127"/>
      <c r="U111" s="5" t="n">
        <f aca="false">A112-A111</f>
        <v>31</v>
      </c>
      <c r="V111" s="128" t="n">
        <f aca="false">CHOOSE(F$3,A112+24,A111)</f>
        <v>40360</v>
      </c>
      <c r="W111" s="5" t="n">
        <f aca="false">V111-C$3</f>
        <v>3129</v>
      </c>
      <c r="X111" s="124" t="n">
        <f aca="false">VLOOKUP($A111,Table,MATCH(X$4,Curves,0))</f>
        <v>2</v>
      </c>
      <c r="Y111" s="129" t="n">
        <f aca="false">1/(1+CHOOSE(F$3,(X112+($K$3/10000))/2,(X111+($K$3/10000))/2))^(2*W111/365.25)</f>
        <v>6.95523057818991E-006</v>
      </c>
      <c r="Z111" s="5" t="n">
        <f aca="false">IF(AND(mthbeg&lt;=A111,mthend&gt;=A111),1,0)</f>
        <v>0</v>
      </c>
      <c r="AA111" s="5" t="n">
        <f aca="false">U111*Z111</f>
        <v>0</v>
      </c>
      <c r="AC111" s="115" t="n">
        <f aca="false">IF(G104=2,F111*(S111-Q111),F111*(Q111-S111))</f>
        <v>0</v>
      </c>
      <c r="AE111" s="116" t="n">
        <f aca="false">IF($G$3=1,F111*(R111-Q111),F111*(Q111-R111))</f>
        <v>0</v>
      </c>
      <c r="AG111" s="116" t="n">
        <f aca="false">AC111+AE111</f>
        <v>0</v>
      </c>
    </row>
    <row r="112" customFormat="false" ht="12.75" hidden="false" customHeight="false" outlineLevel="0" collapsed="false">
      <c r="A112" s="120" t="n">
        <f aca="false">EDATE(A111,1)</f>
        <v>40391</v>
      </c>
      <c r="B112" s="121" t="e">
        <f aca="false">VLOOKUP(A112,'Inputs-Summary'!$A$32:$B$41,2,FALSE())</f>
        <v>#N/A</v>
      </c>
      <c r="C112" s="122"/>
      <c r="D112" s="123" t="e">
        <f aca="false">B112+C112</f>
        <v>#N/A</v>
      </c>
      <c r="E112" s="111" t="n">
        <f aca="false">IF(Z112=0,0,IF(AND(Z112=1,$H$3=1),D112*U112,IF($H$3=2,D112,"N/A")))</f>
        <v>0</v>
      </c>
      <c r="F112" s="111" t="n">
        <f aca="false">E112*Y112</f>
        <v>0</v>
      </c>
      <c r="G112" s="124" t="n">
        <f aca="false">VLOOKUP($A112,Table,MATCH(G$4,Curves,0))</f>
        <v>3</v>
      </c>
      <c r="H112" s="125" t="n">
        <f aca="false">G112+$H$7</f>
        <v>3</v>
      </c>
      <c r="I112" s="124" t="n">
        <f aca="false">H112</f>
        <v>3</v>
      </c>
      <c r="J112" s="124" t="n">
        <f aca="false">VLOOKUP($A112,Table,MATCH(J$4,Curves,0))</f>
        <v>4</v>
      </c>
      <c r="K112" s="125" t="n">
        <f aca="false">J112+$K$7</f>
        <v>4</v>
      </c>
      <c r="L112" s="126" t="n">
        <f aca="false">K112</f>
        <v>4</v>
      </c>
      <c r="M112" s="124" t="n">
        <f aca="false">VLOOKUP($A112,Table,MATCH(M$4,Curves,0))</f>
        <v>4</v>
      </c>
      <c r="N112" s="125" t="n">
        <f aca="false">M112+$N$7</f>
        <v>4</v>
      </c>
      <c r="O112" s="126" t="n">
        <f aca="false">0.07</f>
        <v>0.07</v>
      </c>
      <c r="P112" s="114"/>
      <c r="Q112" s="126" t="n">
        <f aca="false">M112+J112+G112</f>
        <v>11</v>
      </c>
      <c r="R112" s="126" t="n">
        <f aca="false">N112+K112+H112</f>
        <v>11</v>
      </c>
      <c r="S112" s="126" t="n">
        <f aca="false">O112+L112+I112</f>
        <v>7.07</v>
      </c>
      <c r="T112" s="127"/>
      <c r="U112" s="5" t="n">
        <f aca="false">A113-A112</f>
        <v>31</v>
      </c>
      <c r="V112" s="128" t="n">
        <f aca="false">CHOOSE(F$3,A113+24,A112)</f>
        <v>40391</v>
      </c>
      <c r="W112" s="5" t="n">
        <f aca="false">V112-C$3</f>
        <v>3160</v>
      </c>
      <c r="X112" s="124" t="n">
        <f aca="false">VLOOKUP($A112,Table,MATCH(X$4,Curves,0))</f>
        <v>2</v>
      </c>
      <c r="Y112" s="129" t="n">
        <f aca="false">1/(1+CHOOSE(F$3,(X113+($K$3/10000))/2,(X112+($K$3/10000))/2))^(2*W112/365.25)</f>
        <v>6.18319109954272E-006</v>
      </c>
      <c r="Z112" s="5" t="n">
        <f aca="false">IF(AND(mthbeg&lt;=A112,mthend&gt;=A112),1,0)</f>
        <v>0</v>
      </c>
      <c r="AA112" s="5" t="n">
        <f aca="false">U112*Z112</f>
        <v>0</v>
      </c>
      <c r="AC112" s="115" t="n">
        <f aca="false">IF(G105=2,F112*(S112-Q112),F112*(Q112-S112))</f>
        <v>0</v>
      </c>
      <c r="AE112" s="116" t="n">
        <f aca="false">IF($G$3=1,F112*(R112-Q112),F112*(Q112-R112))</f>
        <v>0</v>
      </c>
      <c r="AG112" s="116" t="n">
        <f aca="false">AC112+AE112</f>
        <v>0</v>
      </c>
    </row>
    <row r="113" customFormat="false" ht="12.75" hidden="false" customHeight="false" outlineLevel="0" collapsed="false">
      <c r="A113" s="120" t="n">
        <f aca="false">EDATE(A112,1)</f>
        <v>40422</v>
      </c>
      <c r="B113" s="121" t="e">
        <f aca="false">VLOOKUP(A113,'Inputs-Summary'!$A$32:$B$41,2,FALSE())</f>
        <v>#N/A</v>
      </c>
      <c r="C113" s="122"/>
      <c r="D113" s="123" t="e">
        <f aca="false">B113+C113</f>
        <v>#N/A</v>
      </c>
      <c r="E113" s="111" t="n">
        <f aca="false">IF(Z113=0,0,IF(AND(Z113=1,$H$3=1),D113*U113,IF($H$3=2,D113,"N/A")))</f>
        <v>0</v>
      </c>
      <c r="F113" s="111" t="n">
        <f aca="false">E113*Y113</f>
        <v>0</v>
      </c>
      <c r="G113" s="124" t="n">
        <f aca="false">VLOOKUP($A113,Table,MATCH(G$4,Curves,0))</f>
        <v>3</v>
      </c>
      <c r="H113" s="125" t="n">
        <f aca="false">G113+$H$7</f>
        <v>3</v>
      </c>
      <c r="I113" s="124" t="n">
        <f aca="false">H113</f>
        <v>3</v>
      </c>
      <c r="J113" s="124" t="n">
        <f aca="false">VLOOKUP($A113,Table,MATCH(J$4,Curves,0))</f>
        <v>4</v>
      </c>
      <c r="K113" s="125" t="n">
        <f aca="false">J113+$K$7</f>
        <v>4</v>
      </c>
      <c r="L113" s="126" t="n">
        <f aca="false">K113</f>
        <v>4</v>
      </c>
      <c r="M113" s="124" t="n">
        <f aca="false">VLOOKUP($A113,Table,MATCH(M$4,Curves,0))</f>
        <v>4</v>
      </c>
      <c r="N113" s="125" t="n">
        <f aca="false">M113+$N$7</f>
        <v>4</v>
      </c>
      <c r="O113" s="126" t="n">
        <f aca="false">0.07</f>
        <v>0.07</v>
      </c>
      <c r="P113" s="114"/>
      <c r="Q113" s="126" t="n">
        <f aca="false">M113+J113+G113</f>
        <v>11</v>
      </c>
      <c r="R113" s="126" t="n">
        <f aca="false">N113+K113+H113</f>
        <v>11</v>
      </c>
      <c r="S113" s="126" t="n">
        <f aca="false">O113+L113+I113</f>
        <v>7.07</v>
      </c>
      <c r="T113" s="127"/>
      <c r="U113" s="5" t="n">
        <f aca="false">A114-A113</f>
        <v>30</v>
      </c>
      <c r="V113" s="128" t="n">
        <f aca="false">CHOOSE(F$3,A114+24,A113)</f>
        <v>40422</v>
      </c>
      <c r="W113" s="5" t="n">
        <f aca="false">V113-C$3</f>
        <v>3191</v>
      </c>
      <c r="X113" s="124" t="n">
        <f aca="false">VLOOKUP($A113,Table,MATCH(X$4,Curves,0))</f>
        <v>2</v>
      </c>
      <c r="Y113" s="129" t="n">
        <f aca="false">1/(1+CHOOSE(F$3,(X114+($K$3/10000))/2,(X113+($K$3/10000))/2))^(2*W113/365.25)</f>
        <v>5.49684898921267E-006</v>
      </c>
      <c r="Z113" s="5" t="n">
        <f aca="false">IF(AND(mthbeg&lt;=A113,mthend&gt;=A113),1,0)</f>
        <v>0</v>
      </c>
      <c r="AA113" s="5" t="n">
        <f aca="false">U113*Z113</f>
        <v>0</v>
      </c>
      <c r="AC113" s="115" t="n">
        <f aca="false">IF(G106=2,F113*(S113-Q113),F113*(Q113-S113))</f>
        <v>0</v>
      </c>
      <c r="AE113" s="116" t="n">
        <f aca="false">IF($G$3=1,F113*(R113-Q113),F113*(Q113-R113))</f>
        <v>0</v>
      </c>
      <c r="AG113" s="116" t="n">
        <f aca="false">AC113+AE113</f>
        <v>0</v>
      </c>
    </row>
    <row r="114" customFormat="false" ht="12.75" hidden="false" customHeight="false" outlineLevel="0" collapsed="false">
      <c r="A114" s="120" t="n">
        <f aca="false">EDATE(A113,1)</f>
        <v>40452</v>
      </c>
      <c r="B114" s="121" t="e">
        <f aca="false">VLOOKUP(A114,'Inputs-Summary'!$A$32:$B$41,2,FALSE())</f>
        <v>#N/A</v>
      </c>
      <c r="C114" s="122"/>
      <c r="D114" s="123" t="e">
        <f aca="false">B114+C114</f>
        <v>#N/A</v>
      </c>
      <c r="E114" s="111" t="n">
        <f aca="false">IF(Z114=0,0,IF(AND(Z114=1,$H$3=1),D114*U114,IF($H$3=2,D114,"N/A")))</f>
        <v>0</v>
      </c>
      <c r="F114" s="111" t="n">
        <f aca="false">E114*Y114</f>
        <v>0</v>
      </c>
      <c r="G114" s="124" t="n">
        <f aca="false">VLOOKUP($A114,Table,MATCH(G$4,Curves,0))</f>
        <v>3</v>
      </c>
      <c r="H114" s="125" t="n">
        <f aca="false">G114+$H$7</f>
        <v>3</v>
      </c>
      <c r="I114" s="124" t="n">
        <f aca="false">H114</f>
        <v>3</v>
      </c>
      <c r="J114" s="124" t="n">
        <f aca="false">VLOOKUP($A114,Table,MATCH(J$4,Curves,0))</f>
        <v>4</v>
      </c>
      <c r="K114" s="125" t="n">
        <f aca="false">J114+$K$7</f>
        <v>4</v>
      </c>
      <c r="L114" s="126" t="n">
        <f aca="false">K114</f>
        <v>4</v>
      </c>
      <c r="M114" s="124" t="n">
        <f aca="false">VLOOKUP($A114,Table,MATCH(M$4,Curves,0))</f>
        <v>4</v>
      </c>
      <c r="N114" s="125" t="n">
        <f aca="false">M114+$N$7</f>
        <v>4</v>
      </c>
      <c r="O114" s="126" t="n">
        <f aca="false">0.07</f>
        <v>0.07</v>
      </c>
      <c r="P114" s="114"/>
      <c r="Q114" s="126" t="n">
        <f aca="false">M114+J114+G114</f>
        <v>11</v>
      </c>
      <c r="R114" s="126" t="n">
        <f aca="false">N114+K114+H114</f>
        <v>11</v>
      </c>
      <c r="S114" s="126" t="n">
        <f aca="false">O114+L114+I114</f>
        <v>7.07</v>
      </c>
      <c r="T114" s="127"/>
      <c r="U114" s="5" t="n">
        <f aca="false">A115-A114</f>
        <v>31</v>
      </c>
      <c r="V114" s="128" t="n">
        <f aca="false">CHOOSE(F$3,A115+24,A114)</f>
        <v>40452</v>
      </c>
      <c r="W114" s="5" t="n">
        <f aca="false">V114-C$3</f>
        <v>3221</v>
      </c>
      <c r="X114" s="124" t="n">
        <f aca="false">VLOOKUP($A114,Table,MATCH(X$4,Curves,0))</f>
        <v>2</v>
      </c>
      <c r="Y114" s="129" t="n">
        <f aca="false">1/(1+CHOOSE(F$3,(X115+($K$3/10000))/2,(X114+($K$3/10000))/2))^(2*W114/365.25)</f>
        <v>4.90527424993932E-006</v>
      </c>
      <c r="Z114" s="5" t="n">
        <f aca="false">IF(AND(mthbeg&lt;=A114,mthend&gt;=A114),1,0)</f>
        <v>0</v>
      </c>
      <c r="AA114" s="5" t="n">
        <f aca="false">U114*Z114</f>
        <v>0</v>
      </c>
      <c r="AC114" s="115" t="n">
        <f aca="false">IF(G107=2,F114*(S114-Q114),F114*(Q114-S114))</f>
        <v>0</v>
      </c>
      <c r="AE114" s="116" t="n">
        <f aca="false">IF($G$3=1,F114*(R114-Q114),F114*(Q114-R114))</f>
        <v>0</v>
      </c>
      <c r="AG114" s="116" t="n">
        <f aca="false">AC114+AE114</f>
        <v>0</v>
      </c>
    </row>
    <row r="115" customFormat="false" ht="12.75" hidden="false" customHeight="false" outlineLevel="0" collapsed="false">
      <c r="A115" s="120" t="n">
        <f aca="false">EDATE(A114,1)</f>
        <v>40483</v>
      </c>
      <c r="B115" s="121" t="e">
        <f aca="false">VLOOKUP(A115,'Inputs-Summary'!$A$32:$B$41,2,FALSE())</f>
        <v>#N/A</v>
      </c>
      <c r="C115" s="122"/>
      <c r="D115" s="123" t="e">
        <f aca="false">B115+C115</f>
        <v>#N/A</v>
      </c>
      <c r="E115" s="111" t="n">
        <f aca="false">IF(Z115=0,0,IF(AND(Z115=1,$H$3=1),D115*U115,IF($H$3=2,D115,"N/A")))</f>
        <v>0</v>
      </c>
      <c r="F115" s="111" t="n">
        <f aca="false">E115*Y115</f>
        <v>0</v>
      </c>
      <c r="G115" s="124" t="n">
        <f aca="false">VLOOKUP($A115,Table,MATCH(G$4,Curves,0))</f>
        <v>3</v>
      </c>
      <c r="H115" s="125" t="n">
        <f aca="false">G115+$H$7</f>
        <v>3</v>
      </c>
      <c r="I115" s="124" t="n">
        <f aca="false">H115</f>
        <v>3</v>
      </c>
      <c r="J115" s="124" t="n">
        <f aca="false">VLOOKUP($A115,Table,MATCH(J$4,Curves,0))</f>
        <v>4</v>
      </c>
      <c r="K115" s="125" t="n">
        <f aca="false">J115+$K$7</f>
        <v>4</v>
      </c>
      <c r="L115" s="126" t="n">
        <f aca="false">K115</f>
        <v>4</v>
      </c>
      <c r="M115" s="124" t="n">
        <f aca="false">VLOOKUP($A115,Table,MATCH(M$4,Curves,0))</f>
        <v>4</v>
      </c>
      <c r="N115" s="125" t="n">
        <f aca="false">M115+$N$7</f>
        <v>4</v>
      </c>
      <c r="O115" s="126" t="n">
        <f aca="false">0.07</f>
        <v>0.07</v>
      </c>
      <c r="P115" s="114"/>
      <c r="Q115" s="126" t="n">
        <f aca="false">M115+J115+G115</f>
        <v>11</v>
      </c>
      <c r="R115" s="126" t="n">
        <f aca="false">N115+K115+H115</f>
        <v>11</v>
      </c>
      <c r="S115" s="126" t="n">
        <f aca="false">O115+L115+I115</f>
        <v>7.07</v>
      </c>
      <c r="T115" s="127"/>
      <c r="U115" s="5" t="n">
        <f aca="false">A116-A115</f>
        <v>30</v>
      </c>
      <c r="V115" s="128" t="n">
        <f aca="false">CHOOSE(F$3,A116+24,A115)</f>
        <v>40483</v>
      </c>
      <c r="W115" s="5" t="n">
        <f aca="false">V115-C$3</f>
        <v>3252</v>
      </c>
      <c r="X115" s="124" t="n">
        <f aca="false">VLOOKUP($A115,Table,MATCH(X$4,Curves,0))</f>
        <v>2</v>
      </c>
      <c r="Y115" s="129" t="n">
        <f aca="false">1/(1+CHOOSE(F$3,(X116+($K$3/10000))/2,(X115+($K$3/10000))/2))^(2*W115/365.25)</f>
        <v>4.36078254229989E-006</v>
      </c>
      <c r="Z115" s="5" t="n">
        <f aca="false">IF(AND(mthbeg&lt;=A115,mthend&gt;=A115),1,0)</f>
        <v>0</v>
      </c>
      <c r="AA115" s="5" t="n">
        <f aca="false">U115*Z115</f>
        <v>0</v>
      </c>
      <c r="AC115" s="115" t="n">
        <f aca="false">IF(G108=2,F115*(S115-Q115),F115*(Q115-S115))</f>
        <v>0</v>
      </c>
      <c r="AE115" s="116" t="n">
        <f aca="false">IF($G$3=1,F115*(R115-Q115),F115*(Q115-R115))</f>
        <v>0</v>
      </c>
      <c r="AG115" s="116" t="n">
        <f aca="false">AC115+AE115</f>
        <v>0</v>
      </c>
    </row>
    <row r="116" customFormat="false" ht="12.75" hidden="false" customHeight="false" outlineLevel="0" collapsed="false">
      <c r="A116" s="120" t="n">
        <f aca="false">EDATE(A115,1)</f>
        <v>40513</v>
      </c>
      <c r="B116" s="121" t="e">
        <f aca="false">VLOOKUP(A116,'Inputs-Summary'!$A$32:$B$41,2,FALSE())</f>
        <v>#N/A</v>
      </c>
      <c r="C116" s="122"/>
      <c r="D116" s="123" t="e">
        <f aca="false">B116+C116</f>
        <v>#N/A</v>
      </c>
      <c r="E116" s="111" t="n">
        <f aca="false">IF(Z116=0,0,IF(AND(Z116=1,$H$3=1),D116*U116,IF($H$3=2,D116,"N/A")))</f>
        <v>0</v>
      </c>
      <c r="F116" s="111" t="n">
        <f aca="false">E116*Y116</f>
        <v>0</v>
      </c>
      <c r="G116" s="124" t="n">
        <f aca="false">VLOOKUP($A116,Table,MATCH(G$4,Curves,0))</f>
        <v>3</v>
      </c>
      <c r="H116" s="125" t="n">
        <f aca="false">G116+$H$7</f>
        <v>3</v>
      </c>
      <c r="I116" s="124" t="n">
        <f aca="false">H116</f>
        <v>3</v>
      </c>
      <c r="J116" s="124" t="n">
        <f aca="false">VLOOKUP($A116,Table,MATCH(J$4,Curves,0))</f>
        <v>4</v>
      </c>
      <c r="K116" s="125" t="n">
        <f aca="false">J116+$K$7</f>
        <v>4</v>
      </c>
      <c r="L116" s="126" t="n">
        <f aca="false">K116</f>
        <v>4</v>
      </c>
      <c r="M116" s="124" t="n">
        <f aca="false">VLOOKUP($A116,Table,MATCH(M$4,Curves,0))</f>
        <v>4</v>
      </c>
      <c r="N116" s="125" t="n">
        <f aca="false">M116+$N$7</f>
        <v>4</v>
      </c>
      <c r="O116" s="126" t="n">
        <f aca="false">0.07</f>
        <v>0.07</v>
      </c>
      <c r="P116" s="114"/>
      <c r="Q116" s="126" t="n">
        <f aca="false">M116+J116+G116</f>
        <v>11</v>
      </c>
      <c r="R116" s="126" t="n">
        <f aca="false">N116+K116+H116</f>
        <v>11</v>
      </c>
      <c r="S116" s="126" t="n">
        <f aca="false">O116+L116+I116</f>
        <v>7.07</v>
      </c>
      <c r="T116" s="127"/>
      <c r="U116" s="5" t="n">
        <f aca="false">A117-A116</f>
        <v>31</v>
      </c>
      <c r="V116" s="128" t="n">
        <f aca="false">CHOOSE(F$3,A117+24,A116)</f>
        <v>40513</v>
      </c>
      <c r="W116" s="5" t="n">
        <f aca="false">V116-C$3</f>
        <v>3282</v>
      </c>
      <c r="X116" s="124" t="n">
        <f aca="false">VLOOKUP($A116,Table,MATCH(X$4,Curves,0))</f>
        <v>2</v>
      </c>
      <c r="Y116" s="129" t="n">
        <f aca="false">1/(1+CHOOSE(F$3,(X117+($K$3/10000))/2,(X116+($K$3/10000))/2))^(2*W116/365.25)</f>
        <v>3.89147206996356E-006</v>
      </c>
      <c r="Z116" s="5" t="n">
        <f aca="false">IF(AND(mthbeg&lt;=A116,mthend&gt;=A116),1,0)</f>
        <v>0</v>
      </c>
      <c r="AA116" s="5" t="n">
        <f aca="false">U116*Z116</f>
        <v>0</v>
      </c>
      <c r="AC116" s="115" t="n">
        <f aca="false">IF(G109=2,F116*(S116-Q116),F116*(Q116-S116))</f>
        <v>0</v>
      </c>
      <c r="AE116" s="116" t="n">
        <f aca="false">IF($G$3=1,F116*(R116-Q116),F116*(Q116-R116))</f>
        <v>0</v>
      </c>
      <c r="AG116" s="116" t="n">
        <f aca="false">AC116+AE116</f>
        <v>0</v>
      </c>
    </row>
    <row r="117" customFormat="false" ht="12.75" hidden="false" customHeight="false" outlineLevel="0" collapsed="false">
      <c r="A117" s="120" t="n">
        <f aca="false">EDATE(A116,1)</f>
        <v>40544</v>
      </c>
      <c r="B117" s="121" t="e">
        <f aca="false">VLOOKUP(A117,'Inputs-Summary'!$A$32:$B$41,2,FALSE())</f>
        <v>#N/A</v>
      </c>
      <c r="C117" s="122"/>
      <c r="D117" s="123" t="e">
        <f aca="false">B117+C117</f>
        <v>#N/A</v>
      </c>
      <c r="E117" s="111" t="n">
        <f aca="false">IF(Z117=0,0,IF(AND(Z117=1,$H$3=1),D117*U117,IF($H$3=2,D117,"N/A")))</f>
        <v>0</v>
      </c>
      <c r="F117" s="111" t="n">
        <f aca="false">E117*Y117</f>
        <v>0</v>
      </c>
      <c r="G117" s="124" t="n">
        <f aca="false">VLOOKUP($A117,Table,MATCH(G$4,Curves,0))</f>
        <v>3</v>
      </c>
      <c r="H117" s="125" t="n">
        <f aca="false">G117+$H$7</f>
        <v>3</v>
      </c>
      <c r="I117" s="124" t="n">
        <f aca="false">H117</f>
        <v>3</v>
      </c>
      <c r="J117" s="124" t="n">
        <f aca="false">VLOOKUP($A117,Table,MATCH(J$4,Curves,0))</f>
        <v>4</v>
      </c>
      <c r="K117" s="125" t="n">
        <f aca="false">J117+$K$7</f>
        <v>4</v>
      </c>
      <c r="L117" s="126" t="n">
        <f aca="false">K117</f>
        <v>4</v>
      </c>
      <c r="M117" s="124" t="n">
        <f aca="false">VLOOKUP($A117,Table,MATCH(M$4,Curves,0))</f>
        <v>4</v>
      </c>
      <c r="N117" s="125" t="n">
        <f aca="false">M117+$N$7</f>
        <v>4</v>
      </c>
      <c r="O117" s="126" t="n">
        <f aca="false">0.07</f>
        <v>0.07</v>
      </c>
      <c r="P117" s="114"/>
      <c r="Q117" s="126" t="n">
        <f aca="false">M117+J117+G117</f>
        <v>11</v>
      </c>
      <c r="R117" s="126" t="n">
        <f aca="false">N117+K117+H117</f>
        <v>11</v>
      </c>
      <c r="S117" s="126" t="n">
        <f aca="false">O117+L117+I117</f>
        <v>7.07</v>
      </c>
      <c r="T117" s="127"/>
      <c r="U117" s="5" t="n">
        <f aca="false">A118-A117</f>
        <v>31</v>
      </c>
      <c r="V117" s="128" t="n">
        <f aca="false">CHOOSE(F$3,A118+24,A117)</f>
        <v>40544</v>
      </c>
      <c r="W117" s="5" t="n">
        <f aca="false">V117-C$3</f>
        <v>3313</v>
      </c>
      <c r="X117" s="124" t="n">
        <f aca="false">VLOOKUP($A117,Table,MATCH(X$4,Curves,0))</f>
        <v>2</v>
      </c>
      <c r="Y117" s="129" t="n">
        <f aca="false">1/(1+CHOOSE(F$3,(X118+($K$3/10000))/2,(X117+($K$3/10000))/2))^(2*W117/365.25)</f>
        <v>3.45951369931143E-006</v>
      </c>
      <c r="Z117" s="5" t="n">
        <f aca="false">IF(AND(mthbeg&lt;=A117,mthend&gt;=A117),1,0)</f>
        <v>0</v>
      </c>
      <c r="AA117" s="5" t="n">
        <f aca="false">U117*Z117</f>
        <v>0</v>
      </c>
      <c r="AC117" s="115" t="n">
        <f aca="false">IF(G110=2,F117*(S117-Q117),F117*(Q117-S117))</f>
        <v>0</v>
      </c>
      <c r="AE117" s="116" t="n">
        <f aca="false">IF($G$3=1,F117*(R117-Q117),F117*(Q117-R117))</f>
        <v>0</v>
      </c>
      <c r="AG117" s="116" t="n">
        <f aca="false">AC117+AE117</f>
        <v>0</v>
      </c>
    </row>
    <row r="118" customFormat="false" ht="12.75" hidden="false" customHeight="false" outlineLevel="0" collapsed="false">
      <c r="A118" s="120" t="n">
        <f aca="false">EDATE(A117,1)</f>
        <v>40575</v>
      </c>
      <c r="B118" s="121" t="e">
        <f aca="false">VLOOKUP(A118,'Inputs-Summary'!$A$32:$B$41,2,FALSE())</f>
        <v>#N/A</v>
      </c>
      <c r="C118" s="122"/>
      <c r="D118" s="123" t="e">
        <f aca="false">B118+C118</f>
        <v>#N/A</v>
      </c>
      <c r="E118" s="111" t="n">
        <f aca="false">IF(Z118=0,0,IF(AND(Z118=1,$H$3=1),D118*U118,IF($H$3=2,D118,"N/A")))</f>
        <v>0</v>
      </c>
      <c r="F118" s="111" t="n">
        <f aca="false">E118*Y118</f>
        <v>0</v>
      </c>
      <c r="G118" s="124" t="n">
        <f aca="false">VLOOKUP($A118,Table,MATCH(G$4,Curves,0))</f>
        <v>3</v>
      </c>
      <c r="H118" s="125" t="n">
        <f aca="false">G118+$H$7</f>
        <v>3</v>
      </c>
      <c r="I118" s="124" t="n">
        <f aca="false">H118</f>
        <v>3</v>
      </c>
      <c r="J118" s="124" t="n">
        <f aca="false">VLOOKUP($A118,Table,MATCH(J$4,Curves,0))</f>
        <v>4</v>
      </c>
      <c r="K118" s="125" t="n">
        <f aca="false">J118+$K$7</f>
        <v>4</v>
      </c>
      <c r="L118" s="126" t="n">
        <f aca="false">K118</f>
        <v>4</v>
      </c>
      <c r="M118" s="124" t="n">
        <f aca="false">VLOOKUP($A118,Table,MATCH(M$4,Curves,0))</f>
        <v>4</v>
      </c>
      <c r="N118" s="125" t="n">
        <f aca="false">M118+$N$7</f>
        <v>4</v>
      </c>
      <c r="O118" s="126" t="n">
        <f aca="false">0.07</f>
        <v>0.07</v>
      </c>
      <c r="P118" s="114"/>
      <c r="Q118" s="126" t="n">
        <f aca="false">M118+J118+G118</f>
        <v>11</v>
      </c>
      <c r="R118" s="126" t="n">
        <f aca="false">N118+K118+H118</f>
        <v>11</v>
      </c>
      <c r="S118" s="126" t="n">
        <f aca="false">O118+L118+I118</f>
        <v>7.07</v>
      </c>
      <c r="T118" s="127"/>
      <c r="U118" s="5" t="n">
        <f aca="false">A119-A118</f>
        <v>28</v>
      </c>
      <c r="V118" s="128" t="n">
        <f aca="false">CHOOSE(F$3,A119+24,A118)</f>
        <v>40575</v>
      </c>
      <c r="W118" s="5" t="n">
        <f aca="false">V118-C$3</f>
        <v>3344</v>
      </c>
      <c r="X118" s="124" t="n">
        <f aca="false">VLOOKUP($A118,Table,MATCH(X$4,Curves,0))</f>
        <v>2</v>
      </c>
      <c r="Y118" s="129" t="n">
        <f aca="false">1/(1+CHOOSE(F$3,(X119+($K$3/10000))/2,(X118+($K$3/10000))/2))^(2*W118/365.25)</f>
        <v>3.07550325957641E-006</v>
      </c>
      <c r="Z118" s="5" t="n">
        <f aca="false">IF(AND(mthbeg&lt;=A118,mthend&gt;=A118),1,0)</f>
        <v>0</v>
      </c>
      <c r="AA118" s="5" t="n">
        <f aca="false">U118*Z118</f>
        <v>0</v>
      </c>
      <c r="AC118" s="115" t="n">
        <f aca="false">IF(G111=2,F118*(S118-Q118),F118*(Q118-S118))</f>
        <v>0</v>
      </c>
      <c r="AE118" s="116" t="n">
        <f aca="false">IF($G$3=1,F118*(R118-Q118),F118*(Q118-R118))</f>
        <v>0</v>
      </c>
      <c r="AG118" s="116" t="n">
        <f aca="false">AC118+AE118</f>
        <v>0</v>
      </c>
    </row>
    <row r="119" customFormat="false" ht="12.75" hidden="false" customHeight="false" outlineLevel="0" collapsed="false">
      <c r="A119" s="120" t="n">
        <f aca="false">EDATE(A118,1)</f>
        <v>40603</v>
      </c>
      <c r="B119" s="121" t="e">
        <f aca="false">VLOOKUP(A119,'Inputs-Summary'!$A$32:$B$41,2,FALSE())</f>
        <v>#N/A</v>
      </c>
      <c r="C119" s="122"/>
      <c r="D119" s="123" t="e">
        <f aca="false">B119+C119</f>
        <v>#N/A</v>
      </c>
      <c r="E119" s="111" t="n">
        <f aca="false">IF(Z119=0,0,IF(AND(Z119=1,$H$3=1),D119*U119,IF($H$3=2,D119,"N/A")))</f>
        <v>0</v>
      </c>
      <c r="F119" s="111" t="n">
        <f aca="false">E119*Y119</f>
        <v>0</v>
      </c>
      <c r="G119" s="124" t="n">
        <f aca="false">VLOOKUP($A119,Table,MATCH(G$4,Curves,0))</f>
        <v>3</v>
      </c>
      <c r="H119" s="125" t="n">
        <f aca="false">G119+$H$7</f>
        <v>3</v>
      </c>
      <c r="I119" s="124" t="n">
        <f aca="false">H119</f>
        <v>3</v>
      </c>
      <c r="J119" s="124" t="n">
        <f aca="false">VLOOKUP($A119,Table,MATCH(J$4,Curves,0))</f>
        <v>4</v>
      </c>
      <c r="K119" s="125" t="n">
        <f aca="false">J119+$K$7</f>
        <v>4</v>
      </c>
      <c r="L119" s="126" t="n">
        <f aca="false">K119</f>
        <v>4</v>
      </c>
      <c r="M119" s="124" t="n">
        <f aca="false">VLOOKUP($A119,Table,MATCH(M$4,Curves,0))</f>
        <v>4</v>
      </c>
      <c r="N119" s="125" t="n">
        <f aca="false">M119+$N$7</f>
        <v>4</v>
      </c>
      <c r="O119" s="126" t="n">
        <f aca="false">0.07</f>
        <v>0.07</v>
      </c>
      <c r="P119" s="114"/>
      <c r="Q119" s="126" t="n">
        <f aca="false">M119+J119+G119</f>
        <v>11</v>
      </c>
      <c r="R119" s="126" t="n">
        <f aca="false">N119+K119+H119</f>
        <v>11</v>
      </c>
      <c r="S119" s="126" t="n">
        <f aca="false">O119+L119+I119</f>
        <v>7.07</v>
      </c>
      <c r="T119" s="127"/>
      <c r="U119" s="5" t="n">
        <f aca="false">A120-A119</f>
        <v>31</v>
      </c>
      <c r="V119" s="128" t="n">
        <f aca="false">CHOOSE(F$3,A120+24,A119)</f>
        <v>40603</v>
      </c>
      <c r="W119" s="5" t="n">
        <f aca="false">V119-C$3</f>
        <v>3372</v>
      </c>
      <c r="X119" s="124" t="n">
        <f aca="false">VLOOKUP($A119,Table,MATCH(X$4,Curves,0))</f>
        <v>2</v>
      </c>
      <c r="Y119" s="129" t="n">
        <f aca="false">1/(1+CHOOSE(F$3,(X120+($K$3/10000))/2,(X119+($K$3/10000))/2))^(2*W119/365.25)</f>
        <v>2.76542815337481E-006</v>
      </c>
      <c r="Z119" s="5" t="n">
        <f aca="false">IF(AND(mthbeg&lt;=A119,mthend&gt;=A119),1,0)</f>
        <v>0</v>
      </c>
      <c r="AA119" s="5" t="n">
        <f aca="false">U119*Z119</f>
        <v>0</v>
      </c>
      <c r="AC119" s="115" t="n">
        <f aca="false">IF(G112=2,F119*(S119-Q119),F119*(Q119-S119))</f>
        <v>0</v>
      </c>
      <c r="AE119" s="116" t="n">
        <f aca="false">IF($G$3=1,F119*(R119-Q119),F119*(Q119-R119))</f>
        <v>0</v>
      </c>
      <c r="AG119" s="116" t="n">
        <f aca="false">AC119+AE119</f>
        <v>0</v>
      </c>
    </row>
    <row r="120" customFormat="false" ht="12.75" hidden="false" customHeight="false" outlineLevel="0" collapsed="false">
      <c r="A120" s="120" t="n">
        <f aca="false">EDATE(A119,1)</f>
        <v>40634</v>
      </c>
      <c r="B120" s="121" t="e">
        <f aca="false">VLOOKUP(A120,'Inputs-Summary'!$A$32:$B$41,2,FALSE())</f>
        <v>#N/A</v>
      </c>
      <c r="C120" s="122"/>
      <c r="D120" s="123" t="e">
        <f aca="false">B120+C120</f>
        <v>#N/A</v>
      </c>
      <c r="E120" s="111" t="n">
        <f aca="false">IF(Z120=0,0,IF(AND(Z120=1,$H$3=1),D120*U120,IF($H$3=2,D120,"N/A")))</f>
        <v>0</v>
      </c>
      <c r="F120" s="111" t="n">
        <f aca="false">E120*Y120</f>
        <v>0</v>
      </c>
      <c r="G120" s="124" t="n">
        <f aca="false">VLOOKUP($A120,Table,MATCH(G$4,Curves,0))</f>
        <v>3</v>
      </c>
      <c r="H120" s="125" t="n">
        <f aca="false">G120+$H$7</f>
        <v>3</v>
      </c>
      <c r="I120" s="124" t="n">
        <f aca="false">H120</f>
        <v>3</v>
      </c>
      <c r="J120" s="124" t="n">
        <f aca="false">VLOOKUP($A120,Table,MATCH(J$4,Curves,0))</f>
        <v>4</v>
      </c>
      <c r="K120" s="125" t="n">
        <f aca="false">J120+$K$7</f>
        <v>4</v>
      </c>
      <c r="L120" s="126" t="n">
        <f aca="false">K120</f>
        <v>4</v>
      </c>
      <c r="M120" s="124" t="n">
        <f aca="false">VLOOKUP($A120,Table,MATCH(M$4,Curves,0))</f>
        <v>4</v>
      </c>
      <c r="N120" s="125" t="n">
        <f aca="false">M120+$N$7</f>
        <v>4</v>
      </c>
      <c r="O120" s="126" t="n">
        <f aca="false">0.07</f>
        <v>0.07</v>
      </c>
      <c r="P120" s="114"/>
      <c r="Q120" s="126" t="n">
        <f aca="false">M120+J120+G120</f>
        <v>11</v>
      </c>
      <c r="R120" s="126" t="n">
        <f aca="false">N120+K120+H120</f>
        <v>11</v>
      </c>
      <c r="S120" s="126" t="n">
        <f aca="false">O120+L120+I120</f>
        <v>7.07</v>
      </c>
      <c r="T120" s="127"/>
      <c r="U120" s="5" t="n">
        <f aca="false">A121-A120</f>
        <v>30</v>
      </c>
      <c r="V120" s="128" t="n">
        <f aca="false">CHOOSE(F$3,A121+24,A120)</f>
        <v>40634</v>
      </c>
      <c r="W120" s="5" t="n">
        <f aca="false">V120-C$3</f>
        <v>3403</v>
      </c>
      <c r="X120" s="124" t="n">
        <f aca="false">VLOOKUP($A120,Table,MATCH(X$4,Curves,0))</f>
        <v>2</v>
      </c>
      <c r="Y120" s="129" t="n">
        <f aca="false">1/(1+CHOOSE(F$3,(X121+($K$3/10000))/2,(X120+($K$3/10000))/2))^(2*W120/365.25)</f>
        <v>2.4584620958493E-006</v>
      </c>
      <c r="Z120" s="5" t="n">
        <f aca="false">IF(AND(mthbeg&lt;=A120,mthend&gt;=A120),1,0)</f>
        <v>0</v>
      </c>
      <c r="AA120" s="5" t="n">
        <f aca="false">U120*Z120</f>
        <v>0</v>
      </c>
      <c r="AC120" s="115" t="n">
        <f aca="false">IF(G113=2,F120*(S120-Q120),F120*(Q120-S120))</f>
        <v>0</v>
      </c>
      <c r="AE120" s="116" t="n">
        <f aca="false">IF($G$3=1,F120*(R120-Q120),F120*(Q120-R120))</f>
        <v>0</v>
      </c>
      <c r="AG120" s="116" t="n">
        <f aca="false">AC120+AE120</f>
        <v>0</v>
      </c>
    </row>
    <row r="121" customFormat="false" ht="12.75" hidden="false" customHeight="false" outlineLevel="0" collapsed="false">
      <c r="A121" s="120" t="n">
        <f aca="false">EDATE(A120,1)</f>
        <v>40664</v>
      </c>
      <c r="B121" s="121" t="e">
        <f aca="false">VLOOKUP(A121,'Inputs-Summary'!$A$32:$B$41,2,FALSE())</f>
        <v>#N/A</v>
      </c>
      <c r="C121" s="122"/>
      <c r="D121" s="123" t="e">
        <f aca="false">B121+C121</f>
        <v>#N/A</v>
      </c>
      <c r="E121" s="111" t="n">
        <f aca="false">IF(Z121=0,0,IF(AND(Z121=1,$H$3=1),D121*U121,IF($H$3=2,D121,"N/A")))</f>
        <v>0</v>
      </c>
      <c r="F121" s="111" t="n">
        <f aca="false">E121*Y121</f>
        <v>0</v>
      </c>
      <c r="G121" s="124" t="n">
        <f aca="false">VLOOKUP($A121,Table,MATCH(G$4,Curves,0))</f>
        <v>3</v>
      </c>
      <c r="H121" s="125" t="n">
        <f aca="false">G121+$H$7</f>
        <v>3</v>
      </c>
      <c r="I121" s="124" t="n">
        <f aca="false">H121</f>
        <v>3</v>
      </c>
      <c r="J121" s="124" t="n">
        <f aca="false">VLOOKUP($A121,Table,MATCH(J$4,Curves,0))</f>
        <v>4</v>
      </c>
      <c r="K121" s="125" t="n">
        <f aca="false">J121+$K$7</f>
        <v>4</v>
      </c>
      <c r="L121" s="126" t="n">
        <f aca="false">K121</f>
        <v>4</v>
      </c>
      <c r="M121" s="124" t="n">
        <f aca="false">VLOOKUP($A121,Table,MATCH(M$4,Curves,0))</f>
        <v>4</v>
      </c>
      <c r="N121" s="125" t="n">
        <f aca="false">M121+$N$7</f>
        <v>4</v>
      </c>
      <c r="O121" s="126" t="n">
        <f aca="false">0.07</f>
        <v>0.07</v>
      </c>
      <c r="P121" s="114"/>
      <c r="Q121" s="126" t="n">
        <f aca="false">M121+J121+G121</f>
        <v>11</v>
      </c>
      <c r="R121" s="126" t="n">
        <f aca="false">N121+K121+H121</f>
        <v>11</v>
      </c>
      <c r="S121" s="126" t="n">
        <f aca="false">O121+L121+I121</f>
        <v>7.07</v>
      </c>
      <c r="T121" s="127"/>
      <c r="U121" s="5" t="n">
        <f aca="false">A122-A121</f>
        <v>31</v>
      </c>
      <c r="V121" s="128" t="n">
        <f aca="false">CHOOSE(F$3,A122+24,A121)</f>
        <v>40664</v>
      </c>
      <c r="W121" s="5" t="n">
        <f aca="false">V121-C$3</f>
        <v>3433</v>
      </c>
      <c r="X121" s="124" t="n">
        <f aca="false">VLOOKUP($A121,Table,MATCH(X$4,Curves,0))</f>
        <v>2</v>
      </c>
      <c r="Y121" s="129" t="n">
        <f aca="false">1/(1+CHOOSE(F$3,(X122+($K$3/10000))/2,(X121+($K$3/10000))/2))^(2*W121/365.25)</f>
        <v>2.19388068271251E-006</v>
      </c>
      <c r="Z121" s="5" t="n">
        <f aca="false">IF(AND(mthbeg&lt;=A121,mthend&gt;=A121),1,0)</f>
        <v>0</v>
      </c>
      <c r="AA121" s="5" t="n">
        <f aca="false">U121*Z121</f>
        <v>0</v>
      </c>
      <c r="AC121" s="115" t="n">
        <f aca="false">IF(G114=2,F121*(S121-Q121),F121*(Q121-S121))</f>
        <v>0</v>
      </c>
      <c r="AE121" s="116" t="n">
        <f aca="false">IF($G$3=1,F121*(R121-Q121),F121*(Q121-R121))</f>
        <v>0</v>
      </c>
      <c r="AG121" s="116" t="n">
        <f aca="false">AC121+AE121</f>
        <v>0</v>
      </c>
    </row>
    <row r="122" customFormat="false" ht="12.75" hidden="false" customHeight="false" outlineLevel="0" collapsed="false">
      <c r="A122" s="120" t="n">
        <f aca="false">EDATE(A121,1)</f>
        <v>40695</v>
      </c>
      <c r="B122" s="121" t="e">
        <f aca="false">VLOOKUP(A122,'Inputs-Summary'!$A$32:$B$41,2,FALSE())</f>
        <v>#N/A</v>
      </c>
      <c r="C122" s="122"/>
      <c r="D122" s="123" t="e">
        <f aca="false">B122+C122</f>
        <v>#N/A</v>
      </c>
      <c r="E122" s="111" t="n">
        <f aca="false">IF(Z122=0,0,IF(AND(Z122=1,$H$3=1),D122*U122,IF($H$3=2,D122,"N/A")))</f>
        <v>0</v>
      </c>
      <c r="F122" s="111" t="n">
        <f aca="false">E122*Y122</f>
        <v>0</v>
      </c>
      <c r="G122" s="124" t="n">
        <f aca="false">VLOOKUP($A122,Table,MATCH(G$4,Curves,0))</f>
        <v>3</v>
      </c>
      <c r="H122" s="125" t="n">
        <f aca="false">G122+$H$7</f>
        <v>3</v>
      </c>
      <c r="I122" s="124" t="n">
        <f aca="false">H122</f>
        <v>3</v>
      </c>
      <c r="J122" s="124" t="n">
        <f aca="false">VLOOKUP($A122,Table,MATCH(J$4,Curves,0))</f>
        <v>4</v>
      </c>
      <c r="K122" s="125" t="n">
        <f aca="false">J122+$K$7</f>
        <v>4</v>
      </c>
      <c r="L122" s="126" t="n">
        <f aca="false">K122</f>
        <v>4</v>
      </c>
      <c r="M122" s="124" t="n">
        <f aca="false">VLOOKUP($A122,Table,MATCH(M$4,Curves,0))</f>
        <v>4</v>
      </c>
      <c r="N122" s="125" t="n">
        <f aca="false">M122+$N$7</f>
        <v>4</v>
      </c>
      <c r="O122" s="126" t="n">
        <f aca="false">0.07</f>
        <v>0.07</v>
      </c>
      <c r="P122" s="114"/>
      <c r="Q122" s="126" t="n">
        <f aca="false">M122+J122+G122</f>
        <v>11</v>
      </c>
      <c r="R122" s="126" t="n">
        <f aca="false">N122+K122+H122</f>
        <v>11</v>
      </c>
      <c r="S122" s="126" t="n">
        <f aca="false">O122+L122+I122</f>
        <v>7.07</v>
      </c>
      <c r="T122" s="127"/>
      <c r="U122" s="5" t="n">
        <f aca="false">A123-A122</f>
        <v>30</v>
      </c>
      <c r="V122" s="128" t="n">
        <f aca="false">CHOOSE(F$3,A123+24,A122)</f>
        <v>40695</v>
      </c>
      <c r="W122" s="5" t="n">
        <f aca="false">V122-C$3</f>
        <v>3464</v>
      </c>
      <c r="X122" s="124" t="n">
        <f aca="false">VLOOKUP($A122,Table,MATCH(X$4,Curves,0))</f>
        <v>2</v>
      </c>
      <c r="Y122" s="129" t="n">
        <f aca="false">1/(1+CHOOSE(F$3,(X123+($K$3/10000))/2,(X122+($K$3/10000))/2))^(2*W122/365.25)</f>
        <v>1.95035712451348E-006</v>
      </c>
      <c r="Z122" s="5" t="n">
        <f aca="false">IF(AND(mthbeg&lt;=A122,mthend&gt;=A122),1,0)</f>
        <v>0</v>
      </c>
      <c r="AA122" s="5" t="n">
        <f aca="false">U122*Z122</f>
        <v>0</v>
      </c>
      <c r="AC122" s="115" t="n">
        <f aca="false">IF(G115=2,F122*(S122-Q122),F122*(Q122-S122))</f>
        <v>0</v>
      </c>
      <c r="AE122" s="116" t="n">
        <f aca="false">IF($G$3=1,F122*(R122-Q122),F122*(Q122-R122))</f>
        <v>0</v>
      </c>
      <c r="AG122" s="116" t="n">
        <f aca="false">AC122+AE122</f>
        <v>0</v>
      </c>
    </row>
    <row r="123" customFormat="false" ht="12.75" hidden="false" customHeight="false" outlineLevel="0" collapsed="false">
      <c r="A123" s="120" t="n">
        <f aca="false">EDATE(A122,1)</f>
        <v>40725</v>
      </c>
      <c r="B123" s="121" t="e">
        <f aca="false">VLOOKUP(A123,'Inputs-Summary'!$A$32:$B$41,2,FALSE())</f>
        <v>#N/A</v>
      </c>
      <c r="C123" s="122"/>
      <c r="D123" s="123" t="e">
        <f aca="false">B123+C123</f>
        <v>#N/A</v>
      </c>
      <c r="E123" s="111" t="n">
        <f aca="false">IF(Z123=0,0,IF(AND(Z123=1,$H$3=1),D123*U123,IF($H$3=2,D123,"N/A")))</f>
        <v>0</v>
      </c>
      <c r="F123" s="111" t="n">
        <f aca="false">E123*Y123</f>
        <v>0</v>
      </c>
      <c r="G123" s="124" t="n">
        <f aca="false">VLOOKUP($A123,Table,MATCH(G$4,Curves,0))</f>
        <v>3</v>
      </c>
      <c r="H123" s="125" t="n">
        <f aca="false">G123+$H$7</f>
        <v>3</v>
      </c>
      <c r="I123" s="124" t="n">
        <f aca="false">H123</f>
        <v>3</v>
      </c>
      <c r="J123" s="124" t="n">
        <f aca="false">VLOOKUP($A123,Table,MATCH(J$4,Curves,0))</f>
        <v>4</v>
      </c>
      <c r="K123" s="125" t="n">
        <f aca="false">J123+$K$7</f>
        <v>4</v>
      </c>
      <c r="L123" s="126" t="n">
        <f aca="false">K123</f>
        <v>4</v>
      </c>
      <c r="M123" s="124" t="n">
        <f aca="false">VLOOKUP($A123,Table,MATCH(M$4,Curves,0))</f>
        <v>4</v>
      </c>
      <c r="N123" s="125" t="n">
        <f aca="false">M123+$N$7</f>
        <v>4</v>
      </c>
      <c r="O123" s="126" t="n">
        <f aca="false">0.07</f>
        <v>0.07</v>
      </c>
      <c r="P123" s="114"/>
      <c r="Q123" s="126" t="n">
        <f aca="false">M123+J123+G123</f>
        <v>11</v>
      </c>
      <c r="R123" s="126" t="n">
        <f aca="false">N123+K123+H123</f>
        <v>11</v>
      </c>
      <c r="S123" s="126" t="n">
        <f aca="false">O123+L123+I123</f>
        <v>7.07</v>
      </c>
      <c r="T123" s="127"/>
      <c r="U123" s="5" t="n">
        <f aca="false">A124-A123</f>
        <v>31</v>
      </c>
      <c r="V123" s="128" t="n">
        <f aca="false">CHOOSE(F$3,A124+24,A123)</f>
        <v>40725</v>
      </c>
      <c r="W123" s="5" t="n">
        <f aca="false">V123-C$3</f>
        <v>3494</v>
      </c>
      <c r="X123" s="124" t="n">
        <f aca="false">VLOOKUP($A123,Table,MATCH(X$4,Curves,0))</f>
        <v>2</v>
      </c>
      <c r="Y123" s="129" t="n">
        <f aca="false">1/(1+CHOOSE(F$3,(X124+($K$3/10000))/2,(X123+($K$3/10000))/2))^(2*W123/365.25)</f>
        <v>1.74045832436666E-006</v>
      </c>
      <c r="Z123" s="5" t="n">
        <f aca="false">IF(AND(mthbeg&lt;=A123,mthend&gt;=A123),1,0)</f>
        <v>0</v>
      </c>
      <c r="AA123" s="5" t="n">
        <f aca="false">U123*Z123</f>
        <v>0</v>
      </c>
      <c r="AC123" s="115" t="n">
        <f aca="false">IF(G116=2,F123*(S123-Q123),F123*(Q123-S123))</f>
        <v>0</v>
      </c>
      <c r="AE123" s="116" t="n">
        <f aca="false">IF($G$3=1,F123*(R123-Q123),F123*(Q123-R123))</f>
        <v>0</v>
      </c>
      <c r="AG123" s="116" t="n">
        <f aca="false">AC123+AE123</f>
        <v>0</v>
      </c>
    </row>
    <row r="124" customFormat="false" ht="12.75" hidden="false" customHeight="false" outlineLevel="0" collapsed="false">
      <c r="A124" s="120" t="n">
        <f aca="false">EDATE(A123,1)</f>
        <v>40756</v>
      </c>
      <c r="B124" s="121" t="e">
        <f aca="false">VLOOKUP(A124,'Inputs-Summary'!$A$32:$B$41,2,FALSE())</f>
        <v>#N/A</v>
      </c>
      <c r="C124" s="122"/>
      <c r="D124" s="123" t="e">
        <f aca="false">B124+C124</f>
        <v>#N/A</v>
      </c>
      <c r="E124" s="111" t="n">
        <f aca="false">IF(Z124=0,0,IF(AND(Z124=1,$H$3=1),D124*U124,IF($H$3=2,D124,"N/A")))</f>
        <v>0</v>
      </c>
      <c r="F124" s="111" t="n">
        <f aca="false">E124*Y124</f>
        <v>0</v>
      </c>
      <c r="G124" s="124" t="n">
        <f aca="false">VLOOKUP($A124,Table,MATCH(G$4,Curves,0))</f>
        <v>3</v>
      </c>
      <c r="H124" s="125" t="n">
        <f aca="false">G124+$H$7</f>
        <v>3</v>
      </c>
      <c r="I124" s="124" t="n">
        <f aca="false">H124</f>
        <v>3</v>
      </c>
      <c r="J124" s="124" t="n">
        <f aca="false">VLOOKUP($A124,Table,MATCH(J$4,Curves,0))</f>
        <v>4</v>
      </c>
      <c r="K124" s="125" t="n">
        <f aca="false">J124+$K$7</f>
        <v>4</v>
      </c>
      <c r="L124" s="126" t="n">
        <f aca="false">K124</f>
        <v>4</v>
      </c>
      <c r="M124" s="124" t="n">
        <f aca="false">VLOOKUP($A124,Table,MATCH(M$4,Curves,0))</f>
        <v>4</v>
      </c>
      <c r="N124" s="125" t="n">
        <f aca="false">M124+$N$7</f>
        <v>4</v>
      </c>
      <c r="O124" s="126" t="n">
        <f aca="false">0.07</f>
        <v>0.07</v>
      </c>
      <c r="P124" s="114"/>
      <c r="Q124" s="126" t="n">
        <f aca="false">M124+J124+G124</f>
        <v>11</v>
      </c>
      <c r="R124" s="126" t="n">
        <f aca="false">N124+K124+H124</f>
        <v>11</v>
      </c>
      <c r="S124" s="126" t="n">
        <f aca="false">O124+L124+I124</f>
        <v>7.07</v>
      </c>
      <c r="T124" s="127"/>
      <c r="U124" s="5" t="n">
        <f aca="false">A125-A124</f>
        <v>31</v>
      </c>
      <c r="V124" s="128" t="n">
        <f aca="false">CHOOSE(F$3,A125+24,A124)</f>
        <v>40756</v>
      </c>
      <c r="W124" s="5" t="n">
        <f aca="false">V124-C$3</f>
        <v>3525</v>
      </c>
      <c r="X124" s="124" t="n">
        <f aca="false">VLOOKUP($A124,Table,MATCH(X$4,Curves,0))</f>
        <v>2</v>
      </c>
      <c r="Y124" s="129" t="n">
        <f aca="false">1/(1+CHOOSE(F$3,(X125+($K$3/10000))/2,(X124+($K$3/10000))/2))^(2*W124/365.25)</f>
        <v>1.54726522713639E-006</v>
      </c>
      <c r="Z124" s="5" t="n">
        <f aca="false">IF(AND(mthbeg&lt;=A124,mthend&gt;=A124),1,0)</f>
        <v>0</v>
      </c>
      <c r="AA124" s="5" t="n">
        <f aca="false">U124*Z124</f>
        <v>0</v>
      </c>
      <c r="AC124" s="115" t="n">
        <f aca="false">IF(G117=2,F124*(S124-Q124),F124*(Q124-S124))</f>
        <v>0</v>
      </c>
      <c r="AE124" s="116" t="n">
        <f aca="false">IF($G$3=1,F124*(R124-Q124),F124*(Q124-R124))</f>
        <v>0</v>
      </c>
      <c r="AG124" s="116" t="n">
        <f aca="false">AC124+AE124</f>
        <v>0</v>
      </c>
    </row>
    <row r="125" customFormat="false" ht="12.75" hidden="false" customHeight="false" outlineLevel="0" collapsed="false">
      <c r="A125" s="120" t="n">
        <f aca="false">EDATE(A124,1)</f>
        <v>40787</v>
      </c>
      <c r="B125" s="121" t="e">
        <f aca="false">VLOOKUP(A125,'Inputs-Summary'!$A$32:$B$41,2,FALSE())</f>
        <v>#N/A</v>
      </c>
      <c r="C125" s="122"/>
      <c r="D125" s="123" t="e">
        <f aca="false">B125+C125</f>
        <v>#N/A</v>
      </c>
      <c r="E125" s="111" t="n">
        <f aca="false">IF(Z125=0,0,IF(AND(Z125=1,$H$3=1),D125*U125,IF($H$3=2,D125,"N/A")))</f>
        <v>0</v>
      </c>
      <c r="F125" s="111" t="n">
        <f aca="false">E125*Y125</f>
        <v>0</v>
      </c>
      <c r="G125" s="124" t="n">
        <f aca="false">VLOOKUP($A125,Table,MATCH(G$4,Curves,0))</f>
        <v>3</v>
      </c>
      <c r="H125" s="125" t="n">
        <f aca="false">G125+$H$7</f>
        <v>3</v>
      </c>
      <c r="I125" s="124" t="n">
        <f aca="false">H125</f>
        <v>3</v>
      </c>
      <c r="J125" s="124" t="n">
        <f aca="false">VLOOKUP($A125,Table,MATCH(J$4,Curves,0))</f>
        <v>4</v>
      </c>
      <c r="K125" s="125" t="n">
        <f aca="false">J125+$K$7</f>
        <v>4</v>
      </c>
      <c r="L125" s="126" t="n">
        <f aca="false">K125</f>
        <v>4</v>
      </c>
      <c r="M125" s="124" t="n">
        <f aca="false">VLOOKUP($A125,Table,MATCH(M$4,Curves,0))</f>
        <v>4</v>
      </c>
      <c r="N125" s="125" t="n">
        <f aca="false">M125+$N$7</f>
        <v>4</v>
      </c>
      <c r="O125" s="126" t="n">
        <f aca="false">0.07</f>
        <v>0.07</v>
      </c>
      <c r="P125" s="114"/>
      <c r="Q125" s="126" t="n">
        <f aca="false">M125+J125+G125</f>
        <v>11</v>
      </c>
      <c r="R125" s="126" t="n">
        <f aca="false">N125+K125+H125</f>
        <v>11</v>
      </c>
      <c r="S125" s="126" t="n">
        <f aca="false">O125+L125+I125</f>
        <v>7.07</v>
      </c>
      <c r="T125" s="127"/>
      <c r="U125" s="5" t="n">
        <f aca="false">A126-A125</f>
        <v>30</v>
      </c>
      <c r="V125" s="128" t="n">
        <f aca="false">CHOOSE(F$3,A126+24,A125)</f>
        <v>40787</v>
      </c>
      <c r="W125" s="5" t="n">
        <f aca="false">V125-C$3</f>
        <v>3556</v>
      </c>
      <c r="X125" s="124" t="n">
        <f aca="false">VLOOKUP($A125,Table,MATCH(X$4,Curves,0))</f>
        <v>2</v>
      </c>
      <c r="Y125" s="129" t="n">
        <f aca="false">1/(1+CHOOSE(F$3,(X126+($K$3/10000))/2,(X125+($K$3/10000))/2))^(2*W125/365.25)</f>
        <v>1.37551681047956E-006</v>
      </c>
      <c r="Z125" s="5" t="n">
        <f aca="false">IF(AND(mthbeg&lt;=A125,mthend&gt;=A125),1,0)</f>
        <v>0</v>
      </c>
      <c r="AA125" s="5" t="n">
        <f aca="false">U125*Z125</f>
        <v>0</v>
      </c>
      <c r="AC125" s="115" t="n">
        <f aca="false">IF(G118=2,F125*(S125-Q125),F125*(Q125-S125))</f>
        <v>0</v>
      </c>
      <c r="AE125" s="116" t="n">
        <f aca="false">IF($G$3=1,F125*(R125-Q125),F125*(Q125-R125))</f>
        <v>0</v>
      </c>
      <c r="AG125" s="116" t="n">
        <f aca="false">AC125+AE125</f>
        <v>0</v>
      </c>
    </row>
    <row r="126" customFormat="false" ht="12.75" hidden="false" customHeight="false" outlineLevel="0" collapsed="false">
      <c r="A126" s="120" t="n">
        <f aca="false">EDATE(A125,1)</f>
        <v>40817</v>
      </c>
      <c r="B126" s="121" t="e">
        <f aca="false">VLOOKUP(A126,'Inputs-Summary'!$A$32:$B$41,2,FALSE())</f>
        <v>#N/A</v>
      </c>
      <c r="C126" s="122"/>
      <c r="D126" s="123" t="e">
        <f aca="false">B126+C126</f>
        <v>#N/A</v>
      </c>
      <c r="E126" s="111" t="n">
        <f aca="false">IF(Z126=0,0,IF(AND(Z126=1,$H$3=1),D126*U126,IF($H$3=2,D126,"N/A")))</f>
        <v>0</v>
      </c>
      <c r="F126" s="111" t="n">
        <f aca="false">E126*Y126</f>
        <v>0</v>
      </c>
      <c r="G126" s="124" t="n">
        <f aca="false">VLOOKUP($A126,Table,MATCH(G$4,Curves,0))</f>
        <v>3</v>
      </c>
      <c r="H126" s="125" t="n">
        <f aca="false">G126+$H$7</f>
        <v>3</v>
      </c>
      <c r="I126" s="124" t="n">
        <f aca="false">H126</f>
        <v>3</v>
      </c>
      <c r="J126" s="124" t="n">
        <f aca="false">VLOOKUP($A126,Table,MATCH(J$4,Curves,0))</f>
        <v>4</v>
      </c>
      <c r="K126" s="125" t="n">
        <f aca="false">J126+$K$7</f>
        <v>4</v>
      </c>
      <c r="L126" s="126" t="n">
        <f aca="false">K126</f>
        <v>4</v>
      </c>
      <c r="M126" s="124" t="n">
        <f aca="false">VLOOKUP($A126,Table,MATCH(M$4,Curves,0))</f>
        <v>4</v>
      </c>
      <c r="N126" s="125" t="n">
        <f aca="false">M126+$N$7</f>
        <v>4</v>
      </c>
      <c r="O126" s="126" t="n">
        <f aca="false">0.07</f>
        <v>0.07</v>
      </c>
      <c r="P126" s="114"/>
      <c r="Q126" s="126" t="n">
        <f aca="false">M126+J126+G126</f>
        <v>11</v>
      </c>
      <c r="R126" s="126" t="n">
        <f aca="false">N126+K126+H126</f>
        <v>11</v>
      </c>
      <c r="S126" s="126" t="n">
        <f aca="false">O126+L126+I126</f>
        <v>7.07</v>
      </c>
      <c r="T126" s="127"/>
      <c r="U126" s="5" t="n">
        <f aca="false">A127-A126</f>
        <v>31</v>
      </c>
      <c r="V126" s="128" t="n">
        <f aca="false">CHOOSE(F$3,A127+24,A126)</f>
        <v>40817</v>
      </c>
      <c r="W126" s="5" t="n">
        <f aca="false">V126-C$3</f>
        <v>3586</v>
      </c>
      <c r="X126" s="124" t="n">
        <f aca="false">VLOOKUP($A126,Table,MATCH(X$4,Curves,0))</f>
        <v>2</v>
      </c>
      <c r="Y126" s="129" t="n">
        <f aca="false">1/(1+CHOOSE(F$3,(X127+($K$3/10000))/2,(X126+($K$3/10000))/2))^(2*W126/365.25)</f>
        <v>1.22748272765821E-006</v>
      </c>
      <c r="Z126" s="5" t="n">
        <f aca="false">IF(AND(mthbeg&lt;=A126,mthend&gt;=A126),1,0)</f>
        <v>0</v>
      </c>
      <c r="AA126" s="5" t="n">
        <f aca="false">U126*Z126</f>
        <v>0</v>
      </c>
      <c r="AC126" s="115" t="n">
        <f aca="false">IF(G119=2,F126*(S126-Q126),F126*(Q126-S126))</f>
        <v>0</v>
      </c>
      <c r="AE126" s="116" t="n">
        <f aca="false">IF($G$3=1,F126*(R126-Q126),F126*(Q126-R126))</f>
        <v>0</v>
      </c>
      <c r="AG126" s="116" t="n">
        <f aca="false">AC126+AE126</f>
        <v>0</v>
      </c>
    </row>
    <row r="127" customFormat="false" ht="12.75" hidden="false" customHeight="false" outlineLevel="0" collapsed="false">
      <c r="A127" s="120" t="n">
        <f aca="false">EDATE(A126,1)</f>
        <v>40848</v>
      </c>
      <c r="B127" s="121" t="e">
        <f aca="false">VLOOKUP(A127,'Inputs-Summary'!$A$32:$B$41,2,FALSE())</f>
        <v>#N/A</v>
      </c>
      <c r="C127" s="122"/>
      <c r="D127" s="123" t="e">
        <f aca="false">B127+C127</f>
        <v>#N/A</v>
      </c>
      <c r="E127" s="111" t="n">
        <f aca="false">IF(Z127=0,0,IF(AND(Z127=1,$H$3=1),D127*U127,IF($H$3=2,D127,"N/A")))</f>
        <v>0</v>
      </c>
      <c r="F127" s="111" t="n">
        <f aca="false">E127*Y127</f>
        <v>0</v>
      </c>
      <c r="G127" s="124" t="n">
        <f aca="false">VLOOKUP($A127,Table,MATCH(G$4,Curves,0))</f>
        <v>3</v>
      </c>
      <c r="H127" s="125" t="n">
        <f aca="false">G127+$H$7</f>
        <v>3</v>
      </c>
      <c r="I127" s="124" t="n">
        <f aca="false">H127</f>
        <v>3</v>
      </c>
      <c r="J127" s="124" t="n">
        <f aca="false">VLOOKUP($A127,Table,MATCH(J$4,Curves,0))</f>
        <v>4</v>
      </c>
      <c r="K127" s="125" t="n">
        <f aca="false">J127+$K$7</f>
        <v>4</v>
      </c>
      <c r="L127" s="126" t="n">
        <f aca="false">K127</f>
        <v>4</v>
      </c>
      <c r="M127" s="124" t="n">
        <f aca="false">VLOOKUP($A127,Table,MATCH(M$4,Curves,0))</f>
        <v>4</v>
      </c>
      <c r="N127" s="125" t="n">
        <f aca="false">M127+$N$7</f>
        <v>4</v>
      </c>
      <c r="O127" s="126" t="n">
        <f aca="false">0.07</f>
        <v>0.07</v>
      </c>
      <c r="P127" s="114"/>
      <c r="Q127" s="126" t="n">
        <f aca="false">M127+J127+G127</f>
        <v>11</v>
      </c>
      <c r="R127" s="126" t="n">
        <f aca="false">N127+K127+H127</f>
        <v>11</v>
      </c>
      <c r="S127" s="126" t="n">
        <f aca="false">O127+L127+I127</f>
        <v>7.07</v>
      </c>
      <c r="T127" s="127"/>
      <c r="U127" s="5" t="n">
        <f aca="false">A128-A127</f>
        <v>30</v>
      </c>
      <c r="V127" s="128" t="n">
        <f aca="false">CHOOSE(F$3,A128+24,A127)</f>
        <v>40848</v>
      </c>
      <c r="W127" s="5" t="n">
        <f aca="false">V127-C$3</f>
        <v>3617</v>
      </c>
      <c r="X127" s="124" t="n">
        <f aca="false">VLOOKUP($A127,Table,MATCH(X$4,Curves,0))</f>
        <v>2</v>
      </c>
      <c r="Y127" s="129" t="n">
        <f aca="false">1/(1+CHOOSE(F$3,(X128+($K$3/10000))/2,(X127+($K$3/10000))/2))^(2*W127/365.25)</f>
        <v>1.09123057692702E-006</v>
      </c>
      <c r="Z127" s="5" t="n">
        <f aca="false">IF(AND(mthbeg&lt;=A127,mthend&gt;=A127),1,0)</f>
        <v>0</v>
      </c>
      <c r="AA127" s="5" t="n">
        <f aca="false">U127*Z127</f>
        <v>0</v>
      </c>
      <c r="AC127" s="115" t="n">
        <f aca="false">IF(G120=2,F127*(S127-Q127),F127*(Q127-S127))</f>
        <v>0</v>
      </c>
      <c r="AE127" s="116" t="n">
        <f aca="false">IF($G$3=1,F127*(R127-Q127),F127*(Q127-R127))</f>
        <v>0</v>
      </c>
      <c r="AG127" s="116" t="n">
        <f aca="false">AC127+AE127</f>
        <v>0</v>
      </c>
    </row>
    <row r="128" customFormat="false" ht="12.75" hidden="false" customHeight="false" outlineLevel="0" collapsed="false">
      <c r="A128" s="120" t="n">
        <f aca="false">EDATE(A127,1)</f>
        <v>40878</v>
      </c>
      <c r="B128" s="121" t="e">
        <f aca="false">VLOOKUP(A128,'Inputs-Summary'!$A$32:$B$41,2,FALSE())</f>
        <v>#N/A</v>
      </c>
      <c r="C128" s="122"/>
      <c r="D128" s="123" t="e">
        <f aca="false">B128+C128</f>
        <v>#N/A</v>
      </c>
      <c r="E128" s="111" t="n">
        <f aca="false">IF(Z128=0,0,IF(AND(Z128=1,$H$3=1),D128*U128,IF($H$3=2,D128,"N/A")))</f>
        <v>0</v>
      </c>
      <c r="F128" s="111" t="n">
        <f aca="false">E128*Y128</f>
        <v>0</v>
      </c>
      <c r="G128" s="124" t="n">
        <f aca="false">VLOOKUP($A128,Table,MATCH(G$4,Curves,0))</f>
        <v>3</v>
      </c>
      <c r="H128" s="125" t="n">
        <f aca="false">G128+$H$7</f>
        <v>3</v>
      </c>
      <c r="I128" s="124" t="n">
        <f aca="false">H128</f>
        <v>3</v>
      </c>
      <c r="J128" s="124" t="n">
        <f aca="false">VLOOKUP($A128,Table,MATCH(J$4,Curves,0))</f>
        <v>4</v>
      </c>
      <c r="K128" s="125" t="n">
        <f aca="false">J128+$K$7</f>
        <v>4</v>
      </c>
      <c r="L128" s="126" t="n">
        <f aca="false">K128</f>
        <v>4</v>
      </c>
      <c r="M128" s="124" t="n">
        <f aca="false">VLOOKUP($A128,Table,MATCH(M$4,Curves,0))</f>
        <v>4</v>
      </c>
      <c r="N128" s="125" t="n">
        <f aca="false">M128+$N$7</f>
        <v>4</v>
      </c>
      <c r="O128" s="126" t="n">
        <f aca="false">0.07</f>
        <v>0.07</v>
      </c>
      <c r="P128" s="114"/>
      <c r="Q128" s="126" t="n">
        <f aca="false">M128+J128+G128</f>
        <v>11</v>
      </c>
      <c r="R128" s="126" t="n">
        <f aca="false">N128+K128+H128</f>
        <v>11</v>
      </c>
      <c r="S128" s="126" t="n">
        <f aca="false">O128+L128+I128</f>
        <v>7.07</v>
      </c>
      <c r="T128" s="127"/>
      <c r="U128" s="5" t="n">
        <f aca="false">A129-A128</f>
        <v>31</v>
      </c>
      <c r="V128" s="128" t="n">
        <f aca="false">CHOOSE(F$3,A129+24,A128)</f>
        <v>40878</v>
      </c>
      <c r="W128" s="5" t="n">
        <f aca="false">V128-C$3</f>
        <v>3647</v>
      </c>
      <c r="X128" s="124" t="n">
        <f aca="false">VLOOKUP($A128,Table,MATCH(X$4,Curves,0))</f>
        <v>2</v>
      </c>
      <c r="Y128" s="129" t="n">
        <f aca="false">1/(1+CHOOSE(F$3,(X129+($K$3/10000))/2,(X128+($K$3/10000))/2))^(2*W128/365.25)</f>
        <v>9.73791577729562E-007</v>
      </c>
      <c r="Z128" s="5" t="n">
        <f aca="false">IF(AND(mthbeg&lt;=A128,mthend&gt;=A128),1,0)</f>
        <v>0</v>
      </c>
      <c r="AA128" s="5" t="n">
        <f aca="false">U128*Z128</f>
        <v>0</v>
      </c>
      <c r="AC128" s="115" t="n">
        <f aca="false">IF(G121=2,F128*(S128-Q128),F128*(Q128-S128))</f>
        <v>0</v>
      </c>
      <c r="AE128" s="116" t="n">
        <f aca="false">IF($G$3=1,F128*(R128-Q128),F128*(Q128-R128))</f>
        <v>0</v>
      </c>
      <c r="AG128" s="116" t="n">
        <f aca="false">AC128+AE128</f>
        <v>0</v>
      </c>
    </row>
    <row r="129" customFormat="false" ht="12.75" hidden="false" customHeight="false" outlineLevel="0" collapsed="false">
      <c r="A129" s="120" t="n">
        <f aca="false">EDATE(A128,1)</f>
        <v>40909</v>
      </c>
      <c r="B129" s="121" t="e">
        <f aca="false">VLOOKUP(A129,'Inputs-Summary'!$A$32:$B$41,2,FALSE())</f>
        <v>#N/A</v>
      </c>
      <c r="C129" s="122"/>
      <c r="D129" s="123" t="e">
        <f aca="false">B129+C129</f>
        <v>#N/A</v>
      </c>
      <c r="E129" s="111" t="n">
        <f aca="false">IF(Z129=0,0,IF(AND(Z129=1,$H$3=1),D129*U129,IF($H$3=2,D129,"N/A")))</f>
        <v>0</v>
      </c>
      <c r="F129" s="111" t="n">
        <f aca="false">E129*Y129</f>
        <v>0</v>
      </c>
      <c r="G129" s="124" t="n">
        <f aca="false">VLOOKUP($A129,Table,MATCH(G$4,Curves,0))</f>
        <v>3</v>
      </c>
      <c r="H129" s="125" t="n">
        <f aca="false">G129+$H$7</f>
        <v>3</v>
      </c>
      <c r="I129" s="124" t="n">
        <f aca="false">H129</f>
        <v>3</v>
      </c>
      <c r="J129" s="124" t="n">
        <f aca="false">VLOOKUP($A129,Table,MATCH(J$4,Curves,0))</f>
        <v>4</v>
      </c>
      <c r="K129" s="125" t="n">
        <f aca="false">J129+$K$7</f>
        <v>4</v>
      </c>
      <c r="L129" s="126" t="n">
        <f aca="false">K129</f>
        <v>4</v>
      </c>
      <c r="M129" s="124" t="n">
        <f aca="false">VLOOKUP($A129,Table,MATCH(M$4,Curves,0))</f>
        <v>4</v>
      </c>
      <c r="N129" s="125" t="n">
        <f aca="false">M129+$N$7</f>
        <v>4</v>
      </c>
      <c r="O129" s="126" t="n">
        <f aca="false">0.07</f>
        <v>0.07</v>
      </c>
      <c r="P129" s="114"/>
      <c r="Q129" s="126" t="n">
        <f aca="false">M129+J129+G129</f>
        <v>11</v>
      </c>
      <c r="R129" s="126" t="n">
        <f aca="false">N129+K129+H129</f>
        <v>11</v>
      </c>
      <c r="S129" s="126" t="n">
        <f aca="false">O129+L129+I129</f>
        <v>7.07</v>
      </c>
      <c r="T129" s="127"/>
      <c r="U129" s="5" t="n">
        <f aca="false">A130-A129</f>
        <v>31</v>
      </c>
      <c r="V129" s="128" t="n">
        <f aca="false">CHOOSE(F$3,A130+24,A129)</f>
        <v>40909</v>
      </c>
      <c r="W129" s="5" t="n">
        <f aca="false">V129-C$3</f>
        <v>3678</v>
      </c>
      <c r="X129" s="124" t="n">
        <f aca="false">VLOOKUP($A129,Table,MATCH(X$4,Curves,0))</f>
        <v>2</v>
      </c>
      <c r="Y129" s="129" t="n">
        <f aca="false">1/(1+CHOOSE(F$3,(X130+($K$3/10000))/2,(X129+($K$3/10000))/2))^(2*W129/365.25)</f>
        <v>8.65699468700301E-007</v>
      </c>
      <c r="Z129" s="5" t="n">
        <f aca="false">IF(AND(mthbeg&lt;=A129,mthend&gt;=A129),1,0)</f>
        <v>0</v>
      </c>
      <c r="AA129" s="5" t="n">
        <f aca="false">U129*Z129</f>
        <v>0</v>
      </c>
      <c r="AC129" s="115" t="n">
        <f aca="false">IF(G122=2,F129*(S129-Q129),F129*(Q129-S129))</f>
        <v>0</v>
      </c>
      <c r="AE129" s="116" t="n">
        <f aca="false">IF($G$3=1,F129*(R129-Q129),F129*(Q129-R129))</f>
        <v>0</v>
      </c>
      <c r="AG129" s="116" t="n">
        <f aca="false">AC129+AE129</f>
        <v>0</v>
      </c>
    </row>
    <row r="130" customFormat="false" ht="12.75" hidden="false" customHeight="false" outlineLevel="0" collapsed="false">
      <c r="A130" s="120" t="n">
        <f aca="false">EDATE(A129,1)</f>
        <v>40940</v>
      </c>
      <c r="B130" s="121" t="e">
        <f aca="false">VLOOKUP(A130,'Inputs-Summary'!$A$32:$B$41,2,FALSE())</f>
        <v>#N/A</v>
      </c>
      <c r="C130" s="122"/>
      <c r="D130" s="123" t="e">
        <f aca="false">B130+C130</f>
        <v>#N/A</v>
      </c>
      <c r="E130" s="111" t="n">
        <f aca="false">IF(Z130=0,0,IF(AND(Z130=1,$H$3=1),D130*U130,IF($H$3=2,D130,"N/A")))</f>
        <v>0</v>
      </c>
      <c r="F130" s="111" t="n">
        <f aca="false">E130*Y130</f>
        <v>0</v>
      </c>
      <c r="G130" s="124" t="n">
        <f aca="false">VLOOKUP($A130,Table,MATCH(G$4,Curves,0))</f>
        <v>3</v>
      </c>
      <c r="H130" s="125" t="n">
        <f aca="false">G130+$H$7</f>
        <v>3</v>
      </c>
      <c r="I130" s="124" t="n">
        <f aca="false">H130</f>
        <v>3</v>
      </c>
      <c r="J130" s="124" t="n">
        <f aca="false">VLOOKUP($A130,Table,MATCH(J$4,Curves,0))</f>
        <v>4</v>
      </c>
      <c r="K130" s="125" t="n">
        <f aca="false">J130+$K$7</f>
        <v>4</v>
      </c>
      <c r="L130" s="126" t="n">
        <f aca="false">K130</f>
        <v>4</v>
      </c>
      <c r="M130" s="124" t="n">
        <f aca="false">VLOOKUP($A130,Table,MATCH(M$4,Curves,0))</f>
        <v>4</v>
      </c>
      <c r="N130" s="125" t="n">
        <f aca="false">M130+$N$7</f>
        <v>4</v>
      </c>
      <c r="O130" s="126" t="n">
        <f aca="false">0.07</f>
        <v>0.07</v>
      </c>
      <c r="P130" s="114"/>
      <c r="Q130" s="126" t="n">
        <f aca="false">M130+J130+G130</f>
        <v>11</v>
      </c>
      <c r="R130" s="126" t="n">
        <f aca="false">N130+K130+H130</f>
        <v>11</v>
      </c>
      <c r="S130" s="126" t="n">
        <f aca="false">O130+L130+I130</f>
        <v>7.07</v>
      </c>
      <c r="T130" s="127"/>
      <c r="U130" s="5" t="n">
        <f aca="false">A131-A130</f>
        <v>29</v>
      </c>
      <c r="V130" s="128" t="n">
        <f aca="false">CHOOSE(F$3,A131+24,A130)</f>
        <v>40940</v>
      </c>
      <c r="W130" s="5" t="n">
        <f aca="false">V130-C$3</f>
        <v>3709</v>
      </c>
      <c r="X130" s="124" t="n">
        <f aca="false">VLOOKUP($A130,Table,MATCH(X$4,Curves,0))</f>
        <v>2</v>
      </c>
      <c r="Y130" s="129" t="n">
        <f aca="false">1/(1+CHOOSE(F$3,(X131+($K$3/10000))/2,(X130+($K$3/10000))/2))^(2*W130/365.25)</f>
        <v>7.69605721847919E-007</v>
      </c>
      <c r="Z130" s="5" t="n">
        <f aca="false">IF(AND(mthbeg&lt;=A130,mthend&gt;=A130),1,0)</f>
        <v>0</v>
      </c>
      <c r="AA130" s="5" t="n">
        <f aca="false">U130*Z130</f>
        <v>0</v>
      </c>
      <c r="AC130" s="115" t="n">
        <f aca="false">IF(G123=2,F130*(S130-Q130),F130*(Q130-S130))</f>
        <v>0</v>
      </c>
      <c r="AE130" s="116" t="n">
        <f aca="false">IF($G$3=1,F130*(R130-Q130),F130*(Q130-R130))</f>
        <v>0</v>
      </c>
      <c r="AG130" s="116" t="n">
        <f aca="false">AC130+AE130</f>
        <v>0</v>
      </c>
    </row>
    <row r="131" customFormat="false" ht="12.75" hidden="false" customHeight="false" outlineLevel="0" collapsed="false">
      <c r="A131" s="120" t="n">
        <f aca="false">EDATE(A130,1)</f>
        <v>40969</v>
      </c>
      <c r="B131" s="121" t="e">
        <f aca="false">VLOOKUP(A131,'Inputs-Summary'!$A$32:$B$41,2,FALSE())</f>
        <v>#N/A</v>
      </c>
      <c r="C131" s="122"/>
      <c r="D131" s="123" t="e">
        <f aca="false">B131+C131</f>
        <v>#N/A</v>
      </c>
      <c r="E131" s="111" t="n">
        <f aca="false">IF(Z131=0,0,IF(AND(Z131=1,$H$3=1),D131*U131,IF($H$3=2,D131,"N/A")))</f>
        <v>0</v>
      </c>
      <c r="F131" s="111" t="n">
        <f aca="false">E131*Y131</f>
        <v>0</v>
      </c>
      <c r="G131" s="124" t="n">
        <f aca="false">VLOOKUP($A131,Table,MATCH(G$4,Curves,0))</f>
        <v>3</v>
      </c>
      <c r="H131" s="125" t="n">
        <f aca="false">G131+$H$7</f>
        <v>3</v>
      </c>
      <c r="I131" s="124" t="n">
        <f aca="false">H131</f>
        <v>3</v>
      </c>
      <c r="J131" s="124" t="n">
        <f aca="false">VLOOKUP($A131,Table,MATCH(J$4,Curves,0))</f>
        <v>4</v>
      </c>
      <c r="K131" s="125" t="n">
        <f aca="false">J131+$K$7</f>
        <v>4</v>
      </c>
      <c r="L131" s="126" t="n">
        <f aca="false">K131</f>
        <v>4</v>
      </c>
      <c r="M131" s="124" t="n">
        <f aca="false">VLOOKUP($A131,Table,MATCH(M$4,Curves,0))</f>
        <v>4</v>
      </c>
      <c r="N131" s="125" t="n">
        <f aca="false">M131+$N$7</f>
        <v>4</v>
      </c>
      <c r="O131" s="126" t="n">
        <f aca="false">0.07</f>
        <v>0.07</v>
      </c>
      <c r="P131" s="114"/>
      <c r="Q131" s="126" t="n">
        <f aca="false">M131+J131+G131</f>
        <v>11</v>
      </c>
      <c r="R131" s="126" t="n">
        <f aca="false">N131+K131+H131</f>
        <v>11</v>
      </c>
      <c r="S131" s="126" t="n">
        <f aca="false">O131+L131+I131</f>
        <v>7.07</v>
      </c>
      <c r="T131" s="127"/>
      <c r="U131" s="5" t="n">
        <f aca="false">A132-A131</f>
        <v>31</v>
      </c>
      <c r="V131" s="128" t="n">
        <f aca="false">CHOOSE(F$3,A132+24,A131)</f>
        <v>40969</v>
      </c>
      <c r="W131" s="5" t="n">
        <f aca="false">V131-C$3</f>
        <v>3738</v>
      </c>
      <c r="X131" s="124" t="n">
        <f aca="false">VLOOKUP($A131,Table,MATCH(X$4,Curves,0))</f>
        <v>2</v>
      </c>
      <c r="Y131" s="129" t="n">
        <f aca="false">1/(1+CHOOSE(F$3,(X132+($K$3/10000))/2,(X131+($K$3/10000))/2))^(2*W131/365.25)</f>
        <v>6.89391819592831E-007</v>
      </c>
      <c r="Z131" s="5" t="n">
        <f aca="false">IF(AND(mthbeg&lt;=A131,mthend&gt;=A131),1,0)</f>
        <v>0</v>
      </c>
      <c r="AA131" s="5" t="n">
        <f aca="false">U131*Z131</f>
        <v>0</v>
      </c>
      <c r="AC131" s="115" t="n">
        <f aca="false">IF(G124=2,F131*(S131-Q131),F131*(Q131-S131))</f>
        <v>0</v>
      </c>
      <c r="AE131" s="116" t="n">
        <f aca="false">IF($G$3=1,F131*(R131-Q131),F131*(Q131-R131))</f>
        <v>0</v>
      </c>
      <c r="AG131" s="116" t="n">
        <f aca="false">AC131+AE131</f>
        <v>0</v>
      </c>
    </row>
    <row r="132" customFormat="false" ht="12.75" hidden="false" customHeight="false" outlineLevel="0" collapsed="false">
      <c r="A132" s="120" t="n">
        <f aca="false">EDATE(A131,1)</f>
        <v>41000</v>
      </c>
      <c r="B132" s="121" t="e">
        <f aca="false">VLOOKUP(A132,'Inputs-Summary'!$A$32:$B$41,2,FALSE())</f>
        <v>#N/A</v>
      </c>
      <c r="C132" s="122"/>
      <c r="D132" s="123" t="e">
        <f aca="false">B132+C132</f>
        <v>#N/A</v>
      </c>
      <c r="E132" s="111" t="n">
        <f aca="false">IF(Z132=0,0,IF(AND(Z132=1,$H$3=1),D132*U132,IF($H$3=2,D132,"N/A")))</f>
        <v>0</v>
      </c>
      <c r="F132" s="111" t="n">
        <f aca="false">E132*Y132</f>
        <v>0</v>
      </c>
      <c r="G132" s="124" t="n">
        <f aca="false">VLOOKUP($A132,Table,MATCH(G$4,Curves,0))</f>
        <v>3</v>
      </c>
      <c r="H132" s="125" t="n">
        <f aca="false">G132+$H$7</f>
        <v>3</v>
      </c>
      <c r="I132" s="124" t="n">
        <f aca="false">H132</f>
        <v>3</v>
      </c>
      <c r="J132" s="124" t="n">
        <f aca="false">VLOOKUP($A132,Table,MATCH(J$4,Curves,0))</f>
        <v>4</v>
      </c>
      <c r="K132" s="125" t="n">
        <f aca="false">J132+$K$7</f>
        <v>4</v>
      </c>
      <c r="L132" s="126" t="n">
        <f aca="false">K132</f>
        <v>4</v>
      </c>
      <c r="M132" s="124" t="n">
        <f aca="false">VLOOKUP($A132,Table,MATCH(M$4,Curves,0))</f>
        <v>4</v>
      </c>
      <c r="N132" s="125" t="n">
        <f aca="false">M132+$N$7</f>
        <v>4</v>
      </c>
      <c r="O132" s="126" t="n">
        <f aca="false">0.07</f>
        <v>0.07</v>
      </c>
      <c r="P132" s="114"/>
      <c r="Q132" s="126" t="n">
        <f aca="false">M132+J132+G132</f>
        <v>11</v>
      </c>
      <c r="R132" s="126" t="n">
        <f aca="false">N132+K132+H132</f>
        <v>11</v>
      </c>
      <c r="S132" s="126" t="n">
        <f aca="false">O132+L132+I132</f>
        <v>7.07</v>
      </c>
      <c r="T132" s="127"/>
      <c r="U132" s="5" t="n">
        <f aca="false">A133-A132</f>
        <v>30</v>
      </c>
      <c r="V132" s="128" t="n">
        <f aca="false">CHOOSE(F$3,A133+24,A132)</f>
        <v>41000</v>
      </c>
      <c r="W132" s="5" t="n">
        <f aca="false">V132-C$3</f>
        <v>3769</v>
      </c>
      <c r="X132" s="124" t="n">
        <f aca="false">VLOOKUP($A132,Table,MATCH(X$4,Curves,0))</f>
        <v>2</v>
      </c>
      <c r="Y132" s="129" t="n">
        <f aca="false">1/(1+CHOOSE(F$3,(X133+($K$3/10000))/2,(X132+($K$3/10000))/2))^(2*W132/365.25)</f>
        <v>6.12868447003134E-007</v>
      </c>
      <c r="Z132" s="5" t="n">
        <f aca="false">IF(AND(mthbeg&lt;=A132,mthend&gt;=A132),1,0)</f>
        <v>0</v>
      </c>
      <c r="AA132" s="5" t="n">
        <f aca="false">U132*Z132</f>
        <v>0</v>
      </c>
      <c r="AC132" s="115" t="n">
        <f aca="false">IF(G125=2,F132*(S132-Q132),F132*(Q132-S132))</f>
        <v>0</v>
      </c>
      <c r="AE132" s="116" t="n">
        <f aca="false">IF($G$3=1,F132*(R132-Q132),F132*(Q132-R132))</f>
        <v>0</v>
      </c>
      <c r="AG132" s="116" t="n">
        <f aca="false">AC132+AE132</f>
        <v>0</v>
      </c>
    </row>
    <row r="133" customFormat="false" ht="12.75" hidden="false" customHeight="false" outlineLevel="0" collapsed="false">
      <c r="A133" s="120" t="n">
        <f aca="false">EDATE(A132,1)</f>
        <v>41030</v>
      </c>
      <c r="B133" s="121" t="e">
        <f aca="false">VLOOKUP(A133,'Inputs-Summary'!$A$32:$B$41,2,FALSE())</f>
        <v>#N/A</v>
      </c>
      <c r="C133" s="122"/>
      <c r="D133" s="123" t="e">
        <f aca="false">B133+C133</f>
        <v>#N/A</v>
      </c>
      <c r="E133" s="111" t="n">
        <f aca="false">IF(Z133=0,0,IF(AND(Z133=1,$H$3=1),D133*U133,IF($H$3=2,D133,"N/A")))</f>
        <v>0</v>
      </c>
      <c r="F133" s="111" t="n">
        <f aca="false">E133*Y133</f>
        <v>0</v>
      </c>
      <c r="G133" s="124" t="n">
        <f aca="false">VLOOKUP($A133,Table,MATCH(G$4,Curves,0))</f>
        <v>3</v>
      </c>
      <c r="H133" s="125" t="n">
        <f aca="false">G133+$H$7</f>
        <v>3</v>
      </c>
      <c r="I133" s="124" t="n">
        <f aca="false">H133</f>
        <v>3</v>
      </c>
      <c r="J133" s="124" t="n">
        <f aca="false">VLOOKUP($A133,Table,MATCH(J$4,Curves,0))</f>
        <v>4</v>
      </c>
      <c r="K133" s="125" t="n">
        <f aca="false">J133+$K$7</f>
        <v>4</v>
      </c>
      <c r="L133" s="126" t="n">
        <f aca="false">K133</f>
        <v>4</v>
      </c>
      <c r="M133" s="124" t="n">
        <f aca="false">VLOOKUP($A133,Table,MATCH(M$4,Curves,0))</f>
        <v>4</v>
      </c>
      <c r="N133" s="125" t="n">
        <f aca="false">M133+$N$7</f>
        <v>4</v>
      </c>
      <c r="O133" s="126" t="n">
        <f aca="false">0.07</f>
        <v>0.07</v>
      </c>
      <c r="P133" s="114"/>
      <c r="Q133" s="126" t="n">
        <f aca="false">M133+J133+G133</f>
        <v>11</v>
      </c>
      <c r="R133" s="126" t="n">
        <f aca="false">N133+K133+H133</f>
        <v>11</v>
      </c>
      <c r="S133" s="126" t="n">
        <f aca="false">O133+L133+I133</f>
        <v>7.07</v>
      </c>
      <c r="T133" s="127"/>
      <c r="U133" s="5" t="n">
        <f aca="false">A134-A133</f>
        <v>31</v>
      </c>
      <c r="V133" s="128" t="n">
        <f aca="false">CHOOSE(F$3,A134+24,A133)</f>
        <v>41030</v>
      </c>
      <c r="W133" s="5" t="n">
        <f aca="false">V133-C$3</f>
        <v>3799</v>
      </c>
      <c r="X133" s="124" t="n">
        <f aca="false">VLOOKUP($A133,Table,MATCH(X$4,Curves,0))</f>
        <v>2</v>
      </c>
      <c r="Y133" s="129" t="n">
        <f aca="false">1/(1+CHOOSE(F$3,(X134+($K$3/10000))/2,(X133+($K$3/10000))/2))^(2*W133/365.25)</f>
        <v>5.46911115365271E-007</v>
      </c>
      <c r="Z133" s="5" t="n">
        <f aca="false">IF(AND(mthbeg&lt;=A133,mthend&gt;=A133),1,0)</f>
        <v>0</v>
      </c>
      <c r="AA133" s="5" t="n">
        <f aca="false">U133*Z133</f>
        <v>0</v>
      </c>
      <c r="AC133" s="115" t="n">
        <f aca="false">IF(G126=2,F133*(S133-Q133),F133*(Q133-S133))</f>
        <v>0</v>
      </c>
      <c r="AE133" s="116" t="n">
        <f aca="false">IF($G$3=1,F133*(R133-Q133),F133*(Q133-R133))</f>
        <v>0</v>
      </c>
      <c r="AG133" s="116" t="n">
        <f aca="false">AC133+AE133</f>
        <v>0</v>
      </c>
    </row>
    <row r="134" customFormat="false" ht="12.75" hidden="false" customHeight="false" outlineLevel="0" collapsed="false">
      <c r="A134" s="120" t="n">
        <f aca="false">EDATE(A133,1)</f>
        <v>41061</v>
      </c>
      <c r="B134" s="121" t="e">
        <f aca="false">VLOOKUP(A134,'Inputs-Summary'!$A$32:$B$41,2,FALSE())</f>
        <v>#N/A</v>
      </c>
      <c r="C134" s="122"/>
      <c r="D134" s="123" t="e">
        <f aca="false">B134+C134</f>
        <v>#N/A</v>
      </c>
      <c r="E134" s="111" t="n">
        <f aca="false">IF(Z134=0,0,IF(AND(Z134=1,$H$3=1),D134*U134,IF($H$3=2,D134,"N/A")))</f>
        <v>0</v>
      </c>
      <c r="F134" s="111" t="n">
        <f aca="false">E134*Y134</f>
        <v>0</v>
      </c>
      <c r="G134" s="124" t="n">
        <f aca="false">VLOOKUP($A134,Table,MATCH(G$4,Curves,0))</f>
        <v>3</v>
      </c>
      <c r="H134" s="125" t="n">
        <f aca="false">G134+$H$7</f>
        <v>3</v>
      </c>
      <c r="I134" s="124" t="n">
        <f aca="false">H134</f>
        <v>3</v>
      </c>
      <c r="J134" s="124" t="n">
        <f aca="false">VLOOKUP($A134,Table,MATCH(J$4,Curves,0))</f>
        <v>4</v>
      </c>
      <c r="K134" s="125" t="n">
        <f aca="false">J134+$K$7</f>
        <v>4</v>
      </c>
      <c r="L134" s="126" t="n">
        <f aca="false">K134</f>
        <v>4</v>
      </c>
      <c r="M134" s="124" t="n">
        <f aca="false">VLOOKUP($A134,Table,MATCH(M$4,Curves,0))</f>
        <v>4</v>
      </c>
      <c r="N134" s="125" t="n">
        <f aca="false">M134+$N$7</f>
        <v>4</v>
      </c>
      <c r="O134" s="126" t="n">
        <f aca="false">0.07</f>
        <v>0.07</v>
      </c>
      <c r="P134" s="114"/>
      <c r="Q134" s="126" t="n">
        <f aca="false">M134+J134+G134</f>
        <v>11</v>
      </c>
      <c r="R134" s="126" t="n">
        <f aca="false">N134+K134+H134</f>
        <v>11</v>
      </c>
      <c r="S134" s="126" t="n">
        <f aca="false">O134+L134+I134</f>
        <v>7.07</v>
      </c>
      <c r="T134" s="127"/>
      <c r="U134" s="5" t="n">
        <f aca="false">A135-A134</f>
        <v>30</v>
      </c>
      <c r="V134" s="128" t="n">
        <f aca="false">CHOOSE(F$3,A135+24,A134)</f>
        <v>41061</v>
      </c>
      <c r="W134" s="5" t="n">
        <f aca="false">V134-C$3</f>
        <v>3830</v>
      </c>
      <c r="X134" s="124" t="n">
        <f aca="false">VLOOKUP($A134,Table,MATCH(X$4,Curves,0))</f>
        <v>2</v>
      </c>
      <c r="Y134" s="129" t="n">
        <f aca="false">1/(1+CHOOSE(F$3,(X135+($K$3/10000))/2,(X134+($K$3/10000))/2))^(2*W134/365.25)</f>
        <v>4.86203282946746E-007</v>
      </c>
      <c r="Z134" s="5" t="n">
        <f aca="false">IF(AND(mthbeg&lt;=A134,mthend&gt;=A134),1,0)</f>
        <v>0</v>
      </c>
      <c r="AA134" s="5" t="n">
        <f aca="false">U134*Z134</f>
        <v>0</v>
      </c>
      <c r="AC134" s="115" t="n">
        <f aca="false">IF(G127=2,F134*(S134-Q134),F134*(Q134-S134))</f>
        <v>0</v>
      </c>
      <c r="AE134" s="116" t="n">
        <f aca="false">IF($G$3=1,F134*(R134-Q134),F134*(Q134-R134))</f>
        <v>0</v>
      </c>
      <c r="AG134" s="116" t="n">
        <f aca="false">AC134+AE134</f>
        <v>0</v>
      </c>
    </row>
    <row r="135" customFormat="false" ht="12.75" hidden="false" customHeight="false" outlineLevel="0" collapsed="false">
      <c r="A135" s="120" t="n">
        <f aca="false">EDATE(A134,1)</f>
        <v>41091</v>
      </c>
      <c r="B135" s="121" t="e">
        <f aca="false">VLOOKUP(A135,'Inputs-Summary'!$A$32:$B$41,2,FALSE())</f>
        <v>#N/A</v>
      </c>
      <c r="C135" s="122"/>
      <c r="D135" s="123" t="e">
        <f aca="false">B135+C135</f>
        <v>#N/A</v>
      </c>
      <c r="E135" s="111" t="n">
        <f aca="false">IF(Z135=0,0,IF(AND(Z135=1,$H$3=1),D135*U135,IF($H$3=2,D135,"N/A")))</f>
        <v>0</v>
      </c>
      <c r="F135" s="111" t="n">
        <f aca="false">E135*Y135</f>
        <v>0</v>
      </c>
      <c r="G135" s="124" t="n">
        <f aca="false">VLOOKUP($A135,Table,MATCH(G$4,Curves,0))</f>
        <v>3</v>
      </c>
      <c r="H135" s="125" t="n">
        <f aca="false">G135+$H$7</f>
        <v>3</v>
      </c>
      <c r="I135" s="124" t="n">
        <f aca="false">H135</f>
        <v>3</v>
      </c>
      <c r="J135" s="124" t="n">
        <f aca="false">VLOOKUP($A135,Table,MATCH(J$4,Curves,0))</f>
        <v>4</v>
      </c>
      <c r="K135" s="125" t="n">
        <f aca="false">J135+$K$7</f>
        <v>4</v>
      </c>
      <c r="L135" s="126" t="n">
        <f aca="false">K135</f>
        <v>4</v>
      </c>
      <c r="M135" s="124" t="n">
        <f aca="false">VLOOKUP($A135,Table,MATCH(M$4,Curves,0))</f>
        <v>4</v>
      </c>
      <c r="N135" s="125" t="n">
        <f aca="false">M135+$N$7</f>
        <v>4</v>
      </c>
      <c r="O135" s="126" t="n">
        <f aca="false">0.07</f>
        <v>0.07</v>
      </c>
      <c r="P135" s="114"/>
      <c r="Q135" s="126" t="n">
        <f aca="false">M135+J135+G135</f>
        <v>11</v>
      </c>
      <c r="R135" s="126" t="n">
        <f aca="false">N135+K135+H135</f>
        <v>11</v>
      </c>
      <c r="S135" s="126" t="n">
        <f aca="false">O135+L135+I135</f>
        <v>7.07</v>
      </c>
      <c r="T135" s="127"/>
      <c r="U135" s="5" t="n">
        <f aca="false">A136-A135</f>
        <v>31</v>
      </c>
      <c r="V135" s="128" t="n">
        <f aca="false">CHOOSE(F$3,A136+24,A135)</f>
        <v>41091</v>
      </c>
      <c r="W135" s="5" t="n">
        <f aca="false">V135-C$3</f>
        <v>3860</v>
      </c>
      <c r="X135" s="124" t="n">
        <f aca="false">VLOOKUP($A135,Table,MATCH(X$4,Curves,0))</f>
        <v>2</v>
      </c>
      <c r="Y135" s="129" t="n">
        <f aca="false">1/(1+CHOOSE(F$3,(X136+($K$3/10000))/2,(X135+($K$3/10000))/2))^(2*W135/365.25)</f>
        <v>4.33877745005368E-007</v>
      </c>
      <c r="Z135" s="5" t="n">
        <f aca="false">IF(AND(mthbeg&lt;=A135,mthend&gt;=A135),1,0)</f>
        <v>0</v>
      </c>
      <c r="AA135" s="5" t="n">
        <f aca="false">U135*Z135</f>
        <v>0</v>
      </c>
      <c r="AC135" s="115" t="n">
        <f aca="false">IF(G128=2,F135*(S135-Q135),F135*(Q135-S135))</f>
        <v>0</v>
      </c>
      <c r="AE135" s="116" t="n">
        <f aca="false">IF($G$3=1,F135*(R135-Q135),F135*(Q135-R135))</f>
        <v>0</v>
      </c>
      <c r="AG135" s="116" t="n">
        <f aca="false">AC135+AE135</f>
        <v>0</v>
      </c>
    </row>
    <row r="136" customFormat="false" ht="12.75" hidden="false" customHeight="false" outlineLevel="0" collapsed="false">
      <c r="A136" s="120" t="n">
        <f aca="false">EDATE(A135,1)</f>
        <v>41122</v>
      </c>
      <c r="B136" s="121" t="e">
        <f aca="false">VLOOKUP(A136,'Inputs-Summary'!$A$32:$B$41,2,FALSE())</f>
        <v>#N/A</v>
      </c>
      <c r="C136" s="122"/>
      <c r="D136" s="123" t="e">
        <f aca="false">B136+C136</f>
        <v>#N/A</v>
      </c>
      <c r="E136" s="111" t="n">
        <f aca="false">IF(Z136=0,0,IF(AND(Z136=1,$H$3=1),D136*U136,IF($H$3=2,D136,"N/A")))</f>
        <v>0</v>
      </c>
      <c r="F136" s="111" t="n">
        <f aca="false">E136*Y136</f>
        <v>0</v>
      </c>
      <c r="G136" s="124" t="n">
        <f aca="false">VLOOKUP($A136,Table,MATCH(G$4,Curves,0))</f>
        <v>3</v>
      </c>
      <c r="H136" s="125" t="n">
        <f aca="false">G136+$H$7</f>
        <v>3</v>
      </c>
      <c r="I136" s="124" t="n">
        <f aca="false">H136</f>
        <v>3</v>
      </c>
      <c r="J136" s="124" t="n">
        <f aca="false">VLOOKUP($A136,Table,MATCH(J$4,Curves,0))</f>
        <v>4</v>
      </c>
      <c r="K136" s="125" t="n">
        <f aca="false">J136+$K$7</f>
        <v>4</v>
      </c>
      <c r="L136" s="126" t="n">
        <f aca="false">K136</f>
        <v>4</v>
      </c>
      <c r="M136" s="124" t="n">
        <f aca="false">VLOOKUP($A136,Table,MATCH(M$4,Curves,0))</f>
        <v>4</v>
      </c>
      <c r="N136" s="125" t="n">
        <f aca="false">M136+$N$7</f>
        <v>4</v>
      </c>
      <c r="O136" s="126" t="n">
        <f aca="false">0.07</f>
        <v>0.07</v>
      </c>
      <c r="P136" s="114"/>
      <c r="Q136" s="126" t="n">
        <f aca="false">M136+J136+G136</f>
        <v>11</v>
      </c>
      <c r="R136" s="126" t="n">
        <f aca="false">N136+K136+H136</f>
        <v>11</v>
      </c>
      <c r="S136" s="126" t="n">
        <f aca="false">O136+L136+I136</f>
        <v>7.07</v>
      </c>
      <c r="T136" s="127"/>
      <c r="U136" s="5" t="n">
        <f aca="false">A137-A136</f>
        <v>31</v>
      </c>
      <c r="V136" s="128" t="n">
        <f aca="false">CHOOSE(F$3,A137+24,A136)</f>
        <v>41122</v>
      </c>
      <c r="W136" s="5" t="n">
        <f aca="false">V136-C$3</f>
        <v>3891</v>
      </c>
      <c r="X136" s="124" t="n">
        <f aca="false">VLOOKUP($A136,Table,MATCH(X$4,Curves,0))</f>
        <v>2</v>
      </c>
      <c r="Y136" s="129" t="n">
        <f aca="false">1/(1+CHOOSE(F$3,(X137+($K$3/10000))/2,(X136+($K$3/10000))/2))^(2*W136/365.25)</f>
        <v>3.85716761083289E-007</v>
      </c>
      <c r="Z136" s="5" t="n">
        <f aca="false">IF(AND(mthbeg&lt;=A136,mthend&gt;=A136),1,0)</f>
        <v>0</v>
      </c>
      <c r="AA136" s="5" t="n">
        <f aca="false">U136*Z136</f>
        <v>0</v>
      </c>
      <c r="AC136" s="115" t="n">
        <f aca="false">IF(G129=2,F136*(S136-Q136),F136*(Q136-S136))</f>
        <v>0</v>
      </c>
      <c r="AE136" s="116" t="n">
        <f aca="false">IF($G$3=1,F136*(R136-Q136),F136*(Q136-R136))</f>
        <v>0</v>
      </c>
      <c r="AG136" s="116" t="n">
        <f aca="false">AC136+AE136</f>
        <v>0</v>
      </c>
    </row>
    <row r="137" customFormat="false" ht="12.75" hidden="false" customHeight="false" outlineLevel="0" collapsed="false">
      <c r="A137" s="120" t="n">
        <f aca="false">EDATE(A136,1)</f>
        <v>41153</v>
      </c>
      <c r="B137" s="121" t="e">
        <f aca="false">VLOOKUP(A137,'Inputs-Summary'!$A$32:$B$41,2,FALSE())</f>
        <v>#N/A</v>
      </c>
      <c r="C137" s="122"/>
      <c r="D137" s="123" t="e">
        <f aca="false">B137+C137</f>
        <v>#N/A</v>
      </c>
      <c r="E137" s="111" t="n">
        <f aca="false">IF(Z137=0,0,IF(AND(Z137=1,$H$3=1),D137*U137,IF($H$3=2,D137,"N/A")))</f>
        <v>0</v>
      </c>
      <c r="F137" s="111" t="n">
        <f aca="false">E137*Y137</f>
        <v>0</v>
      </c>
      <c r="G137" s="124" t="n">
        <f aca="false">VLOOKUP($A137,Table,MATCH(G$4,Curves,0))</f>
        <v>3</v>
      </c>
      <c r="H137" s="125" t="n">
        <f aca="false">G137+$H$7</f>
        <v>3</v>
      </c>
      <c r="I137" s="124" t="n">
        <f aca="false">H137</f>
        <v>3</v>
      </c>
      <c r="J137" s="124" t="n">
        <f aca="false">VLOOKUP($A137,Table,MATCH(J$4,Curves,0))</f>
        <v>4</v>
      </c>
      <c r="K137" s="125" t="n">
        <f aca="false">J137+$K$7</f>
        <v>4</v>
      </c>
      <c r="L137" s="126" t="n">
        <f aca="false">K137</f>
        <v>4</v>
      </c>
      <c r="M137" s="124" t="n">
        <f aca="false">VLOOKUP($A137,Table,MATCH(M$4,Curves,0))</f>
        <v>4</v>
      </c>
      <c r="N137" s="125" t="n">
        <f aca="false">M137+$N$7</f>
        <v>4</v>
      </c>
      <c r="O137" s="126" t="n">
        <f aca="false">0.07</f>
        <v>0.07</v>
      </c>
      <c r="P137" s="114"/>
      <c r="Q137" s="126" t="n">
        <f aca="false">M137+J137+G137</f>
        <v>11</v>
      </c>
      <c r="R137" s="126" t="n">
        <f aca="false">N137+K137+H137</f>
        <v>11</v>
      </c>
      <c r="S137" s="126" t="n">
        <f aca="false">O137+L137+I137</f>
        <v>7.07</v>
      </c>
      <c r="T137" s="127"/>
      <c r="U137" s="5" t="n">
        <f aca="false">A138-A137</f>
        <v>30</v>
      </c>
      <c r="V137" s="128" t="n">
        <f aca="false">CHOOSE(F$3,A138+24,A137)</f>
        <v>41153</v>
      </c>
      <c r="W137" s="5" t="n">
        <f aca="false">V137-C$3</f>
        <v>3922</v>
      </c>
      <c r="X137" s="124" t="n">
        <f aca="false">VLOOKUP($A137,Table,MATCH(X$4,Curves,0))</f>
        <v>2</v>
      </c>
      <c r="Y137" s="129" t="n">
        <f aca="false">1/(1+CHOOSE(F$3,(X138+($K$3/10000))/2,(X137+($K$3/10000))/2))^(2*W137/365.25)</f>
        <v>3.42901707896407E-007</v>
      </c>
      <c r="Z137" s="5" t="n">
        <f aca="false">IF(AND(mthbeg&lt;=A137,mthend&gt;=A137),1,0)</f>
        <v>0</v>
      </c>
      <c r="AA137" s="5" t="n">
        <f aca="false">U137*Z137</f>
        <v>0</v>
      </c>
      <c r="AC137" s="115" t="n">
        <f aca="false">IF(G130=2,F137*(S137-Q137),F137*(Q137-S137))</f>
        <v>0</v>
      </c>
      <c r="AE137" s="116" t="n">
        <f aca="false">IF($G$3=1,F137*(R137-Q137),F137*(Q137-R137))</f>
        <v>0</v>
      </c>
      <c r="AG137" s="116" t="n">
        <f aca="false">AC137+AE137</f>
        <v>0</v>
      </c>
    </row>
    <row r="138" customFormat="false" ht="12.75" hidden="false" customHeight="false" outlineLevel="0" collapsed="false">
      <c r="A138" s="120" t="n">
        <f aca="false">EDATE(A137,1)</f>
        <v>41183</v>
      </c>
      <c r="B138" s="121" t="e">
        <f aca="false">VLOOKUP(A138,'Inputs-Summary'!$A$32:$B$41,2,FALSE())</f>
        <v>#N/A</v>
      </c>
      <c r="C138" s="122"/>
      <c r="D138" s="123" t="e">
        <f aca="false">B138+C138</f>
        <v>#N/A</v>
      </c>
      <c r="E138" s="111" t="n">
        <f aca="false">IF(Z138=0,0,IF(AND(Z138=1,$H$3=1),D138*U138,IF($H$3=2,D138,"N/A")))</f>
        <v>0</v>
      </c>
      <c r="F138" s="111" t="n">
        <f aca="false">E138*Y138</f>
        <v>0</v>
      </c>
      <c r="G138" s="124" t="n">
        <f aca="false">VLOOKUP($A138,Table,MATCH(G$4,Curves,0))</f>
        <v>3</v>
      </c>
      <c r="H138" s="125" t="n">
        <f aca="false">G138+$H$7</f>
        <v>3</v>
      </c>
      <c r="I138" s="124" t="n">
        <f aca="false">H138</f>
        <v>3</v>
      </c>
      <c r="J138" s="124" t="n">
        <f aca="false">VLOOKUP($A138,Table,MATCH(J$4,Curves,0))</f>
        <v>4</v>
      </c>
      <c r="K138" s="125" t="n">
        <f aca="false">J138+$K$7</f>
        <v>4</v>
      </c>
      <c r="L138" s="126" t="n">
        <f aca="false">K138</f>
        <v>4</v>
      </c>
      <c r="M138" s="124" t="n">
        <f aca="false">VLOOKUP($A138,Table,MATCH(M$4,Curves,0))</f>
        <v>4</v>
      </c>
      <c r="N138" s="125" t="n">
        <f aca="false">M138+$N$7</f>
        <v>4</v>
      </c>
      <c r="O138" s="126" t="n">
        <f aca="false">0.07</f>
        <v>0.07</v>
      </c>
      <c r="P138" s="114"/>
      <c r="Q138" s="126" t="n">
        <f aca="false">M138+J138+G138</f>
        <v>11</v>
      </c>
      <c r="R138" s="126" t="n">
        <f aca="false">N138+K138+H138</f>
        <v>11</v>
      </c>
      <c r="S138" s="126" t="n">
        <f aca="false">O138+L138+I138</f>
        <v>7.07</v>
      </c>
      <c r="T138" s="127"/>
      <c r="U138" s="5" t="n">
        <f aca="false">A139-A138</f>
        <v>31</v>
      </c>
      <c r="V138" s="128" t="n">
        <f aca="false">CHOOSE(F$3,A139+24,A138)</f>
        <v>41183</v>
      </c>
      <c r="W138" s="5" t="n">
        <f aca="false">V138-C$3</f>
        <v>3952</v>
      </c>
      <c r="X138" s="124" t="n">
        <f aca="false">VLOOKUP($A138,Table,MATCH(X$4,Curves,0))</f>
        <v>2</v>
      </c>
      <c r="Y138" s="129" t="n">
        <f aca="false">1/(1+CHOOSE(F$3,(X139+($K$3/10000))/2,(X138+($K$3/10000))/2))^(2*W138/365.25)</f>
        <v>3.05998385858038E-007</v>
      </c>
      <c r="Z138" s="5" t="n">
        <f aca="false">IF(AND(mthbeg&lt;=A138,mthend&gt;=A138),1,0)</f>
        <v>0</v>
      </c>
      <c r="AA138" s="5" t="n">
        <f aca="false">U138*Z138</f>
        <v>0</v>
      </c>
      <c r="AC138" s="115" t="n">
        <f aca="false">IF(G131=2,F138*(S138-Q138),F138*(Q138-S138))</f>
        <v>0</v>
      </c>
      <c r="AE138" s="116" t="n">
        <f aca="false">IF($G$3=1,F138*(R138-Q138),F138*(Q138-R138))</f>
        <v>0</v>
      </c>
      <c r="AG138" s="116" t="n">
        <f aca="false">AC138+AE138</f>
        <v>0</v>
      </c>
    </row>
    <row r="139" customFormat="false" ht="12.75" hidden="false" customHeight="false" outlineLevel="0" collapsed="false">
      <c r="A139" s="120" t="n">
        <f aca="false">EDATE(A138,1)</f>
        <v>41214</v>
      </c>
      <c r="B139" s="121" t="e">
        <f aca="false">VLOOKUP(A139,'Inputs-Summary'!$A$32:$B$41,2,FALSE())</f>
        <v>#N/A</v>
      </c>
      <c r="C139" s="122"/>
      <c r="D139" s="123" t="e">
        <f aca="false">B139+C139</f>
        <v>#N/A</v>
      </c>
      <c r="E139" s="111" t="n">
        <f aca="false">IF(Z139=0,0,IF(AND(Z139=1,$H$3=1),D139*U139,IF($H$3=2,D139,"N/A")))</f>
        <v>0</v>
      </c>
      <c r="F139" s="111" t="n">
        <f aca="false">E139*Y139</f>
        <v>0</v>
      </c>
      <c r="G139" s="124" t="n">
        <f aca="false">VLOOKUP($A139,Table,MATCH(G$4,Curves,0))</f>
        <v>3</v>
      </c>
      <c r="H139" s="125" t="n">
        <f aca="false">G139+$H$7</f>
        <v>3</v>
      </c>
      <c r="I139" s="124" t="n">
        <f aca="false">H139</f>
        <v>3</v>
      </c>
      <c r="J139" s="124" t="n">
        <f aca="false">VLOOKUP($A139,Table,MATCH(J$4,Curves,0))</f>
        <v>4</v>
      </c>
      <c r="K139" s="125" t="n">
        <f aca="false">J139+$K$7</f>
        <v>4</v>
      </c>
      <c r="L139" s="126" t="n">
        <f aca="false">K139</f>
        <v>4</v>
      </c>
      <c r="M139" s="124" t="n">
        <f aca="false">VLOOKUP($A139,Table,MATCH(M$4,Curves,0))</f>
        <v>4</v>
      </c>
      <c r="N139" s="125" t="n">
        <f aca="false">M139+$N$7</f>
        <v>4</v>
      </c>
      <c r="O139" s="126" t="n">
        <f aca="false">0.07</f>
        <v>0.07</v>
      </c>
      <c r="P139" s="114"/>
      <c r="Q139" s="126" t="n">
        <f aca="false">M139+J139+G139</f>
        <v>11</v>
      </c>
      <c r="R139" s="126" t="n">
        <f aca="false">N139+K139+H139</f>
        <v>11</v>
      </c>
      <c r="S139" s="126" t="n">
        <f aca="false">O139+L139+I139</f>
        <v>7.07</v>
      </c>
      <c r="T139" s="127"/>
      <c r="U139" s="5" t="n">
        <f aca="false">A140-A139</f>
        <v>30</v>
      </c>
      <c r="V139" s="128" t="n">
        <f aca="false">CHOOSE(F$3,A140+24,A139)</f>
        <v>41214</v>
      </c>
      <c r="W139" s="5" t="n">
        <f aca="false">V139-C$3</f>
        <v>3983</v>
      </c>
      <c r="X139" s="124" t="n">
        <f aca="false">VLOOKUP($A139,Table,MATCH(X$4,Curves,0))</f>
        <v>2</v>
      </c>
      <c r="Y139" s="129" t="n">
        <f aca="false">1/(1+CHOOSE(F$3,(X140+($K$3/10000))/2,(X139+($K$3/10000))/2))^(2*W139/365.25)</f>
        <v>2.72032174151768E-007</v>
      </c>
      <c r="Z139" s="5" t="n">
        <f aca="false">IF(AND(mthbeg&lt;=A139,mthend&gt;=A139),1,0)</f>
        <v>0</v>
      </c>
      <c r="AA139" s="5" t="n">
        <f aca="false">U139*Z139</f>
        <v>0</v>
      </c>
      <c r="AC139" s="115" t="n">
        <f aca="false">IF(G132=2,F139*(S139-Q139),F139*(Q139-S139))</f>
        <v>0</v>
      </c>
      <c r="AE139" s="116" t="n">
        <f aca="false">IF($G$3=1,F139*(R139-Q139),F139*(Q139-R139))</f>
        <v>0</v>
      </c>
      <c r="AG139" s="116" t="n">
        <f aca="false">AC139+AE139</f>
        <v>0</v>
      </c>
    </row>
    <row r="140" customFormat="false" ht="12.75" hidden="false" customHeight="false" outlineLevel="0" collapsed="false">
      <c r="A140" s="120" t="n">
        <f aca="false">EDATE(A139,1)</f>
        <v>41244</v>
      </c>
      <c r="B140" s="121" t="e">
        <f aca="false">VLOOKUP(A140,'Inputs-Summary'!$A$32:$B$41,2,FALSE())</f>
        <v>#N/A</v>
      </c>
      <c r="C140" s="122"/>
      <c r="D140" s="123" t="e">
        <f aca="false">B140+C140</f>
        <v>#N/A</v>
      </c>
      <c r="E140" s="111" t="n">
        <f aca="false">IF(Z140=0,0,IF(AND(Z140=1,$H$3=1),D140*U140,IF($H$3=2,D140,"N/A")))</f>
        <v>0</v>
      </c>
      <c r="F140" s="111" t="n">
        <f aca="false">E140*Y140</f>
        <v>0</v>
      </c>
      <c r="G140" s="124" t="n">
        <f aca="false">VLOOKUP($A140,Table,MATCH(G$4,Curves,0))</f>
        <v>3</v>
      </c>
      <c r="H140" s="125" t="n">
        <f aca="false">G140+$H$7</f>
        <v>3</v>
      </c>
      <c r="I140" s="124" t="n">
        <f aca="false">H140</f>
        <v>3</v>
      </c>
      <c r="J140" s="124" t="n">
        <f aca="false">VLOOKUP($A140,Table,MATCH(J$4,Curves,0))</f>
        <v>4</v>
      </c>
      <c r="K140" s="125" t="n">
        <f aca="false">J140+$K$7</f>
        <v>4</v>
      </c>
      <c r="L140" s="126" t="n">
        <f aca="false">K140</f>
        <v>4</v>
      </c>
      <c r="M140" s="124" t="n">
        <f aca="false">VLOOKUP($A140,Table,MATCH(M$4,Curves,0))</f>
        <v>4</v>
      </c>
      <c r="N140" s="125" t="n">
        <f aca="false">M140+$N$7</f>
        <v>4</v>
      </c>
      <c r="O140" s="126" t="n">
        <f aca="false">0.07</f>
        <v>0.07</v>
      </c>
      <c r="P140" s="114"/>
      <c r="Q140" s="126" t="n">
        <f aca="false">M140+J140+G140</f>
        <v>11</v>
      </c>
      <c r="R140" s="126" t="n">
        <f aca="false">N140+K140+H140</f>
        <v>11</v>
      </c>
      <c r="S140" s="126" t="n">
        <f aca="false">O140+L140+I140</f>
        <v>7.07</v>
      </c>
      <c r="T140" s="127"/>
      <c r="U140" s="5" t="n">
        <f aca="false">A141-A140</f>
        <v>31</v>
      </c>
      <c r="V140" s="128" t="n">
        <f aca="false">CHOOSE(F$3,A141+24,A140)</f>
        <v>41244</v>
      </c>
      <c r="W140" s="5" t="n">
        <f aca="false">V140-C$3</f>
        <v>4013</v>
      </c>
      <c r="X140" s="124" t="n">
        <f aca="false">VLOOKUP($A140,Table,MATCH(X$4,Curves,0))</f>
        <v>2</v>
      </c>
      <c r="Y140" s="129" t="n">
        <f aca="false">1/(1+CHOOSE(F$3,(X141+($K$3/10000))/2,(X140+($K$3/10000))/2))^(2*W140/365.25)</f>
        <v>2.42755880985699E-007</v>
      </c>
      <c r="Z140" s="5" t="n">
        <f aca="false">IF(AND(mthbeg&lt;=A140,mthend&gt;=A140),1,0)</f>
        <v>0</v>
      </c>
      <c r="AA140" s="5" t="n">
        <f aca="false">U140*Z140</f>
        <v>0</v>
      </c>
      <c r="AC140" s="115" t="n">
        <f aca="false">IF(G133=2,F140*(S140-Q140),F140*(Q140-S140))</f>
        <v>0</v>
      </c>
      <c r="AE140" s="116" t="n">
        <f aca="false">IF($G$3=1,F140*(R140-Q140),F140*(Q140-R140))</f>
        <v>0</v>
      </c>
      <c r="AG140" s="116" t="n">
        <f aca="false">AC140+AE140</f>
        <v>0</v>
      </c>
    </row>
    <row r="141" customFormat="false" ht="12.75" hidden="false" customHeight="false" outlineLevel="0" collapsed="false">
      <c r="A141" s="120" t="n">
        <f aca="false">EDATE(A140,1)</f>
        <v>41275</v>
      </c>
      <c r="B141" s="121" t="e">
        <f aca="false">VLOOKUP(A141,'Inputs-Summary'!$A$32:$B$41,2,FALSE())</f>
        <v>#N/A</v>
      </c>
      <c r="C141" s="122"/>
      <c r="D141" s="123" t="e">
        <f aca="false">B141+C141</f>
        <v>#N/A</v>
      </c>
      <c r="E141" s="111" t="n">
        <f aca="false">IF(Z141=0,0,IF(AND(Z141=1,$H$3=1),D141*U141,IF($H$3=2,D141,"N/A")))</f>
        <v>0</v>
      </c>
      <c r="F141" s="111" t="n">
        <f aca="false">E141*Y141</f>
        <v>0</v>
      </c>
      <c r="G141" s="124" t="n">
        <f aca="false">VLOOKUP($A141,Table,MATCH(G$4,Curves,0))</f>
        <v>3</v>
      </c>
      <c r="H141" s="125" t="n">
        <f aca="false">G141+$H$7</f>
        <v>3</v>
      </c>
      <c r="I141" s="124" t="n">
        <f aca="false">H141</f>
        <v>3</v>
      </c>
      <c r="J141" s="124" t="n">
        <f aca="false">VLOOKUP($A141,Table,MATCH(J$4,Curves,0))</f>
        <v>4</v>
      </c>
      <c r="K141" s="125" t="n">
        <f aca="false">J141+$K$7</f>
        <v>4</v>
      </c>
      <c r="L141" s="126" t="n">
        <f aca="false">K141</f>
        <v>4</v>
      </c>
      <c r="M141" s="124" t="n">
        <f aca="false">VLOOKUP($A141,Table,MATCH(M$4,Curves,0))</f>
        <v>4</v>
      </c>
      <c r="N141" s="125" t="n">
        <f aca="false">M141+$N$7</f>
        <v>4</v>
      </c>
      <c r="O141" s="126" t="n">
        <f aca="false">0.07</f>
        <v>0.07</v>
      </c>
      <c r="P141" s="114"/>
      <c r="Q141" s="126" t="n">
        <f aca="false">M141+J141+G141</f>
        <v>11</v>
      </c>
      <c r="R141" s="126" t="n">
        <f aca="false">N141+K141+H141</f>
        <v>11</v>
      </c>
      <c r="S141" s="126" t="n">
        <f aca="false">O141+L141+I141</f>
        <v>7.07</v>
      </c>
      <c r="T141" s="127"/>
      <c r="U141" s="5" t="n">
        <f aca="false">A142-A141</f>
        <v>31</v>
      </c>
      <c r="V141" s="128" t="n">
        <f aca="false">CHOOSE(F$3,A142+24,A141)</f>
        <v>41275</v>
      </c>
      <c r="W141" s="5" t="n">
        <f aca="false">V141-C$3</f>
        <v>4044</v>
      </c>
      <c r="X141" s="124" t="n">
        <f aca="false">VLOOKUP($A141,Table,MATCH(X$4,Curves,0))</f>
        <v>2</v>
      </c>
      <c r="Y141" s="129" t="n">
        <f aca="false">1/(1+CHOOSE(F$3,(X142+($K$3/10000))/2,(X141+($K$3/10000))/2))^(2*W141/365.25)</f>
        <v>2.15809668104931E-007</v>
      </c>
      <c r="Z141" s="5" t="n">
        <f aca="false">IF(AND(mthbeg&lt;=A141,mthend&gt;=A141),1,0)</f>
        <v>0</v>
      </c>
      <c r="AA141" s="5" t="n">
        <f aca="false">U141*Z141</f>
        <v>0</v>
      </c>
      <c r="AC141" s="115" t="n">
        <f aca="false">IF(G134=2,F141*(S141-Q141),F141*(Q141-S141))</f>
        <v>0</v>
      </c>
      <c r="AE141" s="116" t="n">
        <f aca="false">IF($G$3=1,F141*(R141-Q141),F141*(Q141-R141))</f>
        <v>0</v>
      </c>
      <c r="AG141" s="116" t="n">
        <f aca="false">AC141+AE141</f>
        <v>0</v>
      </c>
    </row>
    <row r="142" customFormat="false" ht="12.75" hidden="false" customHeight="false" outlineLevel="0" collapsed="false">
      <c r="A142" s="120" t="n">
        <f aca="false">EDATE(A141,1)</f>
        <v>41306</v>
      </c>
      <c r="B142" s="121" t="e">
        <f aca="false">VLOOKUP(A142,'Inputs-Summary'!$A$32:$B$41,2,FALSE())</f>
        <v>#N/A</v>
      </c>
      <c r="C142" s="122"/>
      <c r="D142" s="123" t="e">
        <f aca="false">B142+C142</f>
        <v>#N/A</v>
      </c>
      <c r="E142" s="111" t="n">
        <f aca="false">IF(Z142=0,0,IF(AND(Z142=1,$H$3=1),D142*U142,IF($H$3=2,D142,"N/A")))</f>
        <v>0</v>
      </c>
      <c r="F142" s="111" t="n">
        <f aca="false">E142*Y142</f>
        <v>0</v>
      </c>
      <c r="G142" s="124" t="n">
        <f aca="false">VLOOKUP($A142,Table,MATCH(G$4,Curves,0))</f>
        <v>3</v>
      </c>
      <c r="H142" s="125" t="n">
        <f aca="false">G142+$H$7</f>
        <v>3</v>
      </c>
      <c r="I142" s="124" t="n">
        <f aca="false">H142</f>
        <v>3</v>
      </c>
      <c r="J142" s="124" t="n">
        <f aca="false">VLOOKUP($A142,Table,MATCH(J$4,Curves,0))</f>
        <v>4</v>
      </c>
      <c r="K142" s="125" t="n">
        <f aca="false">J142+$K$7</f>
        <v>4</v>
      </c>
      <c r="L142" s="126" t="n">
        <f aca="false">K142</f>
        <v>4</v>
      </c>
      <c r="M142" s="124" t="n">
        <f aca="false">VLOOKUP($A142,Table,MATCH(M$4,Curves,0))</f>
        <v>4</v>
      </c>
      <c r="N142" s="125" t="n">
        <f aca="false">M142+$N$7</f>
        <v>4</v>
      </c>
      <c r="O142" s="126" t="n">
        <f aca="false">0.07</f>
        <v>0.07</v>
      </c>
      <c r="P142" s="114"/>
      <c r="Q142" s="126" t="n">
        <f aca="false">M142+J142+G142</f>
        <v>11</v>
      </c>
      <c r="R142" s="126" t="n">
        <f aca="false">N142+K142+H142</f>
        <v>11</v>
      </c>
      <c r="S142" s="126" t="n">
        <f aca="false">O142+L142+I142</f>
        <v>7.07</v>
      </c>
      <c r="T142" s="127"/>
      <c r="U142" s="5" t="n">
        <f aca="false">A143-A142</f>
        <v>28</v>
      </c>
      <c r="V142" s="128" t="n">
        <f aca="false">CHOOSE(F$3,A143+24,A142)</f>
        <v>41306</v>
      </c>
      <c r="W142" s="5" t="n">
        <f aca="false">V142-C$3</f>
        <v>4075</v>
      </c>
      <c r="X142" s="124" t="n">
        <f aca="false">VLOOKUP($A142,Table,MATCH(X$4,Curves,0))</f>
        <v>2</v>
      </c>
      <c r="Y142" s="129" t="n">
        <f aca="false">1/(1+CHOOSE(F$3,(X143+($K$3/10000))/2,(X142+($K$3/10000))/2))^(2*W142/365.25)</f>
        <v>1.91854519274464E-007</v>
      </c>
      <c r="Z142" s="5" t="n">
        <f aca="false">IF(AND(mthbeg&lt;=A142,mthend&gt;=A142),1,0)</f>
        <v>0</v>
      </c>
      <c r="AA142" s="5" t="n">
        <f aca="false">U142*Z142</f>
        <v>0</v>
      </c>
      <c r="AC142" s="115" t="n">
        <f aca="false">IF(G135=2,F142*(S142-Q142),F142*(Q142-S142))</f>
        <v>0</v>
      </c>
      <c r="AE142" s="116" t="n">
        <f aca="false">IF($G$3=1,F142*(R142-Q142),F142*(Q142-R142))</f>
        <v>0</v>
      </c>
      <c r="AG142" s="116" t="n">
        <f aca="false">AC142+AE142</f>
        <v>0</v>
      </c>
    </row>
    <row r="143" customFormat="false" ht="12.75" hidden="false" customHeight="false" outlineLevel="0" collapsed="false">
      <c r="A143" s="120" t="n">
        <f aca="false">EDATE(A142,1)</f>
        <v>41334</v>
      </c>
      <c r="B143" s="121" t="e">
        <f aca="false">VLOOKUP(A143,'Inputs-Summary'!$A$32:$B$41,2,FALSE())</f>
        <v>#N/A</v>
      </c>
      <c r="C143" s="122"/>
      <c r="D143" s="123" t="e">
        <f aca="false">B143+C143</f>
        <v>#N/A</v>
      </c>
      <c r="E143" s="111" t="n">
        <f aca="false">IF(Z143=0,0,IF(AND(Z143=1,$H$3=1),D143*U143,IF($H$3=2,D143,"N/A")))</f>
        <v>0</v>
      </c>
      <c r="F143" s="111" t="n">
        <f aca="false">E143*Y143</f>
        <v>0</v>
      </c>
      <c r="G143" s="124" t="n">
        <f aca="false">VLOOKUP($A143,Table,MATCH(G$4,Curves,0))</f>
        <v>3</v>
      </c>
      <c r="H143" s="125" t="n">
        <f aca="false">G143+$H$7</f>
        <v>3</v>
      </c>
      <c r="I143" s="124" t="n">
        <f aca="false">H143</f>
        <v>3</v>
      </c>
      <c r="J143" s="124" t="n">
        <f aca="false">VLOOKUP($A143,Table,MATCH(J$4,Curves,0))</f>
        <v>4</v>
      </c>
      <c r="K143" s="125" t="n">
        <f aca="false">J143+$K$7</f>
        <v>4</v>
      </c>
      <c r="L143" s="126" t="n">
        <f aca="false">K143</f>
        <v>4</v>
      </c>
      <c r="M143" s="124" t="n">
        <f aca="false">VLOOKUP($A143,Table,MATCH(M$4,Curves,0))</f>
        <v>4</v>
      </c>
      <c r="N143" s="125" t="n">
        <f aca="false">M143+$N$7</f>
        <v>4</v>
      </c>
      <c r="O143" s="126" t="n">
        <f aca="false">0.07</f>
        <v>0.07</v>
      </c>
      <c r="P143" s="114"/>
      <c r="Q143" s="126" t="n">
        <f aca="false">M143+J143+G143</f>
        <v>11</v>
      </c>
      <c r="R143" s="126" t="n">
        <f aca="false">N143+K143+H143</f>
        <v>11</v>
      </c>
      <c r="S143" s="126" t="n">
        <f aca="false">O143+L143+I143</f>
        <v>7.07</v>
      </c>
      <c r="T143" s="127"/>
      <c r="U143" s="5" t="n">
        <f aca="false">A144-A143</f>
        <v>31</v>
      </c>
      <c r="V143" s="128" t="n">
        <f aca="false">CHOOSE(F$3,A144+24,A143)</f>
        <v>41334</v>
      </c>
      <c r="W143" s="5" t="n">
        <f aca="false">V143-C$3</f>
        <v>4103</v>
      </c>
      <c r="X143" s="124" t="n">
        <f aca="false">VLOOKUP($A143,Table,MATCH(X$4,Curves,0))</f>
        <v>2</v>
      </c>
      <c r="Y143" s="129" t="n">
        <f aca="false">1/(1+CHOOSE(F$3,(X144+($K$3/10000))/2,(X143+($K$3/10000))/2))^(2*W143/365.25)</f>
        <v>1.72511567757813E-007</v>
      </c>
      <c r="Z143" s="5" t="n">
        <f aca="false">IF(AND(mthbeg&lt;=A143,mthend&gt;=A143),1,0)</f>
        <v>0</v>
      </c>
      <c r="AA143" s="5" t="n">
        <f aca="false">U143*Z143</f>
        <v>0</v>
      </c>
      <c r="AC143" s="115" t="n">
        <f aca="false">IF(G136=2,F143*(S143-Q143),F143*(Q143-S143))</f>
        <v>0</v>
      </c>
      <c r="AE143" s="116" t="n">
        <f aca="false">IF($G$3=1,F143*(R143-Q143),F143*(Q143-R143))</f>
        <v>0</v>
      </c>
      <c r="AG143" s="116" t="n">
        <f aca="false">AC143+AE143</f>
        <v>0</v>
      </c>
    </row>
    <row r="144" customFormat="false" ht="12.75" hidden="false" customHeight="false" outlineLevel="0" collapsed="false">
      <c r="A144" s="120" t="n">
        <f aca="false">EDATE(A143,1)</f>
        <v>41365</v>
      </c>
      <c r="B144" s="121" t="e">
        <f aca="false">VLOOKUP(A144,'Inputs-Summary'!$A$32:$B$41,2,FALSE())</f>
        <v>#N/A</v>
      </c>
      <c r="C144" s="122"/>
      <c r="D144" s="123" t="e">
        <f aca="false">B144+C144</f>
        <v>#N/A</v>
      </c>
      <c r="E144" s="111" t="n">
        <f aca="false">IF(Z144=0,0,IF(AND(Z144=1,$H$3=1),D144*U144,IF($H$3=2,D144,"N/A")))</f>
        <v>0</v>
      </c>
      <c r="F144" s="111" t="n">
        <f aca="false">E144*Y144</f>
        <v>0</v>
      </c>
      <c r="G144" s="124" t="n">
        <f aca="false">VLOOKUP($A144,Table,MATCH(G$4,Curves,0))</f>
        <v>3</v>
      </c>
      <c r="H144" s="125" t="n">
        <f aca="false">G144+$H$7</f>
        <v>3</v>
      </c>
      <c r="I144" s="124" t="n">
        <f aca="false">H144</f>
        <v>3</v>
      </c>
      <c r="J144" s="124" t="n">
        <f aca="false">VLOOKUP($A144,Table,MATCH(J$4,Curves,0))</f>
        <v>4</v>
      </c>
      <c r="K144" s="125" t="n">
        <f aca="false">J144+$K$7</f>
        <v>4</v>
      </c>
      <c r="L144" s="126" t="n">
        <f aca="false">K144</f>
        <v>4</v>
      </c>
      <c r="M144" s="124" t="n">
        <f aca="false">VLOOKUP($A144,Table,MATCH(M$4,Curves,0))</f>
        <v>4</v>
      </c>
      <c r="N144" s="125" t="n">
        <f aca="false">M144+$N$7</f>
        <v>4</v>
      </c>
      <c r="O144" s="126" t="n">
        <f aca="false">0.07</f>
        <v>0.07</v>
      </c>
      <c r="P144" s="114"/>
      <c r="Q144" s="126" t="n">
        <f aca="false">M144+J144+G144</f>
        <v>11</v>
      </c>
      <c r="R144" s="126" t="n">
        <f aca="false">N144+K144+H144</f>
        <v>11</v>
      </c>
      <c r="S144" s="126" t="n">
        <f aca="false">O144+L144+I144</f>
        <v>7.07</v>
      </c>
      <c r="T144" s="127"/>
      <c r="U144" s="5" t="n">
        <f aca="false">A145-A144</f>
        <v>30</v>
      </c>
      <c r="V144" s="128" t="n">
        <f aca="false">CHOOSE(F$3,A145+24,A144)</f>
        <v>41365</v>
      </c>
      <c r="W144" s="5" t="n">
        <f aca="false">V144-C$3</f>
        <v>4134</v>
      </c>
      <c r="X144" s="124" t="n">
        <f aca="false">VLOOKUP($A144,Table,MATCH(X$4,Curves,0))</f>
        <v>2</v>
      </c>
      <c r="Y144" s="129" t="n">
        <f aca="false">1/(1+CHOOSE(F$3,(X145+($K$3/10000))/2,(X144+($K$3/10000))/2))^(2*W144/365.25)</f>
        <v>1.53362563373977E-007</v>
      </c>
      <c r="Z144" s="5" t="n">
        <f aca="false">IF(AND(mthbeg&lt;=A144,mthend&gt;=A144),1,0)</f>
        <v>0</v>
      </c>
      <c r="AA144" s="5" t="n">
        <f aca="false">U144*Z144</f>
        <v>0</v>
      </c>
      <c r="AC144" s="115" t="n">
        <f aca="false">IF(G137=2,F144*(S144-Q144),F144*(Q144-S144))</f>
        <v>0</v>
      </c>
      <c r="AE144" s="116" t="n">
        <f aca="false">IF($G$3=1,F144*(R144-Q144),F144*(Q144-R144))</f>
        <v>0</v>
      </c>
      <c r="AG144" s="116" t="n">
        <f aca="false">AC144+AE144</f>
        <v>0</v>
      </c>
    </row>
    <row r="145" customFormat="false" ht="12.75" hidden="false" customHeight="false" outlineLevel="0" collapsed="false">
      <c r="A145" s="120" t="n">
        <f aca="false">EDATE(A144,1)</f>
        <v>41395</v>
      </c>
      <c r="B145" s="121" t="e">
        <f aca="false">VLOOKUP(A145,'Inputs-Summary'!$A$32:$B$41,2,FALSE())</f>
        <v>#N/A</v>
      </c>
      <c r="C145" s="122"/>
      <c r="D145" s="123" t="e">
        <f aca="false">B145+C145</f>
        <v>#N/A</v>
      </c>
      <c r="E145" s="111" t="n">
        <f aca="false">IF(Z145=0,0,IF(AND(Z145=1,$H$3=1),D145*U145,IF($H$3=2,D145,"N/A")))</f>
        <v>0</v>
      </c>
      <c r="F145" s="111" t="n">
        <f aca="false">E145*Y145</f>
        <v>0</v>
      </c>
      <c r="G145" s="124" t="n">
        <f aca="false">VLOOKUP($A145,Table,MATCH(G$4,Curves,0))</f>
        <v>3</v>
      </c>
      <c r="H145" s="125" t="n">
        <f aca="false">G145+$H$7</f>
        <v>3</v>
      </c>
      <c r="I145" s="124" t="n">
        <f aca="false">H145</f>
        <v>3</v>
      </c>
      <c r="J145" s="124" t="n">
        <f aca="false">VLOOKUP($A145,Table,MATCH(J$4,Curves,0))</f>
        <v>4</v>
      </c>
      <c r="K145" s="125" t="n">
        <f aca="false">J145+$K$7</f>
        <v>4</v>
      </c>
      <c r="L145" s="126" t="n">
        <f aca="false">K145</f>
        <v>4</v>
      </c>
      <c r="M145" s="124" t="n">
        <f aca="false">VLOOKUP($A145,Table,MATCH(M$4,Curves,0))</f>
        <v>4</v>
      </c>
      <c r="N145" s="125" t="n">
        <f aca="false">M145+$N$7</f>
        <v>4</v>
      </c>
      <c r="O145" s="126" t="n">
        <f aca="false">0.07</f>
        <v>0.07</v>
      </c>
      <c r="P145" s="114"/>
      <c r="Q145" s="126" t="n">
        <f aca="false">M145+J145+G145</f>
        <v>11</v>
      </c>
      <c r="R145" s="126" t="n">
        <f aca="false">N145+K145+H145</f>
        <v>11</v>
      </c>
      <c r="S145" s="126" t="n">
        <f aca="false">O145+L145+I145</f>
        <v>7.07</v>
      </c>
      <c r="T145" s="127"/>
      <c r="U145" s="5" t="n">
        <f aca="false">A146-A145</f>
        <v>31</v>
      </c>
      <c r="V145" s="128" t="n">
        <f aca="false">CHOOSE(F$3,A146+24,A145)</f>
        <v>41395</v>
      </c>
      <c r="W145" s="5" t="n">
        <f aca="false">V145-C$3</f>
        <v>4164</v>
      </c>
      <c r="X145" s="124" t="n">
        <f aca="false">VLOOKUP($A145,Table,MATCH(X$4,Curves,0))</f>
        <v>2</v>
      </c>
      <c r="Y145" s="129" t="n">
        <f aca="false">1/(1+CHOOSE(F$3,(X146+($K$3/10000))/2,(X145+($K$3/10000))/2))^(2*W145/365.25)</f>
        <v>1.36857576858921E-007</v>
      </c>
      <c r="Z145" s="5" t="n">
        <f aca="false">IF(AND(mthbeg&lt;=A145,mthend&gt;=A145),1,0)</f>
        <v>0</v>
      </c>
      <c r="AA145" s="5" t="n">
        <f aca="false">U145*Z145</f>
        <v>0</v>
      </c>
      <c r="AC145" s="115" t="n">
        <f aca="false">IF(G138=2,F145*(S145-Q145),F145*(Q145-S145))</f>
        <v>0</v>
      </c>
      <c r="AE145" s="116" t="n">
        <f aca="false">IF($G$3=1,F145*(R145-Q145),F145*(Q145-R145))</f>
        <v>0</v>
      </c>
      <c r="AG145" s="116" t="n">
        <f aca="false">AC145+AE145</f>
        <v>0</v>
      </c>
    </row>
    <row r="146" customFormat="false" ht="12.75" hidden="false" customHeight="false" outlineLevel="0" collapsed="false">
      <c r="A146" s="120" t="n">
        <f aca="false">EDATE(A145,1)</f>
        <v>41426</v>
      </c>
      <c r="B146" s="121" t="e">
        <f aca="false">VLOOKUP(A146,'Inputs-Summary'!$A$32:$B$41,2,FALSE())</f>
        <v>#N/A</v>
      </c>
      <c r="C146" s="122"/>
      <c r="D146" s="123" t="e">
        <f aca="false">B146+C146</f>
        <v>#N/A</v>
      </c>
      <c r="E146" s="111" t="n">
        <f aca="false">IF(Z146=0,0,IF(AND(Z146=1,$H$3=1),D146*U146,IF($H$3=2,D146,"N/A")))</f>
        <v>0</v>
      </c>
      <c r="F146" s="111" t="n">
        <f aca="false">E146*Y146</f>
        <v>0</v>
      </c>
      <c r="G146" s="124" t="n">
        <f aca="false">VLOOKUP($A146,Table,MATCH(G$4,Curves,0))</f>
        <v>3</v>
      </c>
      <c r="H146" s="125" t="n">
        <f aca="false">G146+$H$7</f>
        <v>3</v>
      </c>
      <c r="I146" s="124" t="n">
        <f aca="false">H146</f>
        <v>3</v>
      </c>
      <c r="J146" s="124" t="n">
        <f aca="false">VLOOKUP($A146,Table,MATCH(J$4,Curves,0))</f>
        <v>4</v>
      </c>
      <c r="K146" s="125" t="n">
        <f aca="false">J146+$K$7</f>
        <v>4</v>
      </c>
      <c r="L146" s="126" t="n">
        <f aca="false">K146</f>
        <v>4</v>
      </c>
      <c r="M146" s="124" t="n">
        <f aca="false">VLOOKUP($A146,Table,MATCH(M$4,Curves,0))</f>
        <v>4</v>
      </c>
      <c r="N146" s="125" t="n">
        <f aca="false">M146+$N$7</f>
        <v>4</v>
      </c>
      <c r="O146" s="126" t="n">
        <f aca="false">0.07</f>
        <v>0.07</v>
      </c>
      <c r="P146" s="114"/>
      <c r="Q146" s="126" t="n">
        <f aca="false">M146+J146+G146</f>
        <v>11</v>
      </c>
      <c r="R146" s="126" t="n">
        <f aca="false">N146+K146+H146</f>
        <v>11</v>
      </c>
      <c r="S146" s="126" t="n">
        <f aca="false">O146+L146+I146</f>
        <v>7.07</v>
      </c>
      <c r="T146" s="127"/>
      <c r="U146" s="5" t="n">
        <f aca="false">A147-A146</f>
        <v>30</v>
      </c>
      <c r="V146" s="128" t="n">
        <f aca="false">CHOOSE(F$3,A147+24,A146)</f>
        <v>41426</v>
      </c>
      <c r="W146" s="5" t="n">
        <f aca="false">V146-C$3</f>
        <v>4195</v>
      </c>
      <c r="X146" s="124" t="n">
        <f aca="false">VLOOKUP($A146,Table,MATCH(X$4,Curves,0))</f>
        <v>2</v>
      </c>
      <c r="Y146" s="129" t="n">
        <f aca="false">1/(1+CHOOSE(F$3,(X147+($K$3/10000))/2,(X146+($K$3/10000))/2))^(2*W146/365.25)</f>
        <v>1.21666211008534E-007</v>
      </c>
      <c r="Z146" s="5" t="n">
        <f aca="false">IF(AND(mthbeg&lt;=A146,mthend&gt;=A146),1,0)</f>
        <v>0</v>
      </c>
      <c r="AA146" s="5" t="n">
        <f aca="false">U146*Z146</f>
        <v>0</v>
      </c>
      <c r="AC146" s="115" t="n">
        <f aca="false">IF(G139=2,F146*(S146-Q146),F146*(Q146-S146))</f>
        <v>0</v>
      </c>
      <c r="AE146" s="116" t="n">
        <f aca="false">IF($G$3=1,F146*(R146-Q146),F146*(Q146-R146))</f>
        <v>0</v>
      </c>
      <c r="AG146" s="116" t="n">
        <f aca="false">AC146+AE146</f>
        <v>0</v>
      </c>
    </row>
    <row r="147" customFormat="false" ht="12.75" hidden="false" customHeight="false" outlineLevel="0" collapsed="false">
      <c r="A147" s="120" t="n">
        <f aca="false">EDATE(A146,1)</f>
        <v>41456</v>
      </c>
      <c r="B147" s="121" t="e">
        <f aca="false">VLOOKUP(A147,'Inputs-Summary'!$A$32:$B$41,2,FALSE())</f>
        <v>#N/A</v>
      </c>
      <c r="C147" s="122"/>
      <c r="D147" s="123" t="e">
        <f aca="false">B147+C147</f>
        <v>#N/A</v>
      </c>
      <c r="E147" s="111" t="n">
        <f aca="false">IF(Z147=0,0,IF(AND(Z147=1,$H$3=1),D147*U147,IF($H$3=2,D147,"N/A")))</f>
        <v>0</v>
      </c>
      <c r="F147" s="111" t="n">
        <f aca="false">E147*Y147</f>
        <v>0</v>
      </c>
      <c r="G147" s="124" t="n">
        <f aca="false">VLOOKUP($A147,Table,MATCH(G$4,Curves,0))</f>
        <v>3</v>
      </c>
      <c r="H147" s="125" t="n">
        <f aca="false">G147+$H$7</f>
        <v>3</v>
      </c>
      <c r="I147" s="124" t="n">
        <f aca="false">H147</f>
        <v>3</v>
      </c>
      <c r="J147" s="124" t="n">
        <f aca="false">VLOOKUP($A147,Table,MATCH(J$4,Curves,0))</f>
        <v>4</v>
      </c>
      <c r="K147" s="125" t="n">
        <f aca="false">J147+$K$7</f>
        <v>4</v>
      </c>
      <c r="L147" s="126" t="n">
        <f aca="false">K147</f>
        <v>4</v>
      </c>
      <c r="M147" s="124" t="n">
        <f aca="false">VLOOKUP($A147,Table,MATCH(M$4,Curves,0))</f>
        <v>4</v>
      </c>
      <c r="N147" s="125" t="n">
        <f aca="false">M147+$N$7</f>
        <v>4</v>
      </c>
      <c r="O147" s="126" t="n">
        <f aca="false">0.07</f>
        <v>0.07</v>
      </c>
      <c r="P147" s="114"/>
      <c r="Q147" s="126" t="n">
        <f aca="false">M147+J147+G147</f>
        <v>11</v>
      </c>
      <c r="R147" s="126" t="n">
        <f aca="false">N147+K147+H147</f>
        <v>11</v>
      </c>
      <c r="S147" s="126" t="n">
        <f aca="false">O147+L147+I147</f>
        <v>7.07</v>
      </c>
      <c r="T147" s="127"/>
      <c r="U147" s="5" t="n">
        <f aca="false">A148-A147</f>
        <v>31</v>
      </c>
      <c r="V147" s="128" t="n">
        <f aca="false">CHOOSE(F$3,A148+24,A147)</f>
        <v>41456</v>
      </c>
      <c r="W147" s="5" t="n">
        <f aca="false">V147-C$3</f>
        <v>4225</v>
      </c>
      <c r="X147" s="124" t="n">
        <f aca="false">VLOOKUP($A147,Table,MATCH(X$4,Curves,0))</f>
        <v>2</v>
      </c>
      <c r="Y147" s="129" t="n">
        <f aca="false">1/(1+CHOOSE(F$3,(X148+($K$3/10000))/2,(X147+($K$3/10000))/2))^(2*W147/365.25)</f>
        <v>1.08572408141292E-007</v>
      </c>
      <c r="Z147" s="5" t="n">
        <f aca="false">IF(AND(mthbeg&lt;=A147,mthend&gt;=A147),1,0)</f>
        <v>0</v>
      </c>
      <c r="AA147" s="5" t="n">
        <f aca="false">U147*Z147</f>
        <v>0</v>
      </c>
      <c r="AC147" s="115" t="n">
        <f aca="false">IF(G140=2,F147*(S147-Q147),F147*(Q147-S147))</f>
        <v>0</v>
      </c>
      <c r="AE147" s="116" t="n">
        <f aca="false">IF($G$3=1,F147*(R147-Q147),F147*(Q147-R147))</f>
        <v>0</v>
      </c>
      <c r="AG147" s="116" t="n">
        <f aca="false">AC147+AE147</f>
        <v>0</v>
      </c>
    </row>
    <row r="148" customFormat="false" ht="12.75" hidden="false" customHeight="false" outlineLevel="0" collapsed="false">
      <c r="A148" s="120" t="n">
        <f aca="false">EDATE(A147,1)</f>
        <v>41487</v>
      </c>
      <c r="B148" s="121" t="e">
        <f aca="false">VLOOKUP(A148,'Inputs-Summary'!$A$32:$B$41,2,FALSE())</f>
        <v>#N/A</v>
      </c>
      <c r="C148" s="122"/>
      <c r="D148" s="123" t="e">
        <f aca="false">B148+C148</f>
        <v>#N/A</v>
      </c>
      <c r="E148" s="111" t="n">
        <f aca="false">IF(Z148=0,0,IF(AND(Z148=1,$H$3=1),D148*U148,IF($H$3=2,D148,"N/A")))</f>
        <v>0</v>
      </c>
      <c r="F148" s="111" t="n">
        <f aca="false">E148*Y148</f>
        <v>0</v>
      </c>
      <c r="G148" s="124" t="n">
        <f aca="false">VLOOKUP($A148,Table,MATCH(G$4,Curves,0))</f>
        <v>3</v>
      </c>
      <c r="H148" s="125" t="n">
        <f aca="false">G148+$H$7</f>
        <v>3</v>
      </c>
      <c r="I148" s="124" t="n">
        <f aca="false">H148</f>
        <v>3</v>
      </c>
      <c r="J148" s="124" t="n">
        <f aca="false">VLOOKUP($A148,Table,MATCH(J$4,Curves,0))</f>
        <v>4</v>
      </c>
      <c r="K148" s="125" t="n">
        <f aca="false">J148+$K$7</f>
        <v>4</v>
      </c>
      <c r="L148" s="126" t="n">
        <f aca="false">K148</f>
        <v>4</v>
      </c>
      <c r="M148" s="124" t="n">
        <f aca="false">VLOOKUP($A148,Table,MATCH(M$4,Curves,0))</f>
        <v>4</v>
      </c>
      <c r="N148" s="125" t="n">
        <f aca="false">M148+$N$7</f>
        <v>4</v>
      </c>
      <c r="O148" s="126" t="n">
        <f aca="false">0.07</f>
        <v>0.07</v>
      </c>
      <c r="P148" s="114"/>
      <c r="Q148" s="126" t="n">
        <f aca="false">M148+J148+G148</f>
        <v>11</v>
      </c>
      <c r="R148" s="126" t="n">
        <f aca="false">N148+K148+H148</f>
        <v>11</v>
      </c>
      <c r="S148" s="126" t="n">
        <f aca="false">O148+L148+I148</f>
        <v>7.07</v>
      </c>
      <c r="T148" s="127"/>
      <c r="U148" s="5" t="n">
        <f aca="false">A149-A148</f>
        <v>31</v>
      </c>
      <c r="V148" s="128" t="n">
        <f aca="false">CHOOSE(F$3,A149+24,A148)</f>
        <v>41487</v>
      </c>
      <c r="W148" s="5" t="n">
        <f aca="false">V148-C$3</f>
        <v>4256</v>
      </c>
      <c r="X148" s="124" t="n">
        <f aca="false">VLOOKUP($A148,Table,MATCH(X$4,Curves,0))</f>
        <v>2</v>
      </c>
      <c r="Y148" s="129" t="n">
        <f aca="false">1/(1+CHOOSE(F$3,(X149+($K$3/10000))/2,(X148+($K$3/10000))/2))^(2*W148/365.25)</f>
        <v>9.65207321494535E-008</v>
      </c>
      <c r="Z148" s="5" t="n">
        <f aca="false">IF(AND(mthbeg&lt;=A148,mthend&gt;=A148),1,0)</f>
        <v>0</v>
      </c>
      <c r="AA148" s="5" t="n">
        <f aca="false">U148*Z148</f>
        <v>0</v>
      </c>
      <c r="AC148" s="115" t="n">
        <f aca="false">IF(G141=2,F148*(S148-Q148),F148*(Q148-S148))</f>
        <v>0</v>
      </c>
      <c r="AE148" s="116" t="n">
        <f aca="false">IF($G$3=1,F148*(R148-Q148),F148*(Q148-R148))</f>
        <v>0</v>
      </c>
      <c r="AG148" s="116" t="n">
        <f aca="false">AC148+AE148</f>
        <v>0</v>
      </c>
    </row>
    <row r="149" customFormat="false" ht="12.75" hidden="false" customHeight="false" outlineLevel="0" collapsed="false">
      <c r="A149" s="120" t="n">
        <f aca="false">EDATE(A148,1)</f>
        <v>41518</v>
      </c>
      <c r="B149" s="121" t="e">
        <f aca="false">VLOOKUP(A149,'Inputs-Summary'!$A$32:$B$41,2,FALSE())</f>
        <v>#N/A</v>
      </c>
      <c r="C149" s="122"/>
      <c r="D149" s="123" t="e">
        <f aca="false">B149+C149</f>
        <v>#N/A</v>
      </c>
      <c r="E149" s="111" t="n">
        <f aca="false">IF(Z149=0,0,IF(AND(Z149=1,$H$3=1),D149*U149,IF($H$3=2,D149,"N/A")))</f>
        <v>0</v>
      </c>
      <c r="F149" s="111" t="n">
        <f aca="false">E149*Y149</f>
        <v>0</v>
      </c>
      <c r="G149" s="124" t="n">
        <f aca="false">VLOOKUP($A149,Table,MATCH(G$4,Curves,0))</f>
        <v>3</v>
      </c>
      <c r="H149" s="125" t="n">
        <f aca="false">G149+$H$7</f>
        <v>3</v>
      </c>
      <c r="I149" s="124" t="n">
        <f aca="false">H149</f>
        <v>3</v>
      </c>
      <c r="J149" s="124" t="n">
        <f aca="false">VLOOKUP($A149,Table,MATCH(J$4,Curves,0))</f>
        <v>4</v>
      </c>
      <c r="K149" s="125" t="n">
        <f aca="false">J149+$K$7</f>
        <v>4</v>
      </c>
      <c r="L149" s="126" t="n">
        <f aca="false">K149</f>
        <v>4</v>
      </c>
      <c r="M149" s="124" t="n">
        <f aca="false">VLOOKUP($A149,Table,MATCH(M$4,Curves,0))</f>
        <v>4</v>
      </c>
      <c r="N149" s="125" t="n">
        <f aca="false">M149+$N$7</f>
        <v>4</v>
      </c>
      <c r="O149" s="126" t="n">
        <f aca="false">0.07</f>
        <v>0.07</v>
      </c>
      <c r="P149" s="114"/>
      <c r="Q149" s="126" t="n">
        <f aca="false">M149+J149+G149</f>
        <v>11</v>
      </c>
      <c r="R149" s="126" t="n">
        <f aca="false">N149+K149+H149</f>
        <v>11</v>
      </c>
      <c r="S149" s="126" t="n">
        <f aca="false">O149+L149+I149</f>
        <v>7.07</v>
      </c>
      <c r="T149" s="127"/>
      <c r="U149" s="5" t="n">
        <f aca="false">A150-A149</f>
        <v>30</v>
      </c>
      <c r="V149" s="128" t="n">
        <f aca="false">CHOOSE(F$3,A150+24,A149)</f>
        <v>41518</v>
      </c>
      <c r="W149" s="5" t="n">
        <f aca="false">V149-C$3</f>
        <v>4287</v>
      </c>
      <c r="X149" s="124" t="n">
        <f aca="false">VLOOKUP($A149,Table,MATCH(X$4,Curves,0))</f>
        <v>2</v>
      </c>
      <c r="Y149" s="129" t="n">
        <f aca="false">1/(1+CHOOSE(F$3,(X150+($K$3/10000))/2,(X149+($K$3/10000))/2))^(2*W149/365.25)</f>
        <v>8.58068075872714E-008</v>
      </c>
      <c r="Z149" s="5" t="n">
        <f aca="false">IF(AND(mthbeg&lt;=A149,mthend&gt;=A149),1,0)</f>
        <v>0</v>
      </c>
      <c r="AA149" s="5" t="n">
        <f aca="false">U149*Z149</f>
        <v>0</v>
      </c>
      <c r="AC149" s="115" t="n">
        <f aca="false">IF(G142=2,F149*(S149-Q149),F149*(Q149-S149))</f>
        <v>0</v>
      </c>
      <c r="AE149" s="116" t="n">
        <f aca="false">IF($G$3=1,F149*(R149-Q149),F149*(Q149-R149))</f>
        <v>0</v>
      </c>
      <c r="AG149" s="116" t="n">
        <f aca="false">AC149+AE149</f>
        <v>0</v>
      </c>
    </row>
    <row r="150" customFormat="false" ht="12.75" hidden="false" customHeight="false" outlineLevel="0" collapsed="false">
      <c r="A150" s="120" t="n">
        <f aca="false">EDATE(A149,1)</f>
        <v>41548</v>
      </c>
      <c r="B150" s="121" t="e">
        <f aca="false">VLOOKUP(A150,'Inputs-Summary'!$A$32:$B$41,2,FALSE())</f>
        <v>#N/A</v>
      </c>
      <c r="C150" s="122"/>
      <c r="D150" s="123" t="e">
        <f aca="false">B150+C150</f>
        <v>#N/A</v>
      </c>
      <c r="E150" s="111" t="n">
        <f aca="false">IF(Z150=0,0,IF(AND(Z150=1,$H$3=1),D150*U150,IF($H$3=2,D150,"N/A")))</f>
        <v>0</v>
      </c>
      <c r="F150" s="111" t="n">
        <f aca="false">E150*Y150</f>
        <v>0</v>
      </c>
      <c r="G150" s="124" t="n">
        <f aca="false">VLOOKUP($A150,Table,MATCH(G$4,Curves,0))</f>
        <v>3</v>
      </c>
      <c r="H150" s="125" t="n">
        <f aca="false">G150+$H$7</f>
        <v>3</v>
      </c>
      <c r="I150" s="124" t="n">
        <f aca="false">H150</f>
        <v>3</v>
      </c>
      <c r="J150" s="124" t="n">
        <f aca="false">VLOOKUP($A150,Table,MATCH(J$4,Curves,0))</f>
        <v>4</v>
      </c>
      <c r="K150" s="125" t="n">
        <f aca="false">J150+$K$7</f>
        <v>4</v>
      </c>
      <c r="L150" s="126" t="n">
        <f aca="false">K150</f>
        <v>4</v>
      </c>
      <c r="M150" s="124" t="n">
        <f aca="false">VLOOKUP($A150,Table,MATCH(M$4,Curves,0))</f>
        <v>4</v>
      </c>
      <c r="N150" s="125" t="n">
        <f aca="false">M150+$N$7</f>
        <v>4</v>
      </c>
      <c r="O150" s="126" t="n">
        <f aca="false">0.07</f>
        <v>0.07</v>
      </c>
      <c r="P150" s="114"/>
      <c r="Q150" s="126" t="n">
        <f aca="false">M150+J150+G150</f>
        <v>11</v>
      </c>
      <c r="R150" s="126" t="n">
        <f aca="false">N150+K150+H150</f>
        <v>11</v>
      </c>
      <c r="S150" s="126" t="n">
        <f aca="false">O150+L150+I150</f>
        <v>7.07</v>
      </c>
      <c r="T150" s="127"/>
      <c r="U150" s="5" t="n">
        <f aca="false">A151-A150</f>
        <v>31</v>
      </c>
      <c r="V150" s="128" t="n">
        <f aca="false">CHOOSE(F$3,A151+24,A150)</f>
        <v>41548</v>
      </c>
      <c r="W150" s="5" t="n">
        <f aca="false">V150-C$3</f>
        <v>4317</v>
      </c>
      <c r="X150" s="124" t="n">
        <f aca="false">VLOOKUP($A150,Table,MATCH(X$4,Curves,0))</f>
        <v>2</v>
      </c>
      <c r="Y150" s="129" t="n">
        <f aca="false">1/(1+CHOOSE(F$3,(X151+($K$3/10000))/2,(X150+($K$3/10000))/2))^(2*W150/365.25)</f>
        <v>7.65722188390748E-008</v>
      </c>
      <c r="Z150" s="5" t="n">
        <f aca="false">IF(AND(mthbeg&lt;=A150,mthend&gt;=A150),1,0)</f>
        <v>0</v>
      </c>
      <c r="AA150" s="5" t="n">
        <f aca="false">U150*Z150</f>
        <v>0</v>
      </c>
      <c r="AC150" s="115" t="n">
        <f aca="false">IF(G143=2,F150*(S150-Q150),F150*(Q150-S150))</f>
        <v>0</v>
      </c>
      <c r="AE150" s="116" t="n">
        <f aca="false">IF($G$3=1,F150*(R150-Q150),F150*(Q150-R150))</f>
        <v>0</v>
      </c>
      <c r="AG150" s="116" t="n">
        <f aca="false">AC150+AE150</f>
        <v>0</v>
      </c>
    </row>
    <row r="151" customFormat="false" ht="12.75" hidden="false" customHeight="false" outlineLevel="0" collapsed="false">
      <c r="A151" s="120" t="n">
        <f aca="false">EDATE(A150,1)</f>
        <v>41579</v>
      </c>
      <c r="B151" s="121" t="e">
        <f aca="false">VLOOKUP(A151,'Inputs-Summary'!$A$32:$B$41,2,FALSE())</f>
        <v>#N/A</v>
      </c>
      <c r="C151" s="122"/>
      <c r="D151" s="123" t="e">
        <f aca="false">B151+C151</f>
        <v>#N/A</v>
      </c>
      <c r="E151" s="111" t="n">
        <f aca="false">IF(Z151=0,0,IF(AND(Z151=1,$H$3=1),D151*U151,IF($H$3=2,D151,"N/A")))</f>
        <v>0</v>
      </c>
      <c r="F151" s="111" t="n">
        <f aca="false">E151*Y151</f>
        <v>0</v>
      </c>
      <c r="G151" s="124" t="n">
        <f aca="false">VLOOKUP($A151,Table,MATCH(G$4,Curves,0))</f>
        <v>3</v>
      </c>
      <c r="H151" s="125" t="n">
        <f aca="false">G151+$H$7</f>
        <v>3</v>
      </c>
      <c r="I151" s="124" t="n">
        <f aca="false">H151</f>
        <v>3</v>
      </c>
      <c r="J151" s="124" t="n">
        <f aca="false">VLOOKUP($A151,Table,MATCH(J$4,Curves,0))</f>
        <v>4</v>
      </c>
      <c r="K151" s="125" t="n">
        <f aca="false">J151+$K$7</f>
        <v>4</v>
      </c>
      <c r="L151" s="126" t="n">
        <f aca="false">K151</f>
        <v>4</v>
      </c>
      <c r="M151" s="124" t="n">
        <f aca="false">VLOOKUP($A151,Table,MATCH(M$4,Curves,0))</f>
        <v>4</v>
      </c>
      <c r="N151" s="125" t="n">
        <f aca="false">M151+$N$7</f>
        <v>4</v>
      </c>
      <c r="O151" s="126" t="n">
        <f aca="false">0.07</f>
        <v>0.07</v>
      </c>
      <c r="P151" s="114"/>
      <c r="Q151" s="126" t="n">
        <f aca="false">M151+J151+G151</f>
        <v>11</v>
      </c>
      <c r="R151" s="126" t="n">
        <f aca="false">N151+K151+H151</f>
        <v>11</v>
      </c>
      <c r="S151" s="126" t="n">
        <f aca="false">O151+L151+I151</f>
        <v>7.07</v>
      </c>
      <c r="T151" s="127"/>
      <c r="U151" s="5" t="n">
        <f aca="false">A152-A151</f>
        <v>30</v>
      </c>
      <c r="V151" s="128" t="n">
        <f aca="false">CHOOSE(F$3,A152+24,A151)</f>
        <v>41579</v>
      </c>
      <c r="W151" s="5" t="n">
        <f aca="false">V151-C$3</f>
        <v>4348</v>
      </c>
      <c r="X151" s="124" t="n">
        <f aca="false">VLOOKUP($A151,Table,MATCH(X$4,Curves,0))</f>
        <v>2</v>
      </c>
      <c r="Y151" s="129" t="n">
        <f aca="false">1/(1+CHOOSE(F$3,(X152+($K$3/10000))/2,(X151+($K$3/10000))/2))^(2*W151/365.25)</f>
        <v>6.80726047361643E-008</v>
      </c>
      <c r="Z151" s="5" t="n">
        <f aca="false">IF(AND(mthbeg&lt;=A151,mthend&gt;=A151),1,0)</f>
        <v>0</v>
      </c>
      <c r="AA151" s="5" t="n">
        <f aca="false">U151*Z151</f>
        <v>0</v>
      </c>
      <c r="AC151" s="115" t="n">
        <f aca="false">IF(G144=2,F151*(S151-Q151),F151*(Q151-S151))</f>
        <v>0</v>
      </c>
      <c r="AE151" s="116" t="n">
        <f aca="false">IF($G$3=1,F151*(R151-Q151),F151*(Q151-R151))</f>
        <v>0</v>
      </c>
      <c r="AG151" s="116" t="n">
        <f aca="false">AC151+AE151</f>
        <v>0</v>
      </c>
    </row>
    <row r="152" customFormat="false" ht="12.75" hidden="false" customHeight="false" outlineLevel="0" collapsed="false">
      <c r="A152" s="120" t="n">
        <f aca="false">EDATE(A151,1)</f>
        <v>41609</v>
      </c>
      <c r="B152" s="121" t="e">
        <f aca="false">VLOOKUP(A152,'Inputs-Summary'!$A$32:$B$41,2,FALSE())</f>
        <v>#N/A</v>
      </c>
      <c r="C152" s="122"/>
      <c r="D152" s="123" t="e">
        <f aca="false">B152+C152</f>
        <v>#N/A</v>
      </c>
      <c r="E152" s="111" t="n">
        <f aca="false">IF(Z152=0,0,IF(AND(Z152=1,$H$3=1),D152*U152,IF($H$3=2,D152,"N/A")))</f>
        <v>0</v>
      </c>
      <c r="F152" s="111" t="n">
        <f aca="false">E152*Y152</f>
        <v>0</v>
      </c>
      <c r="G152" s="124" t="n">
        <f aca="false">VLOOKUP($A152,Table,MATCH(G$4,Curves,0))</f>
        <v>3</v>
      </c>
      <c r="H152" s="125" t="n">
        <f aca="false">G152+$H$7</f>
        <v>3</v>
      </c>
      <c r="I152" s="124" t="n">
        <f aca="false">H152</f>
        <v>3</v>
      </c>
      <c r="J152" s="124" t="n">
        <f aca="false">VLOOKUP($A152,Table,MATCH(J$4,Curves,0))</f>
        <v>4</v>
      </c>
      <c r="K152" s="125" t="n">
        <f aca="false">J152+$K$7</f>
        <v>4</v>
      </c>
      <c r="L152" s="126" t="n">
        <f aca="false">K152</f>
        <v>4</v>
      </c>
      <c r="M152" s="124" t="n">
        <f aca="false">VLOOKUP($A152,Table,MATCH(M$4,Curves,0))</f>
        <v>4</v>
      </c>
      <c r="N152" s="125" t="n">
        <f aca="false">M152+$N$7</f>
        <v>4</v>
      </c>
      <c r="O152" s="126" t="n">
        <f aca="false">0.07</f>
        <v>0.07</v>
      </c>
      <c r="P152" s="114"/>
      <c r="Q152" s="126" t="n">
        <f aca="false">M152+J152+G152</f>
        <v>11</v>
      </c>
      <c r="R152" s="126" t="n">
        <f aca="false">N152+K152+H152</f>
        <v>11</v>
      </c>
      <c r="S152" s="126" t="n">
        <f aca="false">O152+L152+I152</f>
        <v>7.07</v>
      </c>
      <c r="T152" s="127"/>
      <c r="U152" s="5" t="n">
        <f aca="false">A153-A152</f>
        <v>31</v>
      </c>
      <c r="V152" s="128" t="n">
        <f aca="false">CHOOSE(F$3,A153+24,A152)</f>
        <v>41609</v>
      </c>
      <c r="W152" s="5" t="n">
        <f aca="false">V152-C$3</f>
        <v>4378</v>
      </c>
      <c r="X152" s="124" t="n">
        <f aca="false">VLOOKUP($A152,Table,MATCH(X$4,Curves,0))</f>
        <v>2</v>
      </c>
      <c r="Y152" s="129" t="n">
        <f aca="false">1/(1+CHOOSE(F$3,(X153+($K$3/10000))/2,(X152+($K$3/10000))/2))^(2*W152/365.25)</f>
        <v>6.07465833232635E-008</v>
      </c>
      <c r="Z152" s="5" t="n">
        <f aca="false">IF(AND(mthbeg&lt;=A152,mthend&gt;=A152),1,0)</f>
        <v>0</v>
      </c>
      <c r="AA152" s="5" t="n">
        <f aca="false">U152*Z152</f>
        <v>0</v>
      </c>
      <c r="AC152" s="115" t="n">
        <f aca="false">IF(G145=2,F152*(S152-Q152),F152*(Q152-S152))</f>
        <v>0</v>
      </c>
      <c r="AE152" s="116" t="n">
        <f aca="false">IF($G$3=1,F152*(R152-Q152),F152*(Q152-R152))</f>
        <v>0</v>
      </c>
      <c r="AG152" s="116" t="n">
        <f aca="false">AC152+AE152</f>
        <v>0</v>
      </c>
    </row>
    <row r="153" customFormat="false" ht="12.75" hidden="false" customHeight="false" outlineLevel="0" collapsed="false">
      <c r="A153" s="120" t="n">
        <f aca="false">EDATE(A152,1)</f>
        <v>41640</v>
      </c>
      <c r="B153" s="121" t="e">
        <f aca="false">VLOOKUP(A153,'Inputs-Summary'!$A$32:$B$41,2,FALSE())</f>
        <v>#N/A</v>
      </c>
      <c r="C153" s="122"/>
      <c r="D153" s="123" t="e">
        <f aca="false">B153+C153</f>
        <v>#N/A</v>
      </c>
      <c r="E153" s="111" t="n">
        <f aca="false">IF(Z153=0,0,IF(AND(Z153=1,$H$3=1),D153*U153,IF($H$3=2,D153,"N/A")))</f>
        <v>0</v>
      </c>
      <c r="F153" s="111" t="n">
        <f aca="false">E153*Y153</f>
        <v>0</v>
      </c>
      <c r="G153" s="124" t="n">
        <f aca="false">VLOOKUP($A153,Table,MATCH(G$4,Curves,0))</f>
        <v>3</v>
      </c>
      <c r="H153" s="125" t="n">
        <f aca="false">G153+$H$7</f>
        <v>3</v>
      </c>
      <c r="I153" s="124" t="n">
        <f aca="false">H153</f>
        <v>3</v>
      </c>
      <c r="J153" s="124" t="n">
        <f aca="false">VLOOKUP($A153,Table,MATCH(J$4,Curves,0))</f>
        <v>4</v>
      </c>
      <c r="K153" s="125" t="n">
        <f aca="false">J153+$K$7</f>
        <v>4</v>
      </c>
      <c r="L153" s="126" t="n">
        <f aca="false">K153</f>
        <v>4</v>
      </c>
      <c r="M153" s="124" t="n">
        <f aca="false">VLOOKUP($A153,Table,MATCH(M$4,Curves,0))</f>
        <v>4</v>
      </c>
      <c r="N153" s="125" t="n">
        <f aca="false">M153+$N$7</f>
        <v>4</v>
      </c>
      <c r="O153" s="126" t="n">
        <f aca="false">0.07</f>
        <v>0.07</v>
      </c>
      <c r="P153" s="114"/>
      <c r="Q153" s="126" t="n">
        <f aca="false">M153+J153+G153</f>
        <v>11</v>
      </c>
      <c r="R153" s="126" t="n">
        <f aca="false">N153+K153+H153</f>
        <v>11</v>
      </c>
      <c r="S153" s="126" t="n">
        <f aca="false">O153+L153+I153</f>
        <v>7.07</v>
      </c>
      <c r="T153" s="127"/>
      <c r="U153" s="5" t="n">
        <f aca="false">A154-A153</f>
        <v>31</v>
      </c>
      <c r="V153" s="128" t="n">
        <f aca="false">CHOOSE(F$3,A154+24,A153)</f>
        <v>41640</v>
      </c>
      <c r="W153" s="5" t="n">
        <f aca="false">V153-C$3</f>
        <v>4409</v>
      </c>
      <c r="X153" s="124" t="n">
        <f aca="false">VLOOKUP($A153,Table,MATCH(X$4,Curves,0))</f>
        <v>2</v>
      </c>
      <c r="Y153" s="129" t="n">
        <f aca="false">1/(1+CHOOSE(F$3,(X154+($K$3/10000))/2,(X153+($K$3/10000))/2))^(2*W153/365.25)</f>
        <v>5.40036349779484E-008</v>
      </c>
      <c r="Z153" s="5" t="n">
        <f aca="false">IF(AND(mthbeg&lt;=A153,mthend&gt;=A153),1,0)</f>
        <v>0</v>
      </c>
      <c r="AA153" s="5" t="n">
        <f aca="false">U153*Z153</f>
        <v>0</v>
      </c>
      <c r="AC153" s="115" t="n">
        <f aca="false">IF(G146=2,F153*(S153-Q153),F153*(Q153-S153))</f>
        <v>0</v>
      </c>
      <c r="AE153" s="116" t="n">
        <f aca="false">IF($G$3=1,F153*(R153-Q153),F153*(Q153-R153))</f>
        <v>0</v>
      </c>
      <c r="AG153" s="116" t="n">
        <f aca="false">AC153+AE153</f>
        <v>0</v>
      </c>
    </row>
    <row r="154" customFormat="false" ht="12.75" hidden="false" customHeight="false" outlineLevel="0" collapsed="false">
      <c r="A154" s="120" t="n">
        <f aca="false">EDATE(A153,1)</f>
        <v>41671</v>
      </c>
      <c r="B154" s="121" t="e">
        <f aca="false">VLOOKUP(A154,'Inputs-Summary'!$A$32:$B$41,2,FALSE())</f>
        <v>#N/A</v>
      </c>
      <c r="C154" s="122"/>
      <c r="D154" s="123" t="e">
        <f aca="false">B154+C154</f>
        <v>#N/A</v>
      </c>
      <c r="E154" s="111" t="n">
        <f aca="false">IF(Z154=0,0,IF(AND(Z154=1,$H$3=1),D154*U154,IF($H$3=2,D154,"N/A")))</f>
        <v>0</v>
      </c>
      <c r="F154" s="111" t="n">
        <f aca="false">E154*Y154</f>
        <v>0</v>
      </c>
      <c r="G154" s="124" t="n">
        <f aca="false">VLOOKUP($A154,Table,MATCH(G$4,Curves,0))</f>
        <v>3</v>
      </c>
      <c r="H154" s="125" t="n">
        <f aca="false">G154+$H$7</f>
        <v>3</v>
      </c>
      <c r="I154" s="124" t="n">
        <f aca="false">H154</f>
        <v>3</v>
      </c>
      <c r="J154" s="124" t="n">
        <f aca="false">VLOOKUP($A154,Table,MATCH(J$4,Curves,0))</f>
        <v>4</v>
      </c>
      <c r="K154" s="125" t="n">
        <f aca="false">J154+$K$7</f>
        <v>4</v>
      </c>
      <c r="L154" s="126" t="n">
        <f aca="false">K154</f>
        <v>4</v>
      </c>
      <c r="M154" s="124" t="n">
        <f aca="false">VLOOKUP($A154,Table,MATCH(M$4,Curves,0))</f>
        <v>4</v>
      </c>
      <c r="N154" s="125" t="n">
        <f aca="false">M154+$N$7</f>
        <v>4</v>
      </c>
      <c r="O154" s="126" t="n">
        <f aca="false">0.07</f>
        <v>0.07</v>
      </c>
      <c r="P154" s="114"/>
      <c r="Q154" s="126" t="n">
        <f aca="false">M154+J154+G154</f>
        <v>11</v>
      </c>
      <c r="R154" s="126" t="n">
        <f aca="false">N154+K154+H154</f>
        <v>11</v>
      </c>
      <c r="S154" s="126" t="n">
        <f aca="false">O154+L154+I154</f>
        <v>7.07</v>
      </c>
      <c r="T154" s="127"/>
      <c r="U154" s="5" t="n">
        <f aca="false">A155-A154</f>
        <v>28</v>
      </c>
      <c r="V154" s="128" t="n">
        <f aca="false">CHOOSE(F$3,A155+24,A154)</f>
        <v>41671</v>
      </c>
      <c r="W154" s="5" t="n">
        <f aca="false">V154-C$3</f>
        <v>4440</v>
      </c>
      <c r="X154" s="124" t="n">
        <f aca="false">VLOOKUP($A154,Table,MATCH(X$4,Curves,0))</f>
        <v>2</v>
      </c>
      <c r="Y154" s="129" t="n">
        <f aca="false">1/(1+CHOOSE(F$3,(X155+($K$3/10000))/2,(X154+($K$3/10000))/2))^(2*W154/365.25)</f>
        <v>4.80091625122664E-008</v>
      </c>
      <c r="Z154" s="5" t="n">
        <f aca="false">IF(AND(mthbeg&lt;=A154,mthend&gt;=A154),1,0)</f>
        <v>0</v>
      </c>
      <c r="AA154" s="5" t="n">
        <f aca="false">U154*Z154</f>
        <v>0</v>
      </c>
      <c r="AC154" s="115" t="n">
        <f aca="false">IF(G147=2,F154*(S154-Q154),F154*(Q154-S154))</f>
        <v>0</v>
      </c>
      <c r="AE154" s="116" t="n">
        <f aca="false">IF($G$3=1,F154*(R154-Q154),F154*(Q154-R154))</f>
        <v>0</v>
      </c>
      <c r="AG154" s="116" t="n">
        <f aca="false">AC154+AE154</f>
        <v>0</v>
      </c>
    </row>
    <row r="155" customFormat="false" ht="12.75" hidden="false" customHeight="false" outlineLevel="0" collapsed="false">
      <c r="A155" s="120" t="n">
        <f aca="false">EDATE(A154,1)</f>
        <v>41699</v>
      </c>
      <c r="B155" s="121" t="e">
        <f aca="false">VLOOKUP(A155,'Inputs-Summary'!$A$32:$B$41,2,FALSE())</f>
        <v>#N/A</v>
      </c>
      <c r="C155" s="122"/>
      <c r="D155" s="123" t="e">
        <f aca="false">B155+C155</f>
        <v>#N/A</v>
      </c>
      <c r="E155" s="111" t="n">
        <f aca="false">IF(Z155=0,0,IF(AND(Z155=1,$H$3=1),D155*U155,IF($H$3=2,D155,"N/A")))</f>
        <v>0</v>
      </c>
      <c r="F155" s="111" t="n">
        <f aca="false">E155*Y155</f>
        <v>0</v>
      </c>
      <c r="G155" s="124" t="n">
        <f aca="false">VLOOKUP($A155,Table,MATCH(G$4,Curves,0))</f>
        <v>3</v>
      </c>
      <c r="H155" s="125" t="n">
        <f aca="false">G155+$H$7</f>
        <v>3</v>
      </c>
      <c r="I155" s="124" t="n">
        <f aca="false">H155</f>
        <v>3</v>
      </c>
      <c r="J155" s="124" t="n">
        <f aca="false">VLOOKUP($A155,Table,MATCH(J$4,Curves,0))</f>
        <v>4</v>
      </c>
      <c r="K155" s="125" t="n">
        <f aca="false">J155+$K$7</f>
        <v>4</v>
      </c>
      <c r="L155" s="126" t="n">
        <f aca="false">K155</f>
        <v>4</v>
      </c>
      <c r="M155" s="124" t="n">
        <f aca="false">VLOOKUP($A155,Table,MATCH(M$4,Curves,0))</f>
        <v>4</v>
      </c>
      <c r="N155" s="125" t="n">
        <f aca="false">M155+$N$7</f>
        <v>4</v>
      </c>
      <c r="O155" s="126" t="n">
        <f aca="false">0.07</f>
        <v>0.07</v>
      </c>
      <c r="P155" s="114"/>
      <c r="Q155" s="126" t="n">
        <f aca="false">M155+J155+G155</f>
        <v>11</v>
      </c>
      <c r="R155" s="126" t="n">
        <f aca="false">N155+K155+H155</f>
        <v>11</v>
      </c>
      <c r="S155" s="126" t="n">
        <f aca="false">O155+L155+I155</f>
        <v>7.07</v>
      </c>
      <c r="T155" s="127"/>
      <c r="U155" s="5" t="n">
        <f aca="false">A156-A155</f>
        <v>31</v>
      </c>
      <c r="V155" s="128" t="n">
        <f aca="false">CHOOSE(F$3,A156+24,A155)</f>
        <v>41699</v>
      </c>
      <c r="W155" s="5" t="n">
        <f aca="false">V155-C$3</f>
        <v>4468</v>
      </c>
      <c r="X155" s="124" t="n">
        <f aca="false">VLOOKUP($A155,Table,MATCH(X$4,Curves,0))</f>
        <v>2</v>
      </c>
      <c r="Y155" s="129" t="n">
        <f aca="false">1/(1+CHOOSE(F$3,(X156+($K$3/10000))/2,(X155+($K$3/10000))/2))^(2*W155/365.25)</f>
        <v>4.31688339844757E-008</v>
      </c>
      <c r="Z155" s="5" t="n">
        <f aca="false">IF(AND(mthbeg&lt;=A155,mthend&gt;=A155),1,0)</f>
        <v>0</v>
      </c>
      <c r="AA155" s="5" t="n">
        <f aca="false">U155*Z155</f>
        <v>0</v>
      </c>
      <c r="AC155" s="115" t="n">
        <f aca="false">IF(G148=2,F155*(S155-Q155),F155*(Q155-S155))</f>
        <v>0</v>
      </c>
      <c r="AE155" s="116" t="n">
        <f aca="false">IF($G$3=1,F155*(R155-Q155),F155*(Q155-R155))</f>
        <v>0</v>
      </c>
      <c r="AG155" s="116" t="n">
        <f aca="false">AC155+AE155</f>
        <v>0</v>
      </c>
    </row>
    <row r="156" customFormat="false" ht="12.75" hidden="false" customHeight="false" outlineLevel="0" collapsed="false">
      <c r="A156" s="120" t="n">
        <f aca="false">EDATE(A155,1)</f>
        <v>41730</v>
      </c>
      <c r="B156" s="121" t="e">
        <f aca="false">VLOOKUP(A156,'Inputs-Summary'!$A$32:$B$41,2,FALSE())</f>
        <v>#N/A</v>
      </c>
      <c r="C156" s="122"/>
      <c r="D156" s="123" t="e">
        <f aca="false">B156+C156</f>
        <v>#N/A</v>
      </c>
      <c r="E156" s="111" t="n">
        <f aca="false">IF(Z156=0,0,IF(AND(Z156=1,$H$3=1),D156*U156,IF($H$3=2,D156,"N/A")))</f>
        <v>0</v>
      </c>
      <c r="F156" s="111" t="n">
        <f aca="false">E156*Y156</f>
        <v>0</v>
      </c>
      <c r="G156" s="124" t="n">
        <f aca="false">VLOOKUP($A156,Table,MATCH(G$4,Curves,0))</f>
        <v>3</v>
      </c>
      <c r="H156" s="125" t="n">
        <f aca="false">G156+$H$7</f>
        <v>3</v>
      </c>
      <c r="I156" s="124" t="n">
        <f aca="false">H156</f>
        <v>3</v>
      </c>
      <c r="J156" s="124" t="n">
        <f aca="false">VLOOKUP($A156,Table,MATCH(J$4,Curves,0))</f>
        <v>4</v>
      </c>
      <c r="K156" s="125" t="n">
        <f aca="false">J156+$K$7</f>
        <v>4</v>
      </c>
      <c r="L156" s="126" t="n">
        <f aca="false">K156</f>
        <v>4</v>
      </c>
      <c r="M156" s="124" t="n">
        <f aca="false">VLOOKUP($A156,Table,MATCH(M$4,Curves,0))</f>
        <v>4</v>
      </c>
      <c r="N156" s="125" t="n">
        <f aca="false">M156+$N$7</f>
        <v>4</v>
      </c>
      <c r="O156" s="126" t="n">
        <f aca="false">0.07</f>
        <v>0.07</v>
      </c>
      <c r="P156" s="114"/>
      <c r="Q156" s="126" t="n">
        <f aca="false">M156+J156+G156</f>
        <v>11</v>
      </c>
      <c r="R156" s="126" t="n">
        <f aca="false">N156+K156+H156</f>
        <v>11</v>
      </c>
      <c r="S156" s="126" t="n">
        <f aca="false">O156+L156+I156</f>
        <v>7.07</v>
      </c>
      <c r="T156" s="127"/>
      <c r="U156" s="5" t="n">
        <f aca="false">A157-A156</f>
        <v>30</v>
      </c>
      <c r="V156" s="128" t="n">
        <f aca="false">CHOOSE(F$3,A157+24,A156)</f>
        <v>41730</v>
      </c>
      <c r="W156" s="5" t="n">
        <f aca="false">V156-C$3</f>
        <v>4499</v>
      </c>
      <c r="X156" s="124" t="n">
        <f aca="false">VLOOKUP($A156,Table,MATCH(X$4,Curves,0))</f>
        <v>2</v>
      </c>
      <c r="Y156" s="129" t="n">
        <f aca="false">1/(1+CHOOSE(F$3,(X157+($K$3/10000))/2,(X156+($K$3/10000))/2))^(2*W156/365.25)</f>
        <v>3.83770382692206E-008</v>
      </c>
      <c r="Z156" s="5" t="n">
        <f aca="false">IF(AND(mthbeg&lt;=A156,mthend&gt;=A156),1,0)</f>
        <v>0</v>
      </c>
      <c r="AA156" s="5" t="n">
        <f aca="false">U156*Z156</f>
        <v>0</v>
      </c>
      <c r="AC156" s="115" t="n">
        <f aca="false">IF(G149=2,F156*(S156-Q156),F156*(Q156-S156))</f>
        <v>0</v>
      </c>
      <c r="AE156" s="116" t="n">
        <f aca="false">IF($G$3=1,F156*(R156-Q156),F156*(Q156-R156))</f>
        <v>0</v>
      </c>
      <c r="AG156" s="116" t="n">
        <f aca="false">AC156+AE156</f>
        <v>0</v>
      </c>
    </row>
    <row r="157" customFormat="false" ht="12.75" hidden="false" customHeight="false" outlineLevel="0" collapsed="false">
      <c r="A157" s="120" t="n">
        <f aca="false">EDATE(A156,1)</f>
        <v>41760</v>
      </c>
      <c r="B157" s="121" t="e">
        <f aca="false">VLOOKUP(A157,'Inputs-Summary'!$A$32:$B$41,2,FALSE())</f>
        <v>#N/A</v>
      </c>
      <c r="C157" s="122"/>
      <c r="D157" s="123" t="e">
        <f aca="false">B157+C157</f>
        <v>#N/A</v>
      </c>
      <c r="E157" s="111" t="n">
        <f aca="false">IF(Z157=0,0,IF(AND(Z157=1,$H$3=1),D157*U157,IF($H$3=2,D157,"N/A")))</f>
        <v>0</v>
      </c>
      <c r="F157" s="111" t="n">
        <f aca="false">E157*Y157</f>
        <v>0</v>
      </c>
      <c r="G157" s="124" t="n">
        <f aca="false">VLOOKUP($A157,Table,MATCH(G$4,Curves,0))</f>
        <v>3</v>
      </c>
      <c r="H157" s="125" t="n">
        <f aca="false">G157+$H$7</f>
        <v>3</v>
      </c>
      <c r="I157" s="124" t="n">
        <f aca="false">H157</f>
        <v>3</v>
      </c>
      <c r="J157" s="124" t="n">
        <f aca="false">VLOOKUP($A157,Table,MATCH(J$4,Curves,0))</f>
        <v>4</v>
      </c>
      <c r="K157" s="125" t="n">
        <f aca="false">J157+$K$7</f>
        <v>4</v>
      </c>
      <c r="L157" s="126" t="n">
        <f aca="false">K157</f>
        <v>4</v>
      </c>
      <c r="M157" s="124" t="n">
        <f aca="false">VLOOKUP($A157,Table,MATCH(M$4,Curves,0))</f>
        <v>4</v>
      </c>
      <c r="N157" s="125" t="n">
        <f aca="false">M157+$N$7</f>
        <v>4</v>
      </c>
      <c r="O157" s="126" t="n">
        <f aca="false">0.07</f>
        <v>0.07</v>
      </c>
      <c r="P157" s="114"/>
      <c r="Q157" s="126" t="n">
        <f aca="false">M157+J157+G157</f>
        <v>11</v>
      </c>
      <c r="R157" s="126" t="n">
        <f aca="false">N157+K157+H157</f>
        <v>11</v>
      </c>
      <c r="S157" s="126" t="n">
        <f aca="false">O157+L157+I157</f>
        <v>7.07</v>
      </c>
      <c r="T157" s="127"/>
      <c r="U157" s="5" t="n">
        <f aca="false">A158-A157</f>
        <v>31</v>
      </c>
      <c r="V157" s="128" t="n">
        <f aca="false">CHOOSE(F$3,A158+24,A157)</f>
        <v>41760</v>
      </c>
      <c r="W157" s="5" t="n">
        <f aca="false">V157-C$3</f>
        <v>4529</v>
      </c>
      <c r="X157" s="124" t="n">
        <f aca="false">VLOOKUP($A157,Table,MATCH(X$4,Curves,0))</f>
        <v>2</v>
      </c>
      <c r="Y157" s="129" t="n">
        <f aca="false">1/(1+CHOOSE(F$3,(X158+($K$3/10000))/2,(X157+($K$3/10000))/2))^(2*W157/365.25)</f>
        <v>3.42468745240001E-008</v>
      </c>
      <c r="Z157" s="5" t="n">
        <f aca="false">IF(AND(mthbeg&lt;=A157,mthend&gt;=A157),1,0)</f>
        <v>0</v>
      </c>
      <c r="AA157" s="5" t="n">
        <f aca="false">U157*Z157</f>
        <v>0</v>
      </c>
      <c r="AC157" s="115" t="n">
        <f aca="false">IF(G150=2,F157*(S157-Q157),F157*(Q157-S157))</f>
        <v>0</v>
      </c>
      <c r="AE157" s="116" t="n">
        <f aca="false">IF($G$3=1,F157*(R157-Q157),F157*(Q157-R157))</f>
        <v>0</v>
      </c>
      <c r="AG157" s="116" t="n">
        <f aca="false">AC157+AE157</f>
        <v>0</v>
      </c>
    </row>
    <row r="158" customFormat="false" ht="12.75" hidden="false" customHeight="false" outlineLevel="0" collapsed="false">
      <c r="A158" s="120" t="n">
        <f aca="false">EDATE(A157,1)</f>
        <v>41791</v>
      </c>
      <c r="B158" s="121" t="e">
        <f aca="false">VLOOKUP(A158,'Inputs-Summary'!$A$32:$B$41,2,FALSE())</f>
        <v>#N/A</v>
      </c>
      <c r="C158" s="122"/>
      <c r="D158" s="123" t="e">
        <f aca="false">B158+C158</f>
        <v>#N/A</v>
      </c>
      <c r="E158" s="111" t="n">
        <f aca="false">IF(Z158=0,0,IF(AND(Z158=1,$H$3=1),D158*U158,IF($H$3=2,D158,"N/A")))</f>
        <v>0</v>
      </c>
      <c r="F158" s="111" t="n">
        <f aca="false">E158*Y158</f>
        <v>0</v>
      </c>
      <c r="G158" s="124" t="n">
        <f aca="false">VLOOKUP($A158,Table,MATCH(G$4,Curves,0))</f>
        <v>3</v>
      </c>
      <c r="H158" s="125" t="n">
        <f aca="false">G158+$H$7</f>
        <v>3</v>
      </c>
      <c r="I158" s="124" t="n">
        <f aca="false">H158</f>
        <v>3</v>
      </c>
      <c r="J158" s="124" t="n">
        <f aca="false">VLOOKUP($A158,Table,MATCH(J$4,Curves,0))</f>
        <v>4</v>
      </c>
      <c r="K158" s="125" t="n">
        <f aca="false">J158+$K$7</f>
        <v>4</v>
      </c>
      <c r="L158" s="126" t="n">
        <f aca="false">K158</f>
        <v>4</v>
      </c>
      <c r="M158" s="124" t="n">
        <f aca="false">VLOOKUP($A158,Table,MATCH(M$4,Curves,0))</f>
        <v>4</v>
      </c>
      <c r="N158" s="125" t="n">
        <f aca="false">M158+$N$7</f>
        <v>4</v>
      </c>
      <c r="O158" s="126" t="n">
        <f aca="false">0.07</f>
        <v>0.07</v>
      </c>
      <c r="P158" s="114"/>
      <c r="Q158" s="126" t="n">
        <f aca="false">M158+J158+G158</f>
        <v>11</v>
      </c>
      <c r="R158" s="126" t="n">
        <f aca="false">N158+K158+H158</f>
        <v>11</v>
      </c>
      <c r="S158" s="126" t="n">
        <f aca="false">O158+L158+I158</f>
        <v>7.07</v>
      </c>
      <c r="T158" s="127"/>
      <c r="U158" s="5" t="n">
        <f aca="false">A159-A158</f>
        <v>30</v>
      </c>
      <c r="V158" s="128" t="n">
        <f aca="false">CHOOSE(F$3,A159+24,A158)</f>
        <v>41791</v>
      </c>
      <c r="W158" s="5" t="n">
        <f aca="false">V158-C$3</f>
        <v>4560</v>
      </c>
      <c r="X158" s="124" t="n">
        <f aca="false">VLOOKUP($A158,Table,MATCH(X$4,Curves,0))</f>
        <v>2</v>
      </c>
      <c r="Y158" s="129" t="n">
        <f aca="false">1/(1+CHOOSE(F$3,(X159+($K$3/10000))/2,(X158+($K$3/10000))/2))^(2*W158/365.25)</f>
        <v>3.04454277055849E-008</v>
      </c>
      <c r="Z158" s="5" t="n">
        <f aca="false">IF(AND(mthbeg&lt;=A158,mthend&gt;=A158),1,0)</f>
        <v>0</v>
      </c>
      <c r="AA158" s="5" t="n">
        <f aca="false">U158*Z158</f>
        <v>0</v>
      </c>
      <c r="AC158" s="115" t="n">
        <f aca="false">IF(G151=2,F158*(S158-Q158),F158*(Q158-S158))</f>
        <v>0</v>
      </c>
      <c r="AE158" s="116" t="n">
        <f aca="false">IF($G$3=1,F158*(R158-Q158),F158*(Q158-R158))</f>
        <v>0</v>
      </c>
      <c r="AG158" s="116" t="n">
        <f aca="false">AC158+AE158</f>
        <v>0</v>
      </c>
    </row>
    <row r="159" customFormat="false" ht="12.75" hidden="false" customHeight="false" outlineLevel="0" collapsed="false">
      <c r="A159" s="120" t="n">
        <f aca="false">EDATE(A158,1)</f>
        <v>41821</v>
      </c>
      <c r="B159" s="121" t="e">
        <f aca="false">VLOOKUP(A159,'Inputs-Summary'!$A$32:$B$41,2,FALSE())</f>
        <v>#N/A</v>
      </c>
      <c r="C159" s="122"/>
      <c r="D159" s="123" t="e">
        <f aca="false">B159+C159</f>
        <v>#N/A</v>
      </c>
      <c r="E159" s="111" t="n">
        <f aca="false">IF(Z159=0,0,IF(AND(Z159=1,$H$3=1),D159*U159,IF($H$3=2,D159,"N/A")))</f>
        <v>0</v>
      </c>
      <c r="F159" s="111" t="n">
        <f aca="false">E159*Y159</f>
        <v>0</v>
      </c>
      <c r="G159" s="124" t="n">
        <f aca="false">VLOOKUP($A159,Table,MATCH(G$4,Curves,0))</f>
        <v>3</v>
      </c>
      <c r="H159" s="125" t="n">
        <f aca="false">G159+$H$7</f>
        <v>3</v>
      </c>
      <c r="I159" s="124" t="n">
        <f aca="false">H159</f>
        <v>3</v>
      </c>
      <c r="J159" s="124" t="n">
        <f aca="false">VLOOKUP($A159,Table,MATCH(J$4,Curves,0))</f>
        <v>4</v>
      </c>
      <c r="K159" s="125" t="n">
        <f aca="false">J159+$K$7</f>
        <v>4</v>
      </c>
      <c r="L159" s="126" t="n">
        <f aca="false">K159</f>
        <v>4</v>
      </c>
      <c r="M159" s="124" t="n">
        <f aca="false">VLOOKUP($A159,Table,MATCH(M$4,Curves,0))</f>
        <v>4</v>
      </c>
      <c r="N159" s="125" t="n">
        <f aca="false">M159+$N$7</f>
        <v>4</v>
      </c>
      <c r="O159" s="126" t="n">
        <f aca="false">0.07</f>
        <v>0.07</v>
      </c>
      <c r="P159" s="114"/>
      <c r="Q159" s="126" t="n">
        <f aca="false">M159+J159+G159</f>
        <v>11</v>
      </c>
      <c r="R159" s="126" t="n">
        <f aca="false">N159+K159+H159</f>
        <v>11</v>
      </c>
      <c r="S159" s="126" t="n">
        <f aca="false">O159+L159+I159</f>
        <v>7.07</v>
      </c>
      <c r="T159" s="127"/>
      <c r="U159" s="5" t="n">
        <f aca="false">A160-A159</f>
        <v>31</v>
      </c>
      <c r="V159" s="128" t="n">
        <f aca="false">CHOOSE(F$3,A160+24,A159)</f>
        <v>41821</v>
      </c>
      <c r="W159" s="5" t="n">
        <f aca="false">V159-C$3</f>
        <v>4590</v>
      </c>
      <c r="X159" s="124" t="n">
        <f aca="false">VLOOKUP($A159,Table,MATCH(X$4,Curves,0))</f>
        <v>2</v>
      </c>
      <c r="Y159" s="129" t="n">
        <f aca="false">1/(1+CHOOSE(F$3,(X160+($K$3/10000))/2,(X159+($K$3/10000))/2))^(2*W159/365.25)</f>
        <v>2.71688694460543E-008</v>
      </c>
      <c r="Z159" s="5" t="n">
        <f aca="false">IF(AND(mthbeg&lt;=A159,mthend&gt;=A159),1,0)</f>
        <v>0</v>
      </c>
      <c r="AA159" s="5" t="n">
        <f aca="false">U159*Z159</f>
        <v>0</v>
      </c>
      <c r="AC159" s="115" t="n">
        <f aca="false">IF(G152=2,F159*(S159-Q159),F159*(Q159-S159))</f>
        <v>0</v>
      </c>
      <c r="AE159" s="116" t="n">
        <f aca="false">IF($G$3=1,F159*(R159-Q159),F159*(Q159-R159))</f>
        <v>0</v>
      </c>
      <c r="AG159" s="116" t="n">
        <f aca="false">AC159+AE159</f>
        <v>0</v>
      </c>
    </row>
    <row r="160" customFormat="false" ht="12.75" hidden="false" customHeight="false" outlineLevel="0" collapsed="false">
      <c r="A160" s="120" t="n">
        <f aca="false">EDATE(A159,1)</f>
        <v>41852</v>
      </c>
      <c r="B160" s="121" t="e">
        <f aca="false">VLOOKUP(A160,'Inputs-Summary'!$A$32:$B$41,2,FALSE())</f>
        <v>#N/A</v>
      </c>
      <c r="C160" s="122"/>
      <c r="D160" s="123" t="e">
        <f aca="false">B160+C160</f>
        <v>#N/A</v>
      </c>
      <c r="E160" s="111" t="n">
        <f aca="false">IF(Z160=0,0,IF(AND(Z160=1,$H$3=1),D160*U160,IF($H$3=2,D160,"N/A")))</f>
        <v>0</v>
      </c>
      <c r="F160" s="111" t="n">
        <f aca="false">E160*Y160</f>
        <v>0</v>
      </c>
      <c r="G160" s="124" t="n">
        <f aca="false">VLOOKUP($A160,Table,MATCH(G$4,Curves,0))</f>
        <v>3</v>
      </c>
      <c r="H160" s="125" t="n">
        <f aca="false">G160+$H$7</f>
        <v>3</v>
      </c>
      <c r="I160" s="124" t="n">
        <f aca="false">H160</f>
        <v>3</v>
      </c>
      <c r="J160" s="124" t="n">
        <f aca="false">VLOOKUP($A160,Table,MATCH(J$4,Curves,0))</f>
        <v>4</v>
      </c>
      <c r="K160" s="125" t="n">
        <f aca="false">J160+$K$7</f>
        <v>4</v>
      </c>
      <c r="L160" s="126" t="n">
        <f aca="false">K160</f>
        <v>4</v>
      </c>
      <c r="M160" s="124" t="n">
        <f aca="false">VLOOKUP($A160,Table,MATCH(M$4,Curves,0))</f>
        <v>4</v>
      </c>
      <c r="N160" s="125" t="n">
        <f aca="false">M160+$N$7</f>
        <v>4</v>
      </c>
      <c r="O160" s="126" t="n">
        <f aca="false">0.07</f>
        <v>0.07</v>
      </c>
      <c r="P160" s="114"/>
      <c r="Q160" s="126" t="n">
        <f aca="false">M160+J160+G160</f>
        <v>11</v>
      </c>
      <c r="R160" s="126" t="n">
        <f aca="false">N160+K160+H160</f>
        <v>11</v>
      </c>
      <c r="S160" s="126" t="n">
        <f aca="false">O160+L160+I160</f>
        <v>7.07</v>
      </c>
      <c r="T160" s="127"/>
      <c r="U160" s="5" t="n">
        <f aca="false">A161-A160</f>
        <v>31</v>
      </c>
      <c r="V160" s="128" t="n">
        <f aca="false">CHOOSE(F$3,A161+24,A160)</f>
        <v>41852</v>
      </c>
      <c r="W160" s="5" t="n">
        <f aca="false">V160-C$3</f>
        <v>4621</v>
      </c>
      <c r="X160" s="124" t="n">
        <f aca="false">VLOOKUP($A160,Table,MATCH(X$4,Curves,0))</f>
        <v>2</v>
      </c>
      <c r="Y160" s="129" t="n">
        <f aca="false">1/(1+CHOOSE(F$3,(X161+($K$3/10000))/2,(X160+($K$3/10000))/2))^(2*W160/365.25)</f>
        <v>2.41530902325888E-008</v>
      </c>
      <c r="Z160" s="5" t="n">
        <f aca="false">IF(AND(mthbeg&lt;=A160,mthend&gt;=A160),1,0)</f>
        <v>0</v>
      </c>
      <c r="AA160" s="5" t="n">
        <f aca="false">U160*Z160</f>
        <v>0</v>
      </c>
      <c r="AC160" s="115" t="n">
        <f aca="false">IF(G153=2,F160*(S160-Q160),F160*(Q160-S160))</f>
        <v>0</v>
      </c>
      <c r="AE160" s="116" t="n">
        <f aca="false">IF($G$3=1,F160*(R160-Q160),F160*(Q160-R160))</f>
        <v>0</v>
      </c>
      <c r="AG160" s="116" t="n">
        <f aca="false">AC160+AE160</f>
        <v>0</v>
      </c>
    </row>
    <row r="161" customFormat="false" ht="12.75" hidden="false" customHeight="false" outlineLevel="0" collapsed="false">
      <c r="A161" s="120" t="n">
        <f aca="false">EDATE(A160,1)</f>
        <v>41883</v>
      </c>
      <c r="B161" s="121" t="e">
        <f aca="false">VLOOKUP(A161,'Inputs-Summary'!$A$32:$B$41,2,FALSE())</f>
        <v>#N/A</v>
      </c>
      <c r="C161" s="122"/>
      <c r="D161" s="123" t="e">
        <f aca="false">B161+C161</f>
        <v>#N/A</v>
      </c>
      <c r="E161" s="111" t="n">
        <f aca="false">IF(Z161=0,0,IF(AND(Z161=1,$H$3=1),D161*U161,IF($H$3=2,D161,"N/A")))</f>
        <v>0</v>
      </c>
      <c r="F161" s="111" t="n">
        <f aca="false">E161*Y161</f>
        <v>0</v>
      </c>
      <c r="G161" s="124" t="n">
        <f aca="false">VLOOKUP($A161,Table,MATCH(G$4,Curves,0))</f>
        <v>3</v>
      </c>
      <c r="H161" s="125" t="n">
        <f aca="false">G161+$H$7</f>
        <v>3</v>
      </c>
      <c r="I161" s="124" t="n">
        <f aca="false">H161</f>
        <v>3</v>
      </c>
      <c r="J161" s="124" t="n">
        <f aca="false">VLOOKUP($A161,Table,MATCH(J$4,Curves,0))</f>
        <v>4</v>
      </c>
      <c r="K161" s="125" t="n">
        <f aca="false">J161+$K$7</f>
        <v>4</v>
      </c>
      <c r="L161" s="126" t="n">
        <f aca="false">K161</f>
        <v>4</v>
      </c>
      <c r="M161" s="124" t="n">
        <f aca="false">VLOOKUP($A161,Table,MATCH(M$4,Curves,0))</f>
        <v>4</v>
      </c>
      <c r="N161" s="125" t="n">
        <f aca="false">M161+$N$7</f>
        <v>4</v>
      </c>
      <c r="O161" s="126" t="n">
        <f aca="false">0.07</f>
        <v>0.07</v>
      </c>
      <c r="P161" s="114"/>
      <c r="Q161" s="126" t="n">
        <f aca="false">M161+J161+G161</f>
        <v>11</v>
      </c>
      <c r="R161" s="126" t="n">
        <f aca="false">N161+K161+H161</f>
        <v>11</v>
      </c>
      <c r="S161" s="126" t="n">
        <f aca="false">O161+L161+I161</f>
        <v>7.07</v>
      </c>
      <c r="T161" s="127"/>
      <c r="U161" s="5" t="n">
        <f aca="false">A162-A161</f>
        <v>30</v>
      </c>
      <c r="V161" s="128" t="n">
        <f aca="false">CHOOSE(F$3,A162+24,A161)</f>
        <v>41883</v>
      </c>
      <c r="W161" s="5" t="n">
        <f aca="false">V161-C$3</f>
        <v>4652</v>
      </c>
      <c r="X161" s="124" t="n">
        <f aca="false">VLOOKUP($A161,Table,MATCH(X$4,Curves,0))</f>
        <v>2</v>
      </c>
      <c r="Y161" s="129" t="n">
        <f aca="false">1/(1+CHOOSE(F$3,(X162+($K$3/10000))/2,(X161+($K$3/10000))/2))^(2*W161/365.25)</f>
        <v>2.1472066364112E-008</v>
      </c>
      <c r="Z161" s="5" t="n">
        <f aca="false">IF(AND(mthbeg&lt;=A161,mthend&gt;=A161),1,0)</f>
        <v>0</v>
      </c>
      <c r="AA161" s="5" t="n">
        <f aca="false">U161*Z161</f>
        <v>0</v>
      </c>
      <c r="AC161" s="115" t="n">
        <f aca="false">IF(G154=2,F161*(S161-Q161),F161*(Q161-S161))</f>
        <v>0</v>
      </c>
      <c r="AE161" s="116" t="n">
        <f aca="false">IF($G$3=1,F161*(R161-Q161),F161*(Q161-R161))</f>
        <v>0</v>
      </c>
      <c r="AG161" s="116" t="n">
        <f aca="false">AC161+AE161</f>
        <v>0</v>
      </c>
    </row>
    <row r="162" customFormat="false" ht="12.75" hidden="false" customHeight="false" outlineLevel="0" collapsed="false">
      <c r="A162" s="120" t="n">
        <f aca="false">EDATE(A161,1)</f>
        <v>41913</v>
      </c>
      <c r="B162" s="121" t="e">
        <f aca="false">VLOOKUP(A162,'Inputs-Summary'!$A$32:$B$41,2,FALSE())</f>
        <v>#N/A</v>
      </c>
      <c r="C162" s="122"/>
      <c r="D162" s="123" t="e">
        <f aca="false">B162+C162</f>
        <v>#N/A</v>
      </c>
      <c r="E162" s="111" t="n">
        <f aca="false">IF(Z162=0,0,IF(AND(Z162=1,$H$3=1),D162*U162,IF($H$3=2,D162,"N/A")))</f>
        <v>0</v>
      </c>
      <c r="F162" s="111" t="n">
        <f aca="false">E162*Y162</f>
        <v>0</v>
      </c>
      <c r="G162" s="124" t="n">
        <f aca="false">VLOOKUP($A162,Table,MATCH(G$4,Curves,0))</f>
        <v>3</v>
      </c>
      <c r="H162" s="125" t="n">
        <f aca="false">G162+$H$7</f>
        <v>3</v>
      </c>
      <c r="I162" s="124" t="n">
        <f aca="false">H162</f>
        <v>3</v>
      </c>
      <c r="J162" s="124" t="n">
        <f aca="false">VLOOKUP($A162,Table,MATCH(J$4,Curves,0))</f>
        <v>4</v>
      </c>
      <c r="K162" s="125" t="n">
        <f aca="false">J162+$K$7</f>
        <v>4</v>
      </c>
      <c r="L162" s="126" t="n">
        <f aca="false">K162</f>
        <v>4</v>
      </c>
      <c r="M162" s="124" t="n">
        <f aca="false">VLOOKUP($A162,Table,MATCH(M$4,Curves,0))</f>
        <v>4</v>
      </c>
      <c r="N162" s="125" t="n">
        <f aca="false">M162+$N$7</f>
        <v>4</v>
      </c>
      <c r="O162" s="126" t="n">
        <f aca="false">0.07</f>
        <v>0.07</v>
      </c>
      <c r="P162" s="114"/>
      <c r="Q162" s="126" t="n">
        <f aca="false">M162+J162+G162</f>
        <v>11</v>
      </c>
      <c r="R162" s="126" t="n">
        <f aca="false">N162+K162+H162</f>
        <v>11</v>
      </c>
      <c r="S162" s="126" t="n">
        <f aca="false">O162+L162+I162</f>
        <v>7.07</v>
      </c>
      <c r="T162" s="127"/>
      <c r="U162" s="5" t="n">
        <f aca="false">A163-A162</f>
        <v>31</v>
      </c>
      <c r="V162" s="128" t="n">
        <f aca="false">CHOOSE(F$3,A163+24,A162)</f>
        <v>41913</v>
      </c>
      <c r="W162" s="5" t="n">
        <f aca="false">V162-C$3</f>
        <v>4682</v>
      </c>
      <c r="X162" s="124" t="n">
        <f aca="false">VLOOKUP($A162,Table,MATCH(X$4,Curves,0))</f>
        <v>2</v>
      </c>
      <c r="Y162" s="129" t="n">
        <f aca="false">1/(1+CHOOSE(F$3,(X163+($K$3/10000))/2,(X162+($K$3/10000))/2))^(2*W162/365.25)</f>
        <v>1.91612275388255E-008</v>
      </c>
      <c r="Z162" s="5" t="n">
        <f aca="false">IF(AND(mthbeg&lt;=A162,mthend&gt;=A162),1,0)</f>
        <v>0</v>
      </c>
      <c r="AA162" s="5" t="n">
        <f aca="false">U162*Z162</f>
        <v>0</v>
      </c>
      <c r="AC162" s="115" t="n">
        <f aca="false">IF(G155=2,F162*(S162-Q162),F162*(Q162-S162))</f>
        <v>0</v>
      </c>
      <c r="AE162" s="116" t="n">
        <f aca="false">IF($G$3=1,F162*(R162-Q162),F162*(Q162-R162))</f>
        <v>0</v>
      </c>
      <c r="AG162" s="116" t="n">
        <f aca="false">AC162+AE162</f>
        <v>0</v>
      </c>
    </row>
    <row r="163" customFormat="false" ht="12.75" hidden="false" customHeight="false" outlineLevel="0" collapsed="false">
      <c r="A163" s="120" t="n">
        <f aca="false">EDATE(A162,1)</f>
        <v>41944</v>
      </c>
      <c r="B163" s="121" t="e">
        <f aca="false">VLOOKUP(A163,'Inputs-Summary'!$A$32:$B$41,2,FALSE())</f>
        <v>#N/A</v>
      </c>
      <c r="C163" s="122"/>
      <c r="D163" s="123" t="e">
        <f aca="false">B163+C163</f>
        <v>#N/A</v>
      </c>
      <c r="E163" s="111" t="n">
        <f aca="false">IF(Z163=0,0,IF(AND(Z163=1,$H$3=1),D163*U163,IF($H$3=2,D163,"N/A")))</f>
        <v>0</v>
      </c>
      <c r="F163" s="111" t="n">
        <f aca="false">E163*Y163</f>
        <v>0</v>
      </c>
      <c r="G163" s="124" t="n">
        <f aca="false">VLOOKUP($A163,Table,MATCH(G$4,Curves,0))</f>
        <v>3</v>
      </c>
      <c r="H163" s="125" t="n">
        <f aca="false">G163+$H$7</f>
        <v>3</v>
      </c>
      <c r="I163" s="124" t="n">
        <f aca="false">H163</f>
        <v>3</v>
      </c>
      <c r="J163" s="124" t="n">
        <f aca="false">VLOOKUP($A163,Table,MATCH(J$4,Curves,0))</f>
        <v>4</v>
      </c>
      <c r="K163" s="125" t="n">
        <f aca="false">J163+$K$7</f>
        <v>4</v>
      </c>
      <c r="L163" s="126" t="n">
        <f aca="false">K163</f>
        <v>4</v>
      </c>
      <c r="M163" s="124" t="n">
        <f aca="false">VLOOKUP($A163,Table,MATCH(M$4,Curves,0))</f>
        <v>4</v>
      </c>
      <c r="N163" s="125" t="n">
        <f aca="false">M163+$N$7</f>
        <v>4</v>
      </c>
      <c r="O163" s="126" t="n">
        <f aca="false">0.07</f>
        <v>0.07</v>
      </c>
      <c r="P163" s="114"/>
      <c r="Q163" s="126" t="n">
        <f aca="false">M163+J163+G163</f>
        <v>11</v>
      </c>
      <c r="R163" s="126" t="n">
        <f aca="false">N163+K163+H163</f>
        <v>11</v>
      </c>
      <c r="S163" s="126" t="n">
        <f aca="false">O163+L163+I163</f>
        <v>7.07</v>
      </c>
      <c r="T163" s="127"/>
      <c r="U163" s="5" t="n">
        <f aca="false">A164-A163</f>
        <v>30</v>
      </c>
      <c r="V163" s="128" t="n">
        <f aca="false">CHOOSE(F$3,A164+24,A163)</f>
        <v>41944</v>
      </c>
      <c r="W163" s="5" t="n">
        <f aca="false">V163-C$3</f>
        <v>4713</v>
      </c>
      <c r="X163" s="124" t="n">
        <f aca="false">VLOOKUP($A163,Table,MATCH(X$4,Curves,0))</f>
        <v>2</v>
      </c>
      <c r="Y163" s="129" t="n">
        <f aca="false">1/(1+CHOOSE(F$3,(X164+($K$3/10000))/2,(X163+($K$3/10000))/2))^(2*W163/365.25)</f>
        <v>1.70343068058589E-008</v>
      </c>
      <c r="Z163" s="5" t="n">
        <f aca="false">IF(AND(mthbeg&lt;=A163,mthend&gt;=A163),1,0)</f>
        <v>0</v>
      </c>
      <c r="AA163" s="5" t="n">
        <f aca="false">U163*Z163</f>
        <v>0</v>
      </c>
      <c r="AC163" s="115" t="n">
        <f aca="false">IF(G156=2,F163*(S163-Q163),F163*(Q163-S163))</f>
        <v>0</v>
      </c>
      <c r="AE163" s="116" t="n">
        <f aca="false">IF($G$3=1,F163*(R163-Q163),F163*(Q163-R163))</f>
        <v>0</v>
      </c>
      <c r="AG163" s="116" t="n">
        <f aca="false">AC163+AE163</f>
        <v>0</v>
      </c>
    </row>
    <row r="164" customFormat="false" ht="12.75" hidden="false" customHeight="false" outlineLevel="0" collapsed="false">
      <c r="A164" s="120" t="n">
        <f aca="false">EDATE(A163,1)</f>
        <v>41974</v>
      </c>
      <c r="B164" s="121" t="e">
        <f aca="false">VLOOKUP(A164,'Inputs-Summary'!$A$32:$B$41,2,FALSE())</f>
        <v>#N/A</v>
      </c>
      <c r="C164" s="122"/>
      <c r="D164" s="123" t="e">
        <f aca="false">B164+C164</f>
        <v>#N/A</v>
      </c>
      <c r="E164" s="111" t="n">
        <f aca="false">IF(Z164=0,0,IF(AND(Z164=1,$H$3=1),D164*U164,IF($H$3=2,D164,"N/A")))</f>
        <v>0</v>
      </c>
      <c r="F164" s="111" t="n">
        <f aca="false">E164*Y164</f>
        <v>0</v>
      </c>
      <c r="G164" s="124" t="n">
        <f aca="false">VLOOKUP($A164,Table,MATCH(G$4,Curves,0))</f>
        <v>3</v>
      </c>
      <c r="H164" s="125" t="n">
        <f aca="false">G164+$H$7</f>
        <v>3</v>
      </c>
      <c r="I164" s="124" t="n">
        <f aca="false">H164</f>
        <v>3</v>
      </c>
      <c r="J164" s="124" t="n">
        <f aca="false">VLOOKUP($A164,Table,MATCH(J$4,Curves,0))</f>
        <v>4</v>
      </c>
      <c r="K164" s="125" t="n">
        <f aca="false">J164+$K$7</f>
        <v>4</v>
      </c>
      <c r="L164" s="126" t="n">
        <f aca="false">K164</f>
        <v>4</v>
      </c>
      <c r="M164" s="124" t="n">
        <f aca="false">VLOOKUP($A164,Table,MATCH(M$4,Curves,0))</f>
        <v>4</v>
      </c>
      <c r="N164" s="125" t="n">
        <f aca="false">M164+$N$7</f>
        <v>4</v>
      </c>
      <c r="O164" s="126" t="n">
        <f aca="false">0.07</f>
        <v>0.07</v>
      </c>
      <c r="P164" s="114"/>
      <c r="Q164" s="126" t="n">
        <f aca="false">M164+J164+G164</f>
        <v>11</v>
      </c>
      <c r="R164" s="126" t="n">
        <f aca="false">N164+K164+H164</f>
        <v>11</v>
      </c>
      <c r="S164" s="126" t="n">
        <f aca="false">O164+L164+I164</f>
        <v>7.07</v>
      </c>
      <c r="T164" s="127"/>
      <c r="U164" s="5" t="n">
        <f aca="false">A165-A164</f>
        <v>31</v>
      </c>
      <c r="V164" s="128" t="n">
        <f aca="false">CHOOSE(F$3,A165+24,A164)</f>
        <v>41974</v>
      </c>
      <c r="W164" s="5" t="n">
        <f aca="false">V164-C$3</f>
        <v>4743</v>
      </c>
      <c r="X164" s="124" t="n">
        <f aca="false">VLOOKUP($A164,Table,MATCH(X$4,Curves,0))</f>
        <v>2</v>
      </c>
      <c r="Y164" s="129" t="n">
        <f aca="false">1/(1+CHOOSE(F$3,(X165+($K$3/10000))/2,(X164+($K$3/10000))/2))^(2*W164/365.25)</f>
        <v>1.52010627732952E-008</v>
      </c>
      <c r="Z164" s="5" t="n">
        <f aca="false">IF(AND(mthbeg&lt;=A164,mthend&gt;=A164),1,0)</f>
        <v>0</v>
      </c>
      <c r="AA164" s="5" t="n">
        <f aca="false">U164*Z164</f>
        <v>0</v>
      </c>
      <c r="AC164" s="115" t="n">
        <f aca="false">IF(G157=2,F164*(S164-Q164),F164*(Q164-S164))</f>
        <v>0</v>
      </c>
      <c r="AE164" s="116" t="n">
        <f aca="false">IF($G$3=1,F164*(R164-Q164),F164*(Q164-R164))</f>
        <v>0</v>
      </c>
      <c r="AG164" s="116" t="n">
        <f aca="false">AC164+AE164</f>
        <v>0</v>
      </c>
    </row>
    <row r="165" customFormat="false" ht="12.75" hidden="false" customHeight="false" outlineLevel="0" collapsed="false">
      <c r="A165" s="120" t="n">
        <f aca="false">EDATE(A164,1)</f>
        <v>42005</v>
      </c>
      <c r="B165" s="121" t="e">
        <f aca="false">VLOOKUP(A165,'Inputs-Summary'!$A$32:$B$41,2,FALSE())</f>
        <v>#N/A</v>
      </c>
      <c r="C165" s="122"/>
      <c r="D165" s="123" t="e">
        <f aca="false">B165+C165</f>
        <v>#N/A</v>
      </c>
      <c r="E165" s="111" t="n">
        <f aca="false">IF(Z165=0,0,IF(AND(Z165=1,$H$3=1),D165*U165,IF($H$3=2,D165,"N/A")))</f>
        <v>0</v>
      </c>
      <c r="F165" s="111" t="n">
        <f aca="false">E165*Y165</f>
        <v>0</v>
      </c>
      <c r="G165" s="124" t="n">
        <f aca="false">VLOOKUP($A165,Table,MATCH(G$4,Curves,0))</f>
        <v>3</v>
      </c>
      <c r="H165" s="125" t="n">
        <f aca="false">G165+$H$7</f>
        <v>3</v>
      </c>
      <c r="I165" s="124" t="n">
        <f aca="false">H165</f>
        <v>3</v>
      </c>
      <c r="J165" s="124" t="n">
        <f aca="false">VLOOKUP($A165,Table,MATCH(J$4,Curves,0))</f>
        <v>4</v>
      </c>
      <c r="K165" s="125" t="n">
        <f aca="false">J165+$K$7</f>
        <v>4</v>
      </c>
      <c r="L165" s="126" t="n">
        <f aca="false">K165</f>
        <v>4</v>
      </c>
      <c r="M165" s="124" t="n">
        <f aca="false">VLOOKUP($A165,Table,MATCH(M$4,Curves,0))</f>
        <v>4</v>
      </c>
      <c r="N165" s="125" t="n">
        <f aca="false">M165+$N$7</f>
        <v>4</v>
      </c>
      <c r="O165" s="126" t="n">
        <f aca="false">0.07</f>
        <v>0.07</v>
      </c>
      <c r="P165" s="114"/>
      <c r="Q165" s="126" t="n">
        <f aca="false">M165+J165+G165</f>
        <v>11</v>
      </c>
      <c r="R165" s="126" t="n">
        <f aca="false">N165+K165+H165</f>
        <v>11</v>
      </c>
      <c r="S165" s="126" t="n">
        <f aca="false">O165+L165+I165</f>
        <v>7.07</v>
      </c>
      <c r="T165" s="127"/>
      <c r="U165" s="5" t="n">
        <f aca="false">A166-A165</f>
        <v>31</v>
      </c>
      <c r="V165" s="128" t="n">
        <f aca="false">CHOOSE(F$3,A166+24,A165)</f>
        <v>42005</v>
      </c>
      <c r="W165" s="5" t="n">
        <f aca="false">V165-C$3</f>
        <v>4774</v>
      </c>
      <c r="X165" s="124" t="n">
        <f aca="false">VLOOKUP($A165,Table,MATCH(X$4,Curves,0))</f>
        <v>2</v>
      </c>
      <c r="Y165" s="129" t="n">
        <f aca="false">1/(1+CHOOSE(F$3,(X166+($K$3/10000))/2,(X165+($K$3/10000))/2))^(2*W165/365.25)</f>
        <v>1.35137253879353E-008</v>
      </c>
      <c r="Z165" s="5" t="n">
        <f aca="false">IF(AND(mthbeg&lt;=A165,mthend&gt;=A165),1,0)</f>
        <v>0</v>
      </c>
      <c r="AA165" s="5" t="n">
        <f aca="false">U165*Z165</f>
        <v>0</v>
      </c>
      <c r="AC165" s="115" t="n">
        <f aca="false">IF(G158=2,F165*(S165-Q165),F165*(Q165-S165))</f>
        <v>0</v>
      </c>
      <c r="AE165" s="116" t="n">
        <f aca="false">IF($G$3=1,F165*(R165-Q165),F165*(Q165-R165))</f>
        <v>0</v>
      </c>
      <c r="AG165" s="116" t="n">
        <f aca="false">AC165+AE165</f>
        <v>0</v>
      </c>
    </row>
    <row r="166" customFormat="false" ht="12.75" hidden="false" customHeight="false" outlineLevel="0" collapsed="false">
      <c r="A166" s="120" t="n">
        <f aca="false">EDATE(A165,1)</f>
        <v>42036</v>
      </c>
      <c r="B166" s="121" t="e">
        <f aca="false">VLOOKUP(A166,'Inputs-Summary'!$A$32:$B$41,2,FALSE())</f>
        <v>#N/A</v>
      </c>
      <c r="C166" s="122"/>
      <c r="D166" s="123" t="e">
        <f aca="false">B166+C166</f>
        <v>#N/A</v>
      </c>
      <c r="E166" s="111" t="n">
        <f aca="false">IF(Z166=0,0,IF(AND(Z166=1,$H$3=1),D166*U166,IF($H$3=2,D166,"N/A")))</f>
        <v>0</v>
      </c>
      <c r="F166" s="111" t="n">
        <f aca="false">E166*Y166</f>
        <v>0</v>
      </c>
      <c r="G166" s="124" t="n">
        <f aca="false">VLOOKUP($A166,Table,MATCH(G$4,Curves,0))</f>
        <v>3</v>
      </c>
      <c r="H166" s="125" t="n">
        <f aca="false">G166+$H$7</f>
        <v>3</v>
      </c>
      <c r="I166" s="124" t="n">
        <f aca="false">H166</f>
        <v>3</v>
      </c>
      <c r="J166" s="124" t="n">
        <f aca="false">VLOOKUP($A166,Table,MATCH(J$4,Curves,0))</f>
        <v>4</v>
      </c>
      <c r="K166" s="125" t="n">
        <f aca="false">J166+$K$7</f>
        <v>4</v>
      </c>
      <c r="L166" s="126" t="n">
        <f aca="false">K166</f>
        <v>4</v>
      </c>
      <c r="M166" s="124" t="n">
        <f aca="false">VLOOKUP($A166,Table,MATCH(M$4,Curves,0))</f>
        <v>4</v>
      </c>
      <c r="N166" s="125" t="n">
        <f aca="false">M166+$N$7</f>
        <v>4</v>
      </c>
      <c r="O166" s="126" t="n">
        <f aca="false">0.07</f>
        <v>0.07</v>
      </c>
      <c r="P166" s="114"/>
      <c r="Q166" s="126" t="n">
        <f aca="false">M166+J166+G166</f>
        <v>11</v>
      </c>
      <c r="R166" s="126" t="n">
        <f aca="false">N166+K166+H166</f>
        <v>11</v>
      </c>
      <c r="S166" s="126" t="n">
        <f aca="false">O166+L166+I166</f>
        <v>7.07</v>
      </c>
      <c r="T166" s="127"/>
      <c r="U166" s="5" t="n">
        <f aca="false">A167-A166</f>
        <v>28</v>
      </c>
      <c r="V166" s="128" t="n">
        <f aca="false">CHOOSE(F$3,A167+24,A166)</f>
        <v>42036</v>
      </c>
      <c r="W166" s="5" t="n">
        <f aca="false">V166-C$3</f>
        <v>4805</v>
      </c>
      <c r="X166" s="124" t="n">
        <f aca="false">VLOOKUP($A166,Table,MATCH(X$4,Curves,0))</f>
        <v>2</v>
      </c>
      <c r="Y166" s="129" t="n">
        <f aca="false">1/(1+CHOOSE(F$3,(X167+($K$3/10000))/2,(X166+($K$3/10000))/2))^(2*W166/365.25)</f>
        <v>1.20136846077204E-008</v>
      </c>
      <c r="Z166" s="5" t="n">
        <f aca="false">IF(AND(mthbeg&lt;=A166,mthend&gt;=A166),1,0)</f>
        <v>0</v>
      </c>
      <c r="AA166" s="5" t="n">
        <f aca="false">U166*Z166</f>
        <v>0</v>
      </c>
      <c r="AC166" s="115" t="n">
        <f aca="false">IF(G159=2,F166*(S166-Q166),F166*(Q166-S166))</f>
        <v>0</v>
      </c>
      <c r="AE166" s="116" t="n">
        <f aca="false">IF($G$3=1,F166*(R166-Q166),F166*(Q166-R166))</f>
        <v>0</v>
      </c>
      <c r="AG166" s="116" t="n">
        <f aca="false">AC166+AE166</f>
        <v>0</v>
      </c>
    </row>
    <row r="167" customFormat="false" ht="12.75" hidden="false" customHeight="false" outlineLevel="0" collapsed="false">
      <c r="A167" s="120" t="n">
        <f aca="false">EDATE(A166,1)</f>
        <v>42064</v>
      </c>
      <c r="B167" s="121" t="e">
        <f aca="false">VLOOKUP(A167,'Inputs-Summary'!$A$32:$B$41,2,FALSE())</f>
        <v>#N/A</v>
      </c>
      <c r="C167" s="122"/>
      <c r="D167" s="123" t="e">
        <f aca="false">B167+C167</f>
        <v>#N/A</v>
      </c>
      <c r="E167" s="111" t="n">
        <f aca="false">IF(Z167=0,0,IF(AND(Z167=1,$H$3=1),D167*U167,IF($H$3=2,D167,"N/A")))</f>
        <v>0</v>
      </c>
      <c r="F167" s="111" t="n">
        <f aca="false">E167*Y167</f>
        <v>0</v>
      </c>
      <c r="G167" s="124" t="n">
        <f aca="false">VLOOKUP($A167,Table,MATCH(G$4,Curves,0))</f>
        <v>3</v>
      </c>
      <c r="H167" s="125" t="n">
        <f aca="false">G167+$H$7</f>
        <v>3</v>
      </c>
      <c r="I167" s="124" t="n">
        <f aca="false">H167</f>
        <v>3</v>
      </c>
      <c r="J167" s="124" t="n">
        <f aca="false">VLOOKUP($A167,Table,MATCH(J$4,Curves,0))</f>
        <v>4</v>
      </c>
      <c r="K167" s="125" t="n">
        <f aca="false">J167+$K$7</f>
        <v>4</v>
      </c>
      <c r="L167" s="126" t="n">
        <f aca="false">K167</f>
        <v>4</v>
      </c>
      <c r="M167" s="124" t="n">
        <f aca="false">VLOOKUP($A167,Table,MATCH(M$4,Curves,0))</f>
        <v>4</v>
      </c>
      <c r="N167" s="125" t="n">
        <f aca="false">M167+$N$7</f>
        <v>4</v>
      </c>
      <c r="O167" s="126" t="n">
        <f aca="false">0.07</f>
        <v>0.07</v>
      </c>
      <c r="P167" s="114"/>
      <c r="Q167" s="126" t="n">
        <f aca="false">M167+J167+G167</f>
        <v>11</v>
      </c>
      <c r="R167" s="126" t="n">
        <f aca="false">N167+K167+H167</f>
        <v>11</v>
      </c>
      <c r="S167" s="126" t="n">
        <f aca="false">O167+L167+I167</f>
        <v>7.07</v>
      </c>
      <c r="T167" s="127"/>
      <c r="U167" s="5" t="n">
        <f aca="false">A168-A167</f>
        <v>31</v>
      </c>
      <c r="V167" s="128" t="n">
        <f aca="false">CHOOSE(F$3,A168+24,A167)</f>
        <v>42064</v>
      </c>
      <c r="W167" s="5" t="n">
        <f aca="false">V167-C$3</f>
        <v>4833</v>
      </c>
      <c r="X167" s="124" t="n">
        <f aca="false">VLOOKUP($A167,Table,MATCH(X$4,Curves,0))</f>
        <v>2</v>
      </c>
      <c r="Y167" s="129" t="n">
        <f aca="false">1/(1+CHOOSE(F$3,(X168+($K$3/10000))/2,(X167+($K$3/10000))/2))^(2*W167/365.25)</f>
        <v>1.08024537241203E-008</v>
      </c>
      <c r="Z167" s="5" t="n">
        <f aca="false">IF(AND(mthbeg&lt;=A167,mthend&gt;=A167),1,0)</f>
        <v>0</v>
      </c>
      <c r="AA167" s="5" t="n">
        <f aca="false">U167*Z167</f>
        <v>0</v>
      </c>
      <c r="AC167" s="115" t="n">
        <f aca="false">IF(G160=2,F167*(S167-Q167),F167*(Q167-S167))</f>
        <v>0</v>
      </c>
      <c r="AE167" s="116" t="n">
        <f aca="false">IF($G$3=1,F167*(R167-Q167),F167*(Q167-R167))</f>
        <v>0</v>
      </c>
      <c r="AG167" s="116" t="n">
        <f aca="false">AC167+AE167</f>
        <v>0</v>
      </c>
    </row>
    <row r="168" customFormat="false" ht="12.75" hidden="false" customHeight="false" outlineLevel="0" collapsed="false">
      <c r="A168" s="120" t="n">
        <f aca="false">EDATE(A167,1)</f>
        <v>42095</v>
      </c>
      <c r="B168" s="121" t="e">
        <f aca="false">VLOOKUP(A168,'Inputs-Summary'!$A$32:$B$41,2,FALSE())</f>
        <v>#N/A</v>
      </c>
      <c r="C168" s="122"/>
      <c r="D168" s="123" t="e">
        <f aca="false">B168+C168</f>
        <v>#N/A</v>
      </c>
      <c r="E168" s="111" t="n">
        <f aca="false">IF(Z168=0,0,IF(AND(Z168=1,$H$3=1),D168*U168,IF($H$3=2,D168,"N/A")))</f>
        <v>0</v>
      </c>
      <c r="F168" s="111" t="n">
        <f aca="false">E168*Y168</f>
        <v>0</v>
      </c>
      <c r="G168" s="124" t="n">
        <f aca="false">VLOOKUP($A168,Table,MATCH(G$4,Curves,0))</f>
        <v>3</v>
      </c>
      <c r="H168" s="125" t="n">
        <f aca="false">G168+$H$7</f>
        <v>3</v>
      </c>
      <c r="I168" s="124" t="n">
        <f aca="false">H168</f>
        <v>3</v>
      </c>
      <c r="J168" s="124" t="n">
        <f aca="false">VLOOKUP($A168,Table,MATCH(J$4,Curves,0))</f>
        <v>4</v>
      </c>
      <c r="K168" s="125" t="n">
        <f aca="false">J168+$K$7</f>
        <v>4</v>
      </c>
      <c r="L168" s="126" t="n">
        <f aca="false">K168</f>
        <v>4</v>
      </c>
      <c r="M168" s="124" t="n">
        <f aca="false">VLOOKUP($A168,Table,MATCH(M$4,Curves,0))</f>
        <v>4</v>
      </c>
      <c r="N168" s="125" t="n">
        <f aca="false">M168+$N$7</f>
        <v>4</v>
      </c>
      <c r="O168" s="126" t="n">
        <f aca="false">0.07</f>
        <v>0.07</v>
      </c>
      <c r="P168" s="114"/>
      <c r="Q168" s="126" t="n">
        <f aca="false">M168+J168+G168</f>
        <v>11</v>
      </c>
      <c r="R168" s="126" t="n">
        <f aca="false">N168+K168+H168</f>
        <v>11</v>
      </c>
      <c r="S168" s="126" t="n">
        <f aca="false">O168+L168+I168</f>
        <v>7.07</v>
      </c>
      <c r="T168" s="127"/>
      <c r="U168" s="5" t="n">
        <f aca="false">A169-A168</f>
        <v>30</v>
      </c>
      <c r="V168" s="128" t="n">
        <f aca="false">CHOOSE(F$3,A169+24,A168)</f>
        <v>42095</v>
      </c>
      <c r="W168" s="5" t="n">
        <f aca="false">V168-C$3</f>
        <v>4864</v>
      </c>
      <c r="X168" s="124" t="n">
        <f aca="false">VLOOKUP($A168,Table,MATCH(X$4,Curves,0))</f>
        <v>2</v>
      </c>
      <c r="Y168" s="129" t="n">
        <f aca="false">1/(1+CHOOSE(F$3,(X169+($K$3/10000))/2,(X168+($K$3/10000))/2))^(2*W168/365.25)</f>
        <v>9.60336756191134E-009</v>
      </c>
      <c r="Z168" s="5" t="n">
        <f aca="false">IF(AND(mthbeg&lt;=A168,mthend&gt;=A168),1,0)</f>
        <v>0</v>
      </c>
      <c r="AA168" s="5" t="n">
        <f aca="false">U168*Z168</f>
        <v>0</v>
      </c>
      <c r="AC168" s="115" t="n">
        <f aca="false">IF(G161=2,F168*(S168-Q168),F168*(Q168-S168))</f>
        <v>0</v>
      </c>
      <c r="AE168" s="116" t="n">
        <f aca="false">IF($G$3=1,F168*(R168-Q168),F168*(Q168-R168))</f>
        <v>0</v>
      </c>
      <c r="AG168" s="116" t="n">
        <f aca="false">AC168+AE168</f>
        <v>0</v>
      </c>
    </row>
    <row r="169" customFormat="false" ht="12.75" hidden="false" customHeight="false" outlineLevel="0" collapsed="false">
      <c r="A169" s="120" t="n">
        <f aca="false">EDATE(A168,1)</f>
        <v>42125</v>
      </c>
      <c r="B169" s="121" t="e">
        <f aca="false">VLOOKUP(A169,'Inputs-Summary'!$A$32:$B$41,2,FALSE())</f>
        <v>#N/A</v>
      </c>
      <c r="C169" s="122"/>
      <c r="D169" s="123" t="e">
        <f aca="false">B169+C169</f>
        <v>#N/A</v>
      </c>
      <c r="E169" s="111" t="n">
        <f aca="false">IF(Z169=0,0,IF(AND(Z169=1,$H$3=1),D169*U169,IF($H$3=2,D169,"N/A")))</f>
        <v>0</v>
      </c>
      <c r="F169" s="111" t="n">
        <f aca="false">E169*Y169</f>
        <v>0</v>
      </c>
      <c r="G169" s="124" t="n">
        <f aca="false">VLOOKUP($A169,Table,MATCH(G$4,Curves,0))</f>
        <v>3</v>
      </c>
      <c r="H169" s="125" t="n">
        <f aca="false">G169+$H$7</f>
        <v>3</v>
      </c>
      <c r="I169" s="124" t="n">
        <f aca="false">H169</f>
        <v>3</v>
      </c>
      <c r="J169" s="124" t="n">
        <f aca="false">VLOOKUP($A169,Table,MATCH(J$4,Curves,0))</f>
        <v>4</v>
      </c>
      <c r="K169" s="125" t="n">
        <f aca="false">J169+$K$7</f>
        <v>4</v>
      </c>
      <c r="L169" s="126" t="n">
        <f aca="false">K169</f>
        <v>4</v>
      </c>
      <c r="M169" s="124" t="n">
        <f aca="false">VLOOKUP($A169,Table,MATCH(M$4,Curves,0))</f>
        <v>4</v>
      </c>
      <c r="N169" s="125" t="n">
        <f aca="false">M169+$N$7</f>
        <v>4</v>
      </c>
      <c r="O169" s="126" t="n">
        <f aca="false">0.07</f>
        <v>0.07</v>
      </c>
      <c r="P169" s="114"/>
      <c r="Q169" s="126" t="n">
        <f aca="false">M169+J169+G169</f>
        <v>11</v>
      </c>
      <c r="R169" s="126" t="n">
        <f aca="false">N169+K169+H169</f>
        <v>11</v>
      </c>
      <c r="S169" s="126" t="n">
        <f aca="false">O169+L169+I169</f>
        <v>7.07</v>
      </c>
      <c r="T169" s="127"/>
      <c r="U169" s="5" t="n">
        <f aca="false">A170-A169</f>
        <v>31</v>
      </c>
      <c r="V169" s="128" t="n">
        <f aca="false">CHOOSE(F$3,A170+24,A169)</f>
        <v>42125</v>
      </c>
      <c r="W169" s="5" t="n">
        <f aca="false">V169-C$3</f>
        <v>4894</v>
      </c>
      <c r="X169" s="124" t="n">
        <f aca="false">VLOOKUP($A169,Table,MATCH(X$4,Curves,0))</f>
        <v>2</v>
      </c>
      <c r="Y169" s="129" t="n">
        <f aca="false">1/(1+CHOOSE(F$3,(X170+($K$3/10000))/2,(X169+($K$3/10000))/2))^(2*W169/365.25)</f>
        <v>8.56984641684573E-009</v>
      </c>
      <c r="Z169" s="5" t="n">
        <f aca="false">IF(AND(mthbeg&lt;=A169,mthend&gt;=A169),1,0)</f>
        <v>0</v>
      </c>
      <c r="AA169" s="5" t="n">
        <f aca="false">U169*Z169</f>
        <v>0</v>
      </c>
      <c r="AC169" s="115" t="n">
        <f aca="false">IF(G162=2,F169*(S169-Q169),F169*(Q169-S169))</f>
        <v>0</v>
      </c>
      <c r="AE169" s="116" t="n">
        <f aca="false">IF($G$3=1,F169*(R169-Q169),F169*(Q169-R169))</f>
        <v>0</v>
      </c>
      <c r="AG169" s="116" t="n">
        <f aca="false">AC169+AE169</f>
        <v>0</v>
      </c>
    </row>
    <row r="170" customFormat="false" ht="12" hidden="false" customHeight="true" outlineLevel="0" collapsed="false">
      <c r="A170" s="120" t="n">
        <f aca="false">EDATE(A169,1)</f>
        <v>42156</v>
      </c>
      <c r="B170" s="121" t="e">
        <f aca="false">VLOOKUP(A170,'Inputs-Summary'!$A$32:$B$41,2,FALSE())</f>
        <v>#N/A</v>
      </c>
      <c r="C170" s="122"/>
      <c r="D170" s="123" t="e">
        <f aca="false">B170+C170</f>
        <v>#N/A</v>
      </c>
      <c r="E170" s="111" t="n">
        <f aca="false">IF(Z170=0,0,IF(AND(Z170=1,$H$3=1),D170*U170,IF($H$3=2,D170,"N/A")))</f>
        <v>0</v>
      </c>
      <c r="F170" s="111" t="n">
        <f aca="false">E170*Y170</f>
        <v>0</v>
      </c>
      <c r="G170" s="124" t="n">
        <f aca="false">VLOOKUP($A170,Table,MATCH(G$4,Curves,0))</f>
        <v>3</v>
      </c>
      <c r="H170" s="125" t="n">
        <f aca="false">G170+$H$7</f>
        <v>3</v>
      </c>
      <c r="I170" s="124" t="n">
        <f aca="false">H170</f>
        <v>3</v>
      </c>
      <c r="J170" s="124" t="n">
        <f aca="false">VLOOKUP($A170,Table,MATCH(J$4,Curves,0))</f>
        <v>4</v>
      </c>
      <c r="K170" s="125" t="n">
        <f aca="false">J170+$K$7</f>
        <v>4</v>
      </c>
      <c r="L170" s="126" t="n">
        <f aca="false">K170</f>
        <v>4</v>
      </c>
      <c r="M170" s="124" t="n">
        <f aca="false">VLOOKUP($A170,Table,MATCH(M$4,Curves,0))</f>
        <v>4</v>
      </c>
      <c r="N170" s="125" t="n">
        <f aca="false">M170+$N$7</f>
        <v>4</v>
      </c>
      <c r="O170" s="126" t="n">
        <f aca="false">0.07</f>
        <v>0.07</v>
      </c>
      <c r="P170" s="114"/>
      <c r="Q170" s="126" t="n">
        <f aca="false">M170+J170+G170</f>
        <v>11</v>
      </c>
      <c r="R170" s="126" t="n">
        <f aca="false">N170+K170+H170</f>
        <v>11</v>
      </c>
      <c r="S170" s="126" t="n">
        <f aca="false">O170+L170+I170</f>
        <v>7.07</v>
      </c>
      <c r="T170" s="127"/>
      <c r="U170" s="5" t="n">
        <f aca="false">A171-A170</f>
        <v>30</v>
      </c>
      <c r="V170" s="128" t="n">
        <f aca="false">CHOOSE(F$3,A171+24,A170)</f>
        <v>42156</v>
      </c>
      <c r="W170" s="5" t="n">
        <f aca="false">V170-C$3</f>
        <v>4925</v>
      </c>
      <c r="X170" s="124" t="n">
        <f aca="false">VLOOKUP($A170,Table,MATCH(X$4,Curves,0))</f>
        <v>2</v>
      </c>
      <c r="Y170" s="129" t="n">
        <f aca="false">1/(1+CHOOSE(F$3,(X171+($K$3/10000))/2,(X170+($K$3/10000))/2))^(2*W170/365.25)</f>
        <v>7.61858251763077E-009</v>
      </c>
      <c r="Z170" s="5" t="n">
        <f aca="false">IF(AND(mthbeg&lt;=A170,mthend&gt;=A170),1,0)</f>
        <v>0</v>
      </c>
      <c r="AA170" s="5" t="n">
        <f aca="false">U170*Z170</f>
        <v>0</v>
      </c>
      <c r="AC170" s="115" t="n">
        <f aca="false">IF(G163=2,F170*(S170-Q170),F170*(Q170-S170))</f>
        <v>0</v>
      </c>
      <c r="AE170" s="116" t="n">
        <f aca="false">IF($G$3=1,F170*(R170-Q170),F170*(Q170-R170))</f>
        <v>0</v>
      </c>
      <c r="AG170" s="116" t="n">
        <f aca="false">AC170+AE170</f>
        <v>0</v>
      </c>
    </row>
    <row r="171" customFormat="false" ht="12" hidden="false" customHeight="true" outlineLevel="0" collapsed="false">
      <c r="A171" s="120" t="n">
        <f aca="false">EDATE(A170,1)</f>
        <v>42186</v>
      </c>
      <c r="B171" s="121" t="e">
        <f aca="false">VLOOKUP(A171,'Inputs-Summary'!$A$32:$B$41,2,FALSE())</f>
        <v>#N/A</v>
      </c>
      <c r="C171" s="122"/>
      <c r="D171" s="123" t="e">
        <f aca="false">B171+C171</f>
        <v>#N/A</v>
      </c>
      <c r="E171" s="111" t="n">
        <f aca="false">IF(Z171=0,0,IF(AND(Z171=1,$H$3=1),D171*U171,IF($H$3=2,D171,"N/A")))</f>
        <v>0</v>
      </c>
      <c r="F171" s="111" t="n">
        <f aca="false">E171*Y171</f>
        <v>0</v>
      </c>
      <c r="G171" s="124" t="n">
        <f aca="false">VLOOKUP($A171,Table,MATCH(G$4,Curves,0))</f>
        <v>3</v>
      </c>
      <c r="H171" s="125" t="n">
        <f aca="false">G171+$H$7</f>
        <v>3</v>
      </c>
      <c r="I171" s="124" t="n">
        <f aca="false">H171</f>
        <v>3</v>
      </c>
      <c r="J171" s="124" t="n">
        <f aca="false">VLOOKUP($A171,Table,MATCH(J$4,Curves,0))</f>
        <v>4</v>
      </c>
      <c r="K171" s="125" t="n">
        <f aca="false">J171+$K$7</f>
        <v>4</v>
      </c>
      <c r="L171" s="126" t="n">
        <f aca="false">K171</f>
        <v>4</v>
      </c>
      <c r="M171" s="124" t="n">
        <f aca="false">VLOOKUP($A171,Table,MATCH(M$4,Curves,0))</f>
        <v>4</v>
      </c>
      <c r="N171" s="125" t="n">
        <f aca="false">M171+$N$7</f>
        <v>4</v>
      </c>
      <c r="O171" s="126" t="n">
        <f aca="false">0.07</f>
        <v>0.07</v>
      </c>
      <c r="P171" s="114"/>
      <c r="Q171" s="126" t="n">
        <f aca="false">M171+J171+G171</f>
        <v>11</v>
      </c>
      <c r="R171" s="126" t="n">
        <f aca="false">N171+K171+H171</f>
        <v>11</v>
      </c>
      <c r="S171" s="126" t="n">
        <f aca="false">O171+L171+I171</f>
        <v>7.07</v>
      </c>
      <c r="T171" s="127"/>
      <c r="U171" s="5" t="n">
        <f aca="false">A172-A171</f>
        <v>31</v>
      </c>
      <c r="V171" s="128" t="n">
        <f aca="false">CHOOSE(F$3,A172+24,A171)</f>
        <v>42186</v>
      </c>
      <c r="W171" s="5" t="n">
        <f aca="false">V171-C$3</f>
        <v>4955</v>
      </c>
      <c r="X171" s="124" t="n">
        <f aca="false">VLOOKUP($A171,Table,MATCH(X$4,Curves,0))</f>
        <v>2</v>
      </c>
      <c r="Y171" s="129" t="n">
        <f aca="false">1/(1+CHOOSE(F$3,(X172+($K$3/10000))/2,(X171+($K$3/10000))/2))^(2*W171/365.25)</f>
        <v>6.79866532955726E-009</v>
      </c>
      <c r="Z171" s="5" t="n">
        <f aca="false">IF(AND(mthbeg&lt;=A171,mthend&gt;=A171),1,0)</f>
        <v>0</v>
      </c>
      <c r="AA171" s="5" t="n">
        <f aca="false">U171*Z171</f>
        <v>0</v>
      </c>
      <c r="AC171" s="115" t="n">
        <f aca="false">IF(G164=2,F171*(S171-Q171),F171*(Q171-S171))</f>
        <v>0</v>
      </c>
      <c r="AE171" s="116" t="n">
        <f aca="false">IF($G$3=1,F171*(R171-Q171),F171*(Q171-R171))</f>
        <v>0</v>
      </c>
      <c r="AG171" s="116" t="n">
        <f aca="false">AC171+AE171</f>
        <v>0</v>
      </c>
    </row>
    <row r="172" customFormat="false" ht="12" hidden="false" customHeight="true" outlineLevel="0" collapsed="false">
      <c r="A172" s="120" t="n">
        <f aca="false">EDATE(A171,1)</f>
        <v>42217</v>
      </c>
      <c r="B172" s="121" t="e">
        <f aca="false">VLOOKUP(A172,'Inputs-Summary'!$A$32:$B$41,2,FALSE())</f>
        <v>#N/A</v>
      </c>
      <c r="C172" s="122"/>
      <c r="D172" s="123" t="e">
        <f aca="false">B172+C172</f>
        <v>#N/A</v>
      </c>
      <c r="E172" s="111" t="n">
        <f aca="false">IF(Z172=0,0,IF(AND(Z172=1,$H$3=1),D172*U172,IF($H$3=2,D172,"N/A")))</f>
        <v>0</v>
      </c>
      <c r="F172" s="111" t="n">
        <f aca="false">E172*Y172</f>
        <v>0</v>
      </c>
      <c r="G172" s="124" t="n">
        <f aca="false">VLOOKUP($A172,Table,MATCH(G$4,Curves,0))</f>
        <v>3</v>
      </c>
      <c r="H172" s="125" t="n">
        <f aca="false">G172+$H$7</f>
        <v>3</v>
      </c>
      <c r="I172" s="124" t="n">
        <f aca="false">H172</f>
        <v>3</v>
      </c>
      <c r="J172" s="124" t="n">
        <f aca="false">VLOOKUP($A172,Table,MATCH(J$4,Curves,0))</f>
        <v>4</v>
      </c>
      <c r="K172" s="125" t="n">
        <f aca="false">J172+$K$7</f>
        <v>4</v>
      </c>
      <c r="L172" s="126" t="n">
        <f aca="false">K172</f>
        <v>4</v>
      </c>
      <c r="M172" s="124" t="n">
        <f aca="false">VLOOKUP($A172,Table,MATCH(M$4,Curves,0))</f>
        <v>4</v>
      </c>
      <c r="N172" s="125" t="n">
        <f aca="false">M172+$N$7</f>
        <v>4</v>
      </c>
      <c r="O172" s="126" t="n">
        <f aca="false">0.07</f>
        <v>0.07</v>
      </c>
      <c r="P172" s="114"/>
      <c r="Q172" s="126" t="n">
        <f aca="false">M172+J172+G172</f>
        <v>11</v>
      </c>
      <c r="R172" s="126" t="n">
        <f aca="false">N172+K172+H172</f>
        <v>11</v>
      </c>
      <c r="S172" s="126" t="n">
        <f aca="false">O172+L172+I172</f>
        <v>7.07</v>
      </c>
      <c r="T172" s="127"/>
      <c r="U172" s="5" t="n">
        <f aca="false">A173-A172</f>
        <v>31</v>
      </c>
      <c r="V172" s="128" t="n">
        <f aca="false">CHOOSE(F$3,A173+24,A172)</f>
        <v>42217</v>
      </c>
      <c r="W172" s="5" t="n">
        <f aca="false">V172-C$3</f>
        <v>4986</v>
      </c>
      <c r="X172" s="124" t="n">
        <f aca="false">VLOOKUP($A172,Table,MATCH(X$4,Curves,0))</f>
        <v>2</v>
      </c>
      <c r="Y172" s="129" t="n">
        <f aca="false">1/(1+CHOOSE(F$3,(X173+($K$3/10000))/2,(X172+($K$3/10000))/2))^(2*W172/365.25)</f>
        <v>6.04400479350152E-009</v>
      </c>
      <c r="Z172" s="5" t="n">
        <f aca="false">IF(AND(mthbeg&lt;=A172,mthend&gt;=A172),1,0)</f>
        <v>0</v>
      </c>
      <c r="AA172" s="5" t="n">
        <f aca="false">U172*Z172</f>
        <v>0</v>
      </c>
      <c r="AC172" s="115" t="n">
        <f aca="false">IF(G165=2,F172*(S172-Q172),F172*(Q172-S172))</f>
        <v>0</v>
      </c>
      <c r="AE172" s="116" t="n">
        <f aca="false">IF($G$3=1,F172*(R172-Q172),F172*(Q172-R172))</f>
        <v>0</v>
      </c>
      <c r="AG172" s="116" t="n">
        <f aca="false">AC172+AE172</f>
        <v>0</v>
      </c>
    </row>
    <row r="173" customFormat="false" ht="12" hidden="false" customHeight="true" outlineLevel="0" collapsed="false">
      <c r="A173" s="120" t="n">
        <f aca="false">EDATE(A172,1)</f>
        <v>42248</v>
      </c>
      <c r="B173" s="121" t="e">
        <f aca="false">VLOOKUP(A173,'Inputs-Summary'!$A$32:$B$41,2,FALSE())</f>
        <v>#N/A</v>
      </c>
      <c r="C173" s="122"/>
      <c r="D173" s="123" t="e">
        <f aca="false">B173+C173</f>
        <v>#N/A</v>
      </c>
      <c r="E173" s="111" t="n">
        <f aca="false">IF(Z173=0,0,IF(AND(Z173=1,$H$3=1),D173*U173,IF($H$3=2,D173,"N/A")))</f>
        <v>0</v>
      </c>
      <c r="F173" s="111" t="n">
        <f aca="false">E173*Y173</f>
        <v>0</v>
      </c>
      <c r="G173" s="124" t="n">
        <f aca="false">VLOOKUP($A173,Table,MATCH(G$4,Curves,0))</f>
        <v>3</v>
      </c>
      <c r="H173" s="125" t="n">
        <f aca="false">G173+$H$7</f>
        <v>3</v>
      </c>
      <c r="I173" s="124" t="n">
        <f aca="false">H173</f>
        <v>3</v>
      </c>
      <c r="J173" s="124" t="n">
        <f aca="false">VLOOKUP($A173,Table,MATCH(J$4,Curves,0))</f>
        <v>4</v>
      </c>
      <c r="K173" s="125" t="n">
        <f aca="false">J173+$K$7</f>
        <v>4</v>
      </c>
      <c r="L173" s="126" t="n">
        <f aca="false">K173</f>
        <v>4</v>
      </c>
      <c r="M173" s="124" t="n">
        <f aca="false">VLOOKUP($A173,Table,MATCH(M$4,Curves,0))</f>
        <v>4</v>
      </c>
      <c r="N173" s="125" t="n">
        <f aca="false">M173+$N$7</f>
        <v>4</v>
      </c>
      <c r="O173" s="126" t="n">
        <f aca="false">0.07</f>
        <v>0.07</v>
      </c>
      <c r="P173" s="114"/>
      <c r="Q173" s="126" t="n">
        <f aca="false">M173+J173+G173</f>
        <v>11</v>
      </c>
      <c r="R173" s="126" t="n">
        <f aca="false">N173+K173+H173</f>
        <v>11</v>
      </c>
      <c r="S173" s="126" t="n">
        <f aca="false">O173+L173+I173</f>
        <v>7.07</v>
      </c>
      <c r="T173" s="127"/>
      <c r="U173" s="5" t="n">
        <f aca="false">A174-A173</f>
        <v>30</v>
      </c>
      <c r="V173" s="128" t="n">
        <f aca="false">CHOOSE(F$3,A174+24,A173)</f>
        <v>42248</v>
      </c>
      <c r="W173" s="5" t="n">
        <f aca="false">V173-C$3</f>
        <v>5017</v>
      </c>
      <c r="X173" s="124" t="n">
        <f aca="false">VLOOKUP($A173,Table,MATCH(X$4,Curves,0))</f>
        <v>2</v>
      </c>
      <c r="Y173" s="129" t="n">
        <f aca="false">1/(1+CHOOSE(F$3,(X174+($K$3/10000))/2,(X173+($K$3/10000))/2))^(2*W173/365.25)</f>
        <v>5.37311254093577E-009</v>
      </c>
      <c r="Z173" s="5" t="n">
        <f aca="false">IF(AND(mthbeg&lt;=A173,mthend&gt;=A173),1,0)</f>
        <v>0</v>
      </c>
      <c r="AA173" s="5" t="n">
        <f aca="false">U173*Z173</f>
        <v>0</v>
      </c>
      <c r="AC173" s="115" t="n">
        <f aca="false">IF(G166=2,F173*(S173-Q173),F173*(Q173-S173))</f>
        <v>0</v>
      </c>
      <c r="AE173" s="116" t="n">
        <f aca="false">IF($G$3=1,F173*(R173-Q173),F173*(Q173-R173))</f>
        <v>0</v>
      </c>
      <c r="AG173" s="116" t="n">
        <f aca="false">AC173+AE173</f>
        <v>0</v>
      </c>
    </row>
    <row r="174" customFormat="false" ht="12" hidden="false" customHeight="true" outlineLevel="0" collapsed="false">
      <c r="A174" s="120" t="n">
        <f aca="false">EDATE(A173,1)</f>
        <v>42278</v>
      </c>
      <c r="B174" s="121" t="e">
        <f aca="false">VLOOKUP(A174,'Inputs-Summary'!$A$32:$B$41,2,FALSE())</f>
        <v>#N/A</v>
      </c>
      <c r="C174" s="122"/>
      <c r="D174" s="123" t="e">
        <f aca="false">B174+C174</f>
        <v>#N/A</v>
      </c>
      <c r="E174" s="111" t="n">
        <f aca="false">IF(Z174=0,0,IF(AND(Z174=1,$H$3=1),D174*U174,IF($H$3=2,D174,"N/A")))</f>
        <v>0</v>
      </c>
      <c r="F174" s="111" t="n">
        <f aca="false">E174*Y174</f>
        <v>0</v>
      </c>
      <c r="G174" s="124" t="n">
        <f aca="false">VLOOKUP($A174,Table,MATCH(G$4,Curves,0))</f>
        <v>3</v>
      </c>
      <c r="H174" s="125" t="n">
        <f aca="false">G174+$H$7</f>
        <v>3</v>
      </c>
      <c r="I174" s="124" t="n">
        <f aca="false">H174</f>
        <v>3</v>
      </c>
      <c r="J174" s="124" t="n">
        <f aca="false">VLOOKUP($A174,Table,MATCH(J$4,Curves,0))</f>
        <v>4</v>
      </c>
      <c r="K174" s="125" t="n">
        <f aca="false">J174+$K$7</f>
        <v>4</v>
      </c>
      <c r="L174" s="126" t="n">
        <f aca="false">K174</f>
        <v>4</v>
      </c>
      <c r="M174" s="124" t="n">
        <f aca="false">VLOOKUP($A174,Table,MATCH(M$4,Curves,0))</f>
        <v>4</v>
      </c>
      <c r="N174" s="125" t="n">
        <f aca="false">M174+$N$7</f>
        <v>4</v>
      </c>
      <c r="O174" s="126" t="n">
        <f aca="false">0.07</f>
        <v>0.07</v>
      </c>
      <c r="P174" s="114"/>
      <c r="Q174" s="126" t="n">
        <f aca="false">M174+J174+G174</f>
        <v>11</v>
      </c>
      <c r="R174" s="126" t="n">
        <f aca="false">N174+K174+H174</f>
        <v>11</v>
      </c>
      <c r="S174" s="126" t="n">
        <f aca="false">O174+L174+I174</f>
        <v>7.07</v>
      </c>
      <c r="T174" s="127"/>
      <c r="U174" s="5" t="n">
        <f aca="false">A175-A174</f>
        <v>31</v>
      </c>
      <c r="V174" s="128" t="n">
        <f aca="false">CHOOSE(F$3,A175+24,A174)</f>
        <v>42278</v>
      </c>
      <c r="W174" s="5" t="n">
        <f aca="false">V174-C$3</f>
        <v>5047</v>
      </c>
      <c r="X174" s="124" t="n">
        <f aca="false">VLOOKUP($A174,Table,MATCH(X$4,Curves,0))</f>
        <v>2</v>
      </c>
      <c r="Y174" s="129" t="n">
        <f aca="false">1/(1+CHOOSE(F$3,(X175+($K$3/10000))/2,(X174+($K$3/10000))/2))^(2*W174/365.25)</f>
        <v>4.79485440491488E-009</v>
      </c>
      <c r="Z174" s="5" t="n">
        <f aca="false">IF(AND(mthbeg&lt;=A174,mthend&gt;=A174),1,0)</f>
        <v>0</v>
      </c>
      <c r="AA174" s="5" t="n">
        <f aca="false">U174*Z174</f>
        <v>0</v>
      </c>
      <c r="AC174" s="115" t="n">
        <f aca="false">IF(G167=2,F174*(S174-Q174),F174*(Q174-S174))</f>
        <v>0</v>
      </c>
      <c r="AE174" s="116" t="n">
        <f aca="false">IF($G$3=1,F174*(R174-Q174),F174*(Q174-R174))</f>
        <v>0</v>
      </c>
      <c r="AG174" s="116" t="n">
        <f aca="false">AC174+AE174</f>
        <v>0</v>
      </c>
    </row>
    <row r="175" customFormat="false" ht="12" hidden="false" customHeight="true" outlineLevel="0" collapsed="false">
      <c r="A175" s="120" t="n">
        <f aca="false">EDATE(A174,1)</f>
        <v>42309</v>
      </c>
      <c r="B175" s="121" t="e">
        <f aca="false">VLOOKUP(A175,'Inputs-Summary'!$A$32:$B$41,2,FALSE())</f>
        <v>#N/A</v>
      </c>
      <c r="C175" s="122"/>
      <c r="D175" s="123" t="e">
        <f aca="false">B175+C175</f>
        <v>#N/A</v>
      </c>
      <c r="E175" s="111" t="n">
        <f aca="false">IF(Z175=0,0,IF(AND(Z175=1,$H$3=1),D175*U175,IF($H$3=2,D175,"N/A")))</f>
        <v>0</v>
      </c>
      <c r="F175" s="111" t="n">
        <f aca="false">E175*Y175</f>
        <v>0</v>
      </c>
      <c r="G175" s="124" t="n">
        <f aca="false">VLOOKUP($A175,Table,MATCH(G$4,Curves,0))</f>
        <v>3</v>
      </c>
      <c r="H175" s="125" t="n">
        <f aca="false">G175+$H$7</f>
        <v>3</v>
      </c>
      <c r="I175" s="124" t="n">
        <f aca="false">H175</f>
        <v>3</v>
      </c>
      <c r="J175" s="124" t="n">
        <f aca="false">VLOOKUP($A175,Table,MATCH(J$4,Curves,0))</f>
        <v>4</v>
      </c>
      <c r="K175" s="125" t="n">
        <f aca="false">J175+$K$7</f>
        <v>4</v>
      </c>
      <c r="L175" s="126" t="n">
        <f aca="false">K175</f>
        <v>4</v>
      </c>
      <c r="M175" s="124" t="n">
        <f aca="false">VLOOKUP($A175,Table,MATCH(M$4,Curves,0))</f>
        <v>4</v>
      </c>
      <c r="N175" s="125" t="n">
        <f aca="false">M175+$N$7</f>
        <v>4</v>
      </c>
      <c r="O175" s="126" t="n">
        <f aca="false">0.07</f>
        <v>0.07</v>
      </c>
      <c r="P175" s="114"/>
      <c r="Q175" s="126" t="n">
        <f aca="false">M175+J175+G175</f>
        <v>11</v>
      </c>
      <c r="R175" s="126" t="n">
        <f aca="false">N175+K175+H175</f>
        <v>11</v>
      </c>
      <c r="S175" s="126" t="n">
        <f aca="false">O175+L175+I175</f>
        <v>7.07</v>
      </c>
      <c r="T175" s="127"/>
      <c r="U175" s="5" t="n">
        <f aca="false">A176-A175</f>
        <v>30</v>
      </c>
      <c r="V175" s="128" t="n">
        <f aca="false">CHOOSE(F$3,A176+24,A175)</f>
        <v>42309</v>
      </c>
      <c r="W175" s="5" t="n">
        <f aca="false">V175-C$3</f>
        <v>5078</v>
      </c>
      <c r="X175" s="124" t="n">
        <f aca="false">VLOOKUP($A175,Table,MATCH(X$4,Curves,0))</f>
        <v>2</v>
      </c>
      <c r="Y175" s="129" t="n">
        <f aca="false">1/(1+CHOOSE(F$3,(X176+($K$3/10000))/2,(X175+($K$3/10000))/2))^(2*W175/365.25)</f>
        <v>4.26261944112118E-009</v>
      </c>
      <c r="Z175" s="5" t="n">
        <f aca="false">IF(AND(mthbeg&lt;=A175,mthend&gt;=A175),1,0)</f>
        <v>0</v>
      </c>
      <c r="AA175" s="5" t="n">
        <f aca="false">U175*Z175</f>
        <v>0</v>
      </c>
      <c r="AC175" s="115" t="n">
        <f aca="false">IF(G168=2,F175*(S175-Q175),F175*(Q175-S175))</f>
        <v>0</v>
      </c>
      <c r="AE175" s="116" t="n">
        <f aca="false">IF($G$3=1,F175*(R175-Q175),F175*(Q175-R175))</f>
        <v>0</v>
      </c>
      <c r="AG175" s="116" t="n">
        <f aca="false">AC175+AE175</f>
        <v>0</v>
      </c>
    </row>
    <row r="176" customFormat="false" ht="12" hidden="false" customHeight="true" outlineLevel="0" collapsed="false">
      <c r="A176" s="120" t="n">
        <f aca="false">EDATE(A175,1)</f>
        <v>42339</v>
      </c>
      <c r="B176" s="121" t="e">
        <f aca="false">VLOOKUP(A176,'Inputs-Summary'!$A$32:$B$41,2,FALSE())</f>
        <v>#N/A</v>
      </c>
      <c r="C176" s="122"/>
      <c r="D176" s="123" t="e">
        <f aca="false">B176+C176</f>
        <v>#N/A</v>
      </c>
      <c r="E176" s="111" t="n">
        <f aca="false">IF(Z176=0,0,IF(AND(Z176=1,$H$3=1),D176*U176,IF($H$3=2,D176,"N/A")))</f>
        <v>0</v>
      </c>
      <c r="F176" s="111" t="n">
        <f aca="false">E176*Y176</f>
        <v>0</v>
      </c>
      <c r="G176" s="124" t="n">
        <f aca="false">VLOOKUP($A176,Table,MATCH(G$4,Curves,0))</f>
        <v>3</v>
      </c>
      <c r="H176" s="125" t="n">
        <f aca="false">G176+$H$7</f>
        <v>3</v>
      </c>
      <c r="I176" s="124" t="n">
        <f aca="false">H176</f>
        <v>3</v>
      </c>
      <c r="J176" s="124" t="n">
        <f aca="false">VLOOKUP($A176,Table,MATCH(J$4,Curves,0))</f>
        <v>4</v>
      </c>
      <c r="K176" s="125" t="n">
        <f aca="false">J176+$K$7</f>
        <v>4</v>
      </c>
      <c r="L176" s="126" t="n">
        <f aca="false">K176</f>
        <v>4</v>
      </c>
      <c r="M176" s="124" t="n">
        <f aca="false">VLOOKUP($A176,Table,MATCH(M$4,Curves,0))</f>
        <v>4</v>
      </c>
      <c r="N176" s="125" t="n">
        <f aca="false">M176+$N$7</f>
        <v>4</v>
      </c>
      <c r="O176" s="126" t="n">
        <f aca="false">0.07</f>
        <v>0.07</v>
      </c>
      <c r="P176" s="114"/>
      <c r="Q176" s="126" t="n">
        <f aca="false">M176+J176+G176</f>
        <v>11</v>
      </c>
      <c r="R176" s="126" t="n">
        <f aca="false">N176+K176+H176</f>
        <v>11</v>
      </c>
      <c r="S176" s="126" t="n">
        <f aca="false">O176+L176+I176</f>
        <v>7.07</v>
      </c>
      <c r="T176" s="127"/>
      <c r="U176" s="5" t="n">
        <f aca="false">A177-A176</f>
        <v>31</v>
      </c>
      <c r="V176" s="128" t="n">
        <f aca="false">CHOOSE(F$3,A177+24,A176)</f>
        <v>42339</v>
      </c>
      <c r="W176" s="5" t="n">
        <f aca="false">V176-C$3</f>
        <v>5108</v>
      </c>
      <c r="X176" s="124" t="n">
        <f aca="false">VLOOKUP($A176,Table,MATCH(X$4,Curves,0))</f>
        <v>2</v>
      </c>
      <c r="Y176" s="129" t="n">
        <f aca="false">1/(1+CHOOSE(F$3,(X177+($K$3/10000))/2,(X176+($K$3/10000))/2))^(2*W176/365.25)</f>
        <v>3.8038733505061E-009</v>
      </c>
      <c r="Z176" s="5" t="n">
        <f aca="false">IF(AND(mthbeg&lt;=A176,mthend&gt;=A176),1,0)</f>
        <v>0</v>
      </c>
      <c r="AA176" s="5" t="n">
        <f aca="false">U176*Z176</f>
        <v>0</v>
      </c>
      <c r="AC176" s="115" t="n">
        <f aca="false">IF(G169=2,F176*(S176-Q176),F176*(Q176-S176))</f>
        <v>0</v>
      </c>
      <c r="AE176" s="116" t="n">
        <f aca="false">IF($G$3=1,F176*(R176-Q176),F176*(Q176-R176))</f>
        <v>0</v>
      </c>
      <c r="AG176" s="116" t="n">
        <f aca="false">AC176+AE176</f>
        <v>0</v>
      </c>
    </row>
    <row r="177" customFormat="false" ht="12" hidden="false" customHeight="true" outlineLevel="0" collapsed="false">
      <c r="A177" s="120" t="n">
        <f aca="false">EDATE(A176,1)</f>
        <v>42370</v>
      </c>
      <c r="B177" s="121" t="e">
        <f aca="false">VLOOKUP(A177,'Inputs-Summary'!$A$32:$B$41,2,FALSE())</f>
        <v>#N/A</v>
      </c>
      <c r="C177" s="122"/>
      <c r="D177" s="123" t="e">
        <f aca="false">B177+C177</f>
        <v>#N/A</v>
      </c>
      <c r="E177" s="111" t="n">
        <f aca="false">IF(Z177=0,0,IF(AND(Z177=1,$H$3=1),D177*U177,IF($H$3=2,D177,"N/A")))</f>
        <v>0</v>
      </c>
      <c r="F177" s="111" t="n">
        <f aca="false">E177*Y177</f>
        <v>0</v>
      </c>
      <c r="G177" s="124" t="n">
        <f aca="false">VLOOKUP($A177,Table,MATCH(G$4,Curves,0))</f>
        <v>3</v>
      </c>
      <c r="H177" s="125" t="n">
        <f aca="false">G177+$H$7</f>
        <v>3</v>
      </c>
      <c r="I177" s="124" t="n">
        <f aca="false">H177</f>
        <v>3</v>
      </c>
      <c r="J177" s="124" t="n">
        <f aca="false">VLOOKUP($A177,Table,MATCH(J$4,Curves,0))</f>
        <v>4</v>
      </c>
      <c r="K177" s="125" t="n">
        <f aca="false">J177+$K$7</f>
        <v>4</v>
      </c>
      <c r="L177" s="126" t="n">
        <f aca="false">K177</f>
        <v>4</v>
      </c>
      <c r="M177" s="124" t="n">
        <f aca="false">VLOOKUP($A177,Table,MATCH(M$4,Curves,0))</f>
        <v>4</v>
      </c>
      <c r="N177" s="125" t="n">
        <f aca="false">M177+$N$7</f>
        <v>4</v>
      </c>
      <c r="O177" s="126" t="n">
        <f aca="false">0.07</f>
        <v>0.07</v>
      </c>
      <c r="P177" s="114"/>
      <c r="Q177" s="126" t="n">
        <f aca="false">M177+J177+G177</f>
        <v>11</v>
      </c>
      <c r="R177" s="126" t="n">
        <f aca="false">N177+K177+H177</f>
        <v>11</v>
      </c>
      <c r="S177" s="126" t="n">
        <f aca="false">O177+L177+I177</f>
        <v>7.07</v>
      </c>
      <c r="T177" s="127"/>
      <c r="U177" s="5" t="n">
        <f aca="false">A178-A177</f>
        <v>31</v>
      </c>
      <c r="V177" s="128" t="n">
        <f aca="false">CHOOSE(F$3,A178+24,A177)</f>
        <v>42370</v>
      </c>
      <c r="W177" s="5" t="n">
        <f aca="false">V177-C$3</f>
        <v>5139</v>
      </c>
      <c r="X177" s="124" t="n">
        <f aca="false">VLOOKUP($A177,Table,MATCH(X$4,Curves,0))</f>
        <v>2</v>
      </c>
      <c r="Y177" s="129" t="n">
        <f aca="false">1/(1+CHOOSE(F$3,(X178+($K$3/10000))/2,(X177+($K$3/10000))/2))^(2*W177/365.25)</f>
        <v>3.38163854961055E-009</v>
      </c>
      <c r="Z177" s="5" t="n">
        <f aca="false">IF(AND(mthbeg&lt;=A177,mthend&gt;=A177),1,0)</f>
        <v>0</v>
      </c>
      <c r="AA177" s="5" t="n">
        <f aca="false">U177*Z177</f>
        <v>0</v>
      </c>
      <c r="AC177" s="115" t="n">
        <f aca="false">IF(G170=2,F177*(S177-Q177),F177*(Q177-S177))</f>
        <v>0</v>
      </c>
      <c r="AE177" s="116" t="n">
        <f aca="false">IF($G$3=1,F177*(R177-Q177),F177*(Q177-R177))</f>
        <v>0</v>
      </c>
      <c r="AG177" s="116" t="n">
        <f aca="false">AC177+AE177</f>
        <v>0</v>
      </c>
    </row>
    <row r="178" customFormat="false" ht="12" hidden="false" customHeight="true" outlineLevel="0" collapsed="false">
      <c r="A178" s="120" t="n">
        <f aca="false">EDATE(A177,1)</f>
        <v>42401</v>
      </c>
      <c r="B178" s="121" t="e">
        <f aca="false">VLOOKUP(A178,'Inputs-Summary'!$A$32:$B$41,2,FALSE())</f>
        <v>#N/A</v>
      </c>
      <c r="C178" s="122"/>
      <c r="D178" s="123" t="e">
        <f aca="false">B178+C178</f>
        <v>#N/A</v>
      </c>
      <c r="E178" s="111" t="n">
        <f aca="false">IF(Z178=0,0,IF(AND(Z178=1,$H$3=1),D178*U178,IF($H$3=2,D178,"N/A")))</f>
        <v>0</v>
      </c>
      <c r="F178" s="111" t="n">
        <f aca="false">E178*Y178</f>
        <v>0</v>
      </c>
      <c r="G178" s="124" t="n">
        <f aca="false">VLOOKUP($A178,Table,MATCH(G$4,Curves,0))</f>
        <v>3</v>
      </c>
      <c r="H178" s="125" t="n">
        <f aca="false">G178+$H$7</f>
        <v>3</v>
      </c>
      <c r="I178" s="124" t="n">
        <f aca="false">H178</f>
        <v>3</v>
      </c>
      <c r="J178" s="124" t="n">
        <f aca="false">VLOOKUP($A178,Table,MATCH(J$4,Curves,0))</f>
        <v>4</v>
      </c>
      <c r="K178" s="125" t="n">
        <f aca="false">J178+$K$7</f>
        <v>4</v>
      </c>
      <c r="L178" s="126" t="n">
        <f aca="false">K178</f>
        <v>4</v>
      </c>
      <c r="M178" s="124" t="n">
        <f aca="false">VLOOKUP($A178,Table,MATCH(M$4,Curves,0))</f>
        <v>4</v>
      </c>
      <c r="N178" s="125" t="n">
        <f aca="false">M178+$N$7</f>
        <v>4</v>
      </c>
      <c r="O178" s="126" t="n">
        <f aca="false">0.07</f>
        <v>0.07</v>
      </c>
      <c r="P178" s="114"/>
      <c r="Q178" s="126" t="n">
        <f aca="false">M178+J178+G178</f>
        <v>11</v>
      </c>
      <c r="R178" s="126" t="n">
        <f aca="false">N178+K178+H178</f>
        <v>11</v>
      </c>
      <c r="S178" s="126" t="n">
        <f aca="false">O178+L178+I178</f>
        <v>7.07</v>
      </c>
      <c r="T178" s="127"/>
      <c r="U178" s="5" t="n">
        <f aca="false">A179-A178</f>
        <v>29</v>
      </c>
      <c r="V178" s="128" t="n">
        <f aca="false">CHOOSE(F$3,A179+24,A178)</f>
        <v>42401</v>
      </c>
      <c r="W178" s="5" t="n">
        <f aca="false">V178-C$3</f>
        <v>5170</v>
      </c>
      <c r="X178" s="124" t="n">
        <f aca="false">VLOOKUP($A178,Table,MATCH(X$4,Curves,0))</f>
        <v>2</v>
      </c>
      <c r="Y178" s="129" t="n">
        <f aca="false">1/(1+CHOOSE(F$3,(X179+($K$3/10000))/2,(X178+($K$3/10000))/2))^(2*W178/365.25)</f>
        <v>3.00627235096844E-009</v>
      </c>
      <c r="Z178" s="5" t="n">
        <f aca="false">IF(AND(mthbeg&lt;=A178,mthend&gt;=A178),1,0)</f>
        <v>0</v>
      </c>
      <c r="AA178" s="5" t="n">
        <f aca="false">U178*Z178</f>
        <v>0</v>
      </c>
      <c r="AC178" s="115" t="n">
        <f aca="false">IF(G171=2,F178*(S178-Q178),F178*(Q178-S178))</f>
        <v>0</v>
      </c>
      <c r="AE178" s="116" t="n">
        <f aca="false">IF($G$3=1,F178*(R178-Q178),F178*(Q178-R178))</f>
        <v>0</v>
      </c>
      <c r="AG178" s="116" t="n">
        <f aca="false">AC178+AE178</f>
        <v>0</v>
      </c>
    </row>
    <row r="179" customFormat="false" ht="12" hidden="false" customHeight="true" outlineLevel="0" collapsed="false">
      <c r="A179" s="120" t="n">
        <f aca="false">EDATE(A178,1)</f>
        <v>42430</v>
      </c>
      <c r="B179" s="121" t="e">
        <f aca="false">VLOOKUP(A179,'Inputs-Summary'!$A$32:$B$41,2,FALSE())</f>
        <v>#N/A</v>
      </c>
      <c r="C179" s="122"/>
      <c r="D179" s="123" t="e">
        <f aca="false">B179+C179</f>
        <v>#N/A</v>
      </c>
      <c r="E179" s="111" t="n">
        <f aca="false">IF(Z179=0,0,IF(AND(Z179=1,$H$3=1),D179*U179,IF($H$3=2,D179,"N/A")))</f>
        <v>0</v>
      </c>
      <c r="F179" s="111" t="n">
        <f aca="false">E179*Y179</f>
        <v>0</v>
      </c>
      <c r="G179" s="124" t="n">
        <f aca="false">VLOOKUP($A179,Table,MATCH(G$4,Curves,0))</f>
        <v>3</v>
      </c>
      <c r="H179" s="125" t="n">
        <f aca="false">G179+$H$7</f>
        <v>3</v>
      </c>
      <c r="I179" s="124" t="n">
        <f aca="false">H179</f>
        <v>3</v>
      </c>
      <c r="J179" s="124" t="n">
        <f aca="false">VLOOKUP($A179,Table,MATCH(J$4,Curves,0))</f>
        <v>4</v>
      </c>
      <c r="K179" s="125" t="n">
        <f aca="false">J179+$K$7</f>
        <v>4</v>
      </c>
      <c r="L179" s="126" t="n">
        <f aca="false">K179</f>
        <v>4</v>
      </c>
      <c r="M179" s="124" t="n">
        <f aca="false">VLOOKUP($A179,Table,MATCH(M$4,Curves,0))</f>
        <v>4</v>
      </c>
      <c r="N179" s="125" t="n">
        <f aca="false">M179+$N$7</f>
        <v>4</v>
      </c>
      <c r="O179" s="126" t="n">
        <f aca="false">0.07</f>
        <v>0.07</v>
      </c>
      <c r="P179" s="114"/>
      <c r="Q179" s="126" t="n">
        <f aca="false">M179+J179+G179</f>
        <v>11</v>
      </c>
      <c r="R179" s="126" t="n">
        <f aca="false">N179+K179+H179</f>
        <v>11</v>
      </c>
      <c r="S179" s="126" t="n">
        <f aca="false">O179+L179+I179</f>
        <v>7.07</v>
      </c>
      <c r="T179" s="127"/>
      <c r="U179" s="5" t="n">
        <f aca="false">A180-A179</f>
        <v>31</v>
      </c>
      <c r="V179" s="128" t="n">
        <f aca="false">CHOOSE(F$3,A180+24,A179)</f>
        <v>42430</v>
      </c>
      <c r="W179" s="5" t="n">
        <f aca="false">V179-C$3</f>
        <v>5199</v>
      </c>
      <c r="X179" s="124" t="n">
        <f aca="false">VLOOKUP($A179,Table,MATCH(X$4,Curves,0))</f>
        <v>2</v>
      </c>
      <c r="Y179" s="129" t="n">
        <f aca="false">1/(1+CHOOSE(F$3,(X180+($K$3/10000))/2,(X179+($K$3/10000))/2))^(2*W179/365.25)</f>
        <v>2.6929367952845E-009</v>
      </c>
      <c r="Z179" s="5" t="n">
        <f aca="false">IF(AND(mthbeg&lt;=A179,mthend&gt;=A179),1,0)</f>
        <v>0</v>
      </c>
      <c r="AA179" s="5" t="n">
        <f aca="false">U179*Z179</f>
        <v>0</v>
      </c>
      <c r="AC179" s="115" t="n">
        <f aca="false">IF(G172=2,F179*(S179-Q179),F179*(Q179-S179))</f>
        <v>0</v>
      </c>
      <c r="AE179" s="116" t="n">
        <f aca="false">IF($G$3=1,F179*(R179-Q179),F179*(Q179-R179))</f>
        <v>0</v>
      </c>
      <c r="AG179" s="116" t="n">
        <f aca="false">AC179+AE179</f>
        <v>0</v>
      </c>
    </row>
    <row r="180" customFormat="false" ht="12" hidden="false" customHeight="true" outlineLevel="0" collapsed="false">
      <c r="A180" s="120" t="n">
        <f aca="false">EDATE(A179,1)</f>
        <v>42461</v>
      </c>
      <c r="B180" s="121" t="e">
        <f aca="false">VLOOKUP(A180,'Inputs-Summary'!$A$32:$B$41,2,FALSE())</f>
        <v>#N/A</v>
      </c>
      <c r="C180" s="122"/>
      <c r="D180" s="123" t="e">
        <f aca="false">B180+C180</f>
        <v>#N/A</v>
      </c>
      <c r="E180" s="111" t="n">
        <f aca="false">IF(Z180=0,0,IF(AND(Z180=1,$H$3=1),D180*U180,IF($H$3=2,D180,"N/A")))</f>
        <v>0</v>
      </c>
      <c r="F180" s="111" t="n">
        <f aca="false">E180*Y180</f>
        <v>0</v>
      </c>
      <c r="G180" s="124" t="n">
        <f aca="false">VLOOKUP($A180,Table,MATCH(G$4,Curves,0))</f>
        <v>3</v>
      </c>
      <c r="H180" s="125" t="n">
        <f aca="false">G180+$H$7</f>
        <v>3</v>
      </c>
      <c r="I180" s="124" t="n">
        <f aca="false">H180</f>
        <v>3</v>
      </c>
      <c r="J180" s="124" t="n">
        <f aca="false">VLOOKUP($A180,Table,MATCH(J$4,Curves,0))</f>
        <v>4</v>
      </c>
      <c r="K180" s="125" t="n">
        <f aca="false">J180+$K$7</f>
        <v>4</v>
      </c>
      <c r="L180" s="126" t="n">
        <f aca="false">K180</f>
        <v>4</v>
      </c>
      <c r="M180" s="124" t="n">
        <f aca="false">VLOOKUP($A180,Table,MATCH(M$4,Curves,0))</f>
        <v>4</v>
      </c>
      <c r="N180" s="125" t="n">
        <f aca="false">M180+$N$7</f>
        <v>4</v>
      </c>
      <c r="O180" s="126" t="n">
        <f aca="false">0.07</f>
        <v>0.07</v>
      </c>
      <c r="P180" s="114"/>
      <c r="Q180" s="126" t="n">
        <f aca="false">M180+J180+G180</f>
        <v>11</v>
      </c>
      <c r="R180" s="126" t="n">
        <f aca="false">N180+K180+H180</f>
        <v>11</v>
      </c>
      <c r="S180" s="126" t="n">
        <f aca="false">O180+L180+I180</f>
        <v>7.07</v>
      </c>
      <c r="T180" s="127"/>
      <c r="U180" s="5" t="n">
        <f aca="false">A181-A180</f>
        <v>30</v>
      </c>
      <c r="V180" s="128" t="n">
        <f aca="false">CHOOSE(F$3,A181+24,A180)</f>
        <v>42461</v>
      </c>
      <c r="W180" s="5" t="n">
        <f aca="false">V180-C$3</f>
        <v>5230</v>
      </c>
      <c r="X180" s="124" t="n">
        <f aca="false">VLOOKUP($A180,Table,MATCH(X$4,Curves,0))</f>
        <v>2</v>
      </c>
      <c r="Y180" s="129" t="n">
        <f aca="false">1/(1+CHOOSE(F$3,(X181+($K$3/10000))/2,(X180+($K$3/10000))/2))^(2*W180/365.25)</f>
        <v>2.39401737110599E-009</v>
      </c>
      <c r="Z180" s="5" t="n">
        <f aca="false">IF(AND(mthbeg&lt;=A180,mthend&gt;=A180),1,0)</f>
        <v>0</v>
      </c>
      <c r="AA180" s="5" t="n">
        <f aca="false">U180*Z180</f>
        <v>0</v>
      </c>
      <c r="AC180" s="115" t="n">
        <f aca="false">IF(G173=2,F180*(S180-Q180),F180*(Q180-S180))</f>
        <v>0</v>
      </c>
      <c r="AE180" s="116" t="n">
        <f aca="false">IF($G$3=1,F180*(R180-Q180),F180*(Q180-R180))</f>
        <v>0</v>
      </c>
      <c r="AG180" s="116" t="n">
        <f aca="false">AC180+AE180</f>
        <v>0</v>
      </c>
    </row>
    <row r="181" customFormat="false" ht="12" hidden="false" customHeight="true" outlineLevel="0" collapsed="false">
      <c r="A181" s="120" t="n">
        <f aca="false">EDATE(A180,1)</f>
        <v>42491</v>
      </c>
      <c r="B181" s="121" t="e">
        <f aca="false">VLOOKUP(A181,'Inputs-Summary'!$A$32:$B$41,2,FALSE())</f>
        <v>#N/A</v>
      </c>
      <c r="C181" s="122"/>
      <c r="D181" s="123" t="e">
        <f aca="false">B181+C181</f>
        <v>#N/A</v>
      </c>
      <c r="E181" s="111" t="n">
        <f aca="false">IF(Z181=0,0,IF(AND(Z181=1,$H$3=1),D181*U181,IF($H$3=2,D181,"N/A")))</f>
        <v>0</v>
      </c>
      <c r="F181" s="111" t="n">
        <f aca="false">E181*Y181</f>
        <v>0</v>
      </c>
      <c r="G181" s="124" t="n">
        <f aca="false">VLOOKUP($A181,Table,MATCH(G$4,Curves,0))</f>
        <v>3</v>
      </c>
      <c r="H181" s="125" t="n">
        <f aca="false">G181+$H$7</f>
        <v>3</v>
      </c>
      <c r="I181" s="124" t="n">
        <f aca="false">H181</f>
        <v>3</v>
      </c>
      <c r="J181" s="124" t="n">
        <f aca="false">VLOOKUP($A181,Table,MATCH(J$4,Curves,0))</f>
        <v>4</v>
      </c>
      <c r="K181" s="125" t="n">
        <f aca="false">J181+$K$7</f>
        <v>4</v>
      </c>
      <c r="L181" s="126" t="n">
        <f aca="false">K181</f>
        <v>4</v>
      </c>
      <c r="M181" s="124" t="n">
        <f aca="false">VLOOKUP($A181,Table,MATCH(M$4,Curves,0))</f>
        <v>4</v>
      </c>
      <c r="N181" s="125" t="n">
        <f aca="false">M181+$N$7</f>
        <v>4</v>
      </c>
      <c r="O181" s="126" t="n">
        <f aca="false">0.07</f>
        <v>0.07</v>
      </c>
      <c r="P181" s="114"/>
      <c r="Q181" s="126" t="n">
        <f aca="false">M181+J181+G181</f>
        <v>11</v>
      </c>
      <c r="R181" s="126" t="n">
        <f aca="false">N181+K181+H181</f>
        <v>11</v>
      </c>
      <c r="S181" s="126" t="n">
        <f aca="false">O181+L181+I181</f>
        <v>7.07</v>
      </c>
      <c r="T181" s="127"/>
      <c r="U181" s="5" t="n">
        <f aca="false">A182-A181</f>
        <v>31</v>
      </c>
      <c r="V181" s="128" t="n">
        <f aca="false">CHOOSE(F$3,A182+24,A181)</f>
        <v>42491</v>
      </c>
      <c r="W181" s="5" t="n">
        <f aca="false">V181-C$3</f>
        <v>5260</v>
      </c>
      <c r="X181" s="124" t="n">
        <f aca="false">VLOOKUP($A181,Table,MATCH(X$4,Curves,0))</f>
        <v>2</v>
      </c>
      <c r="Y181" s="129" t="n">
        <f aca="false">1/(1+CHOOSE(F$3,(X182+($K$3/10000))/2,(X181+($K$3/10000))/2))^(2*W181/365.25)</f>
        <v>2.13637154439559E-009</v>
      </c>
      <c r="Z181" s="5" t="n">
        <f aca="false">IF(AND(mthbeg&lt;=A181,mthend&gt;=A181),1,0)</f>
        <v>0</v>
      </c>
      <c r="AA181" s="5" t="n">
        <f aca="false">U181*Z181</f>
        <v>0</v>
      </c>
      <c r="AC181" s="115" t="n">
        <f aca="false">IF(G174=2,F181*(S181-Q181),F181*(Q181-S181))</f>
        <v>0</v>
      </c>
      <c r="AE181" s="116" t="n">
        <f aca="false">IF($G$3=1,F181*(R181-Q181),F181*(Q181-R181))</f>
        <v>0</v>
      </c>
      <c r="AG181" s="116" t="n">
        <f aca="false">AC181+AE181</f>
        <v>0</v>
      </c>
    </row>
    <row r="182" customFormat="false" ht="12" hidden="false" customHeight="true" outlineLevel="0" collapsed="false">
      <c r="A182" s="120" t="n">
        <f aca="false">EDATE(A181,1)</f>
        <v>42522</v>
      </c>
      <c r="B182" s="121" t="e">
        <f aca="false">VLOOKUP(A182,'Inputs-Summary'!$A$32:$B$41,2,FALSE())</f>
        <v>#N/A</v>
      </c>
      <c r="C182" s="122"/>
      <c r="D182" s="123" t="e">
        <f aca="false">B182+C182</f>
        <v>#N/A</v>
      </c>
      <c r="E182" s="111" t="n">
        <f aca="false">IF(Z182=0,0,IF(AND(Z182=1,$H$3=1),D182*U182,IF($H$3=2,D182,"N/A")))</f>
        <v>0</v>
      </c>
      <c r="F182" s="111" t="n">
        <f aca="false">E182*Y182</f>
        <v>0</v>
      </c>
      <c r="G182" s="124" t="n">
        <f aca="false">VLOOKUP($A182,Table,MATCH(G$4,Curves,0))</f>
        <v>3</v>
      </c>
      <c r="H182" s="125" t="n">
        <f aca="false">G182+$H$7</f>
        <v>3</v>
      </c>
      <c r="I182" s="124" t="n">
        <f aca="false">H182</f>
        <v>3</v>
      </c>
      <c r="J182" s="124" t="n">
        <f aca="false">VLOOKUP($A182,Table,MATCH(J$4,Curves,0))</f>
        <v>4</v>
      </c>
      <c r="K182" s="125" t="n">
        <f aca="false">J182+$K$7</f>
        <v>4</v>
      </c>
      <c r="L182" s="126" t="n">
        <f aca="false">K182</f>
        <v>4</v>
      </c>
      <c r="M182" s="124" t="n">
        <f aca="false">VLOOKUP($A182,Table,MATCH(M$4,Curves,0))</f>
        <v>4</v>
      </c>
      <c r="N182" s="125" t="n">
        <f aca="false">M182+$N$7</f>
        <v>4</v>
      </c>
      <c r="O182" s="126" t="n">
        <f aca="false">0.07</f>
        <v>0.07</v>
      </c>
      <c r="P182" s="114"/>
      <c r="Q182" s="126" t="n">
        <f aca="false">M182+J182+G182</f>
        <v>11</v>
      </c>
      <c r="R182" s="126" t="n">
        <f aca="false">N182+K182+H182</f>
        <v>11</v>
      </c>
      <c r="S182" s="126" t="n">
        <f aca="false">O182+L182+I182</f>
        <v>7.07</v>
      </c>
      <c r="T182" s="127"/>
      <c r="U182" s="5" t="n">
        <f aca="false">A183-A182</f>
        <v>30</v>
      </c>
      <c r="V182" s="128" t="n">
        <f aca="false">CHOOSE(F$3,A183+24,A182)</f>
        <v>42522</v>
      </c>
      <c r="W182" s="5" t="n">
        <f aca="false">V182-C$3</f>
        <v>5291</v>
      </c>
      <c r="X182" s="124" t="n">
        <f aca="false">VLOOKUP($A182,Table,MATCH(X$4,Curves,0))</f>
        <v>2</v>
      </c>
      <c r="Y182" s="129" t="n">
        <f aca="false">1/(1+CHOOSE(F$3,(X183+($K$3/10000))/2,(X182+($K$3/10000))/2))^(2*W182/365.25)</f>
        <v>1.89923157401073E-009</v>
      </c>
      <c r="Z182" s="5" t="n">
        <f aca="false">IF(AND(mthbeg&lt;=A182,mthend&gt;=A182),1,0)</f>
        <v>0</v>
      </c>
      <c r="AA182" s="5" t="n">
        <f aca="false">U182*Z182</f>
        <v>0</v>
      </c>
      <c r="AC182" s="115" t="n">
        <f aca="false">IF(G175=2,F182*(S182-Q182),F182*(Q182-S182))</f>
        <v>0</v>
      </c>
      <c r="AE182" s="116" t="n">
        <f aca="false">IF($G$3=1,F182*(R182-Q182),F182*(Q182-R182))</f>
        <v>0</v>
      </c>
      <c r="AG182" s="116" t="n">
        <f aca="false">AC182+AE182</f>
        <v>0</v>
      </c>
    </row>
    <row r="183" customFormat="false" ht="12" hidden="false" customHeight="true" outlineLevel="0" collapsed="false">
      <c r="A183" s="120" t="n">
        <f aca="false">EDATE(A182,1)</f>
        <v>42552</v>
      </c>
      <c r="B183" s="121" t="e">
        <f aca="false">VLOOKUP(A183,'Inputs-Summary'!$A$32:$B$41,2,FALSE())</f>
        <v>#N/A</v>
      </c>
      <c r="C183" s="122"/>
      <c r="D183" s="123" t="e">
        <f aca="false">B183+C183</f>
        <v>#N/A</v>
      </c>
      <c r="E183" s="111" t="n">
        <f aca="false">IF(Z183=0,0,IF(AND(Z183=1,$H$3=1),D183*U183,IF($H$3=2,D183,"N/A")))</f>
        <v>0</v>
      </c>
      <c r="F183" s="111" t="n">
        <f aca="false">E183*Y183</f>
        <v>0</v>
      </c>
      <c r="G183" s="124" t="n">
        <f aca="false">VLOOKUP($A183,Table,MATCH(G$4,Curves,0))</f>
        <v>3</v>
      </c>
      <c r="H183" s="125" t="n">
        <f aca="false">G183+$H$7</f>
        <v>3</v>
      </c>
      <c r="I183" s="124" t="n">
        <f aca="false">H183</f>
        <v>3</v>
      </c>
      <c r="J183" s="124" t="n">
        <f aca="false">VLOOKUP($A183,Table,MATCH(J$4,Curves,0))</f>
        <v>4</v>
      </c>
      <c r="K183" s="125" t="n">
        <f aca="false">J183+$K$7</f>
        <v>4</v>
      </c>
      <c r="L183" s="126" t="n">
        <f aca="false">K183</f>
        <v>4</v>
      </c>
      <c r="M183" s="124" t="n">
        <f aca="false">VLOOKUP($A183,Table,MATCH(M$4,Curves,0))</f>
        <v>4</v>
      </c>
      <c r="N183" s="125" t="n">
        <f aca="false">M183+$N$7</f>
        <v>4</v>
      </c>
      <c r="O183" s="126" t="n">
        <f aca="false">0.07</f>
        <v>0.07</v>
      </c>
      <c r="P183" s="114"/>
      <c r="Q183" s="126" t="n">
        <f aca="false">M183+J183+G183</f>
        <v>11</v>
      </c>
      <c r="R183" s="126" t="n">
        <f aca="false">N183+K183+H183</f>
        <v>11</v>
      </c>
      <c r="S183" s="126" t="n">
        <f aca="false">O183+L183+I183</f>
        <v>7.07</v>
      </c>
      <c r="T183" s="127"/>
      <c r="U183" s="5" t="n">
        <f aca="false">A184-A183</f>
        <v>31</v>
      </c>
      <c r="V183" s="128" t="n">
        <f aca="false">CHOOSE(F$3,A184+24,A183)</f>
        <v>42552</v>
      </c>
      <c r="W183" s="5" t="n">
        <f aca="false">V183-C$3</f>
        <v>5321</v>
      </c>
      <c r="X183" s="124" t="n">
        <f aca="false">VLOOKUP($A183,Table,MATCH(X$4,Curves,0))</f>
        <v>2</v>
      </c>
      <c r="Y183" s="129" t="n">
        <f aca="false">1/(1+CHOOSE(F$3,(X184+($K$3/10000))/2,(X183+($K$3/10000))/2))^(2*W183/365.25)</f>
        <v>1.69483494142722E-009</v>
      </c>
      <c r="Z183" s="5" t="n">
        <f aca="false">IF(AND(mthbeg&lt;=A183,mthend&gt;=A183),1,0)</f>
        <v>0</v>
      </c>
      <c r="AA183" s="5" t="n">
        <f aca="false">U183*Z183</f>
        <v>0</v>
      </c>
      <c r="AC183" s="115" t="n">
        <f aca="false">IF(G176=2,F183*(S183-Q183),F183*(Q183-S183))</f>
        <v>0</v>
      </c>
      <c r="AE183" s="116" t="n">
        <f aca="false">IF($G$3=1,F183*(R183-Q183),F183*(Q183-R183))</f>
        <v>0</v>
      </c>
      <c r="AG183" s="116" t="n">
        <f aca="false">AC183+AE183</f>
        <v>0</v>
      </c>
    </row>
    <row r="184" customFormat="false" ht="12" hidden="false" customHeight="true" outlineLevel="0" collapsed="false">
      <c r="A184" s="120" t="n">
        <f aca="false">EDATE(A183,1)</f>
        <v>42583</v>
      </c>
      <c r="B184" s="121" t="e">
        <f aca="false">VLOOKUP(A184,'Inputs-Summary'!$A$32:$B$41,2,FALSE())</f>
        <v>#N/A</v>
      </c>
      <c r="C184" s="122"/>
      <c r="D184" s="123" t="e">
        <f aca="false">B184+C184</f>
        <v>#N/A</v>
      </c>
      <c r="E184" s="111" t="n">
        <f aca="false">IF(Z184=0,0,IF(AND(Z184=1,$H$3=1),D184*U184,IF($H$3=2,D184,"N/A")))</f>
        <v>0</v>
      </c>
      <c r="F184" s="111" t="n">
        <f aca="false">E184*Y184</f>
        <v>0</v>
      </c>
      <c r="G184" s="124" t="n">
        <f aca="false">VLOOKUP($A184,Table,MATCH(G$4,Curves,0))</f>
        <v>3</v>
      </c>
      <c r="H184" s="125" t="n">
        <f aca="false">G184+$H$7</f>
        <v>3</v>
      </c>
      <c r="I184" s="124" t="n">
        <f aca="false">H184</f>
        <v>3</v>
      </c>
      <c r="J184" s="124" t="n">
        <f aca="false">VLOOKUP($A184,Table,MATCH(J$4,Curves,0))</f>
        <v>4</v>
      </c>
      <c r="K184" s="125" t="n">
        <f aca="false">J184+$K$7</f>
        <v>4</v>
      </c>
      <c r="L184" s="126" t="n">
        <f aca="false">K184</f>
        <v>4</v>
      </c>
      <c r="M184" s="124" t="n">
        <f aca="false">VLOOKUP($A184,Table,MATCH(M$4,Curves,0))</f>
        <v>4</v>
      </c>
      <c r="N184" s="125" t="n">
        <f aca="false">M184+$N$7</f>
        <v>4</v>
      </c>
      <c r="O184" s="126" t="n">
        <f aca="false">0.07</f>
        <v>0.07</v>
      </c>
      <c r="P184" s="114"/>
      <c r="Q184" s="126" t="n">
        <f aca="false">M184+J184+G184</f>
        <v>11</v>
      </c>
      <c r="R184" s="126" t="n">
        <f aca="false">N184+K184+H184</f>
        <v>11</v>
      </c>
      <c r="S184" s="126" t="n">
        <f aca="false">O184+L184+I184</f>
        <v>7.07</v>
      </c>
      <c r="T184" s="127"/>
      <c r="U184" s="5" t="n">
        <f aca="false">A185-A184</f>
        <v>31</v>
      </c>
      <c r="V184" s="128" t="n">
        <f aca="false">CHOOSE(F$3,A185+24,A184)</f>
        <v>42583</v>
      </c>
      <c r="W184" s="5" t="n">
        <f aca="false">V184-C$3</f>
        <v>5352</v>
      </c>
      <c r="X184" s="124" t="n">
        <f aca="false">VLOOKUP($A184,Table,MATCH(X$4,Curves,0))</f>
        <v>2</v>
      </c>
      <c r="Y184" s="129" t="n">
        <f aca="false">1/(1+CHOOSE(F$3,(X185+($K$3/10000))/2,(X184+($K$3/10000))/2))^(2*W184/365.25)</f>
        <v>1.5067060979816E-009</v>
      </c>
      <c r="Z184" s="5" t="n">
        <f aca="false">IF(AND(mthbeg&lt;=A184,mthend&gt;=A184),1,0)</f>
        <v>0</v>
      </c>
      <c r="AA184" s="5" t="n">
        <f aca="false">U184*Z184</f>
        <v>0</v>
      </c>
      <c r="AC184" s="115" t="n">
        <f aca="false">IF(G177=2,F184*(S184-Q184),F184*(Q184-S184))</f>
        <v>0</v>
      </c>
      <c r="AE184" s="116" t="n">
        <f aca="false">IF($G$3=1,F184*(R184-Q184),F184*(Q184-R184))</f>
        <v>0</v>
      </c>
      <c r="AG184" s="116" t="n">
        <f aca="false">AC184+AE184</f>
        <v>0</v>
      </c>
    </row>
    <row r="185" customFormat="false" ht="12" hidden="false" customHeight="true" outlineLevel="0" collapsed="false">
      <c r="A185" s="120" t="n">
        <f aca="false">EDATE(A184,1)</f>
        <v>42614</v>
      </c>
      <c r="B185" s="121" t="e">
        <f aca="false">VLOOKUP(A185,'Inputs-Summary'!$A$32:$B$41,2,FALSE())</f>
        <v>#N/A</v>
      </c>
      <c r="C185" s="122"/>
      <c r="D185" s="123" t="e">
        <f aca="false">B185+C185</f>
        <v>#N/A</v>
      </c>
      <c r="E185" s="111" t="n">
        <f aca="false">IF(Z185=0,0,IF(AND(Z185=1,$H$3=1),D185*U185,IF($H$3=2,D185,"N/A")))</f>
        <v>0</v>
      </c>
      <c r="F185" s="111" t="n">
        <f aca="false">E185*Y185</f>
        <v>0</v>
      </c>
      <c r="G185" s="124" t="n">
        <f aca="false">VLOOKUP($A185,Table,MATCH(G$4,Curves,0))</f>
        <v>3</v>
      </c>
      <c r="H185" s="125" t="n">
        <f aca="false">G185+$H$7</f>
        <v>3</v>
      </c>
      <c r="I185" s="124" t="n">
        <f aca="false">H185</f>
        <v>3</v>
      </c>
      <c r="J185" s="124" t="n">
        <f aca="false">VLOOKUP($A185,Table,MATCH(J$4,Curves,0))</f>
        <v>4</v>
      </c>
      <c r="K185" s="125" t="n">
        <f aca="false">J185+$K$7</f>
        <v>4</v>
      </c>
      <c r="L185" s="126" t="n">
        <f aca="false">K185</f>
        <v>4</v>
      </c>
      <c r="M185" s="124" t="n">
        <f aca="false">VLOOKUP($A185,Table,MATCH(M$4,Curves,0))</f>
        <v>4</v>
      </c>
      <c r="N185" s="125" t="n">
        <f aca="false">M185+$N$7</f>
        <v>4</v>
      </c>
      <c r="O185" s="126" t="n">
        <f aca="false">0.07</f>
        <v>0.07</v>
      </c>
      <c r="P185" s="114"/>
      <c r="Q185" s="126" t="n">
        <f aca="false">M185+J185+G185</f>
        <v>11</v>
      </c>
      <c r="R185" s="126" t="n">
        <f aca="false">N185+K185+H185</f>
        <v>11</v>
      </c>
      <c r="S185" s="126" t="n">
        <f aca="false">O185+L185+I185</f>
        <v>7.07</v>
      </c>
      <c r="T185" s="127"/>
      <c r="U185" s="5" t="n">
        <f aca="false">A186-A185</f>
        <v>30</v>
      </c>
      <c r="V185" s="128" t="n">
        <f aca="false">CHOOSE(F$3,A186+24,A185)</f>
        <v>42614</v>
      </c>
      <c r="W185" s="5" t="n">
        <f aca="false">V185-C$3</f>
        <v>5383</v>
      </c>
      <c r="X185" s="124" t="n">
        <f aca="false">VLOOKUP($A185,Table,MATCH(X$4,Curves,0))</f>
        <v>2</v>
      </c>
      <c r="Y185" s="129" t="n">
        <f aca="false">1/(1+CHOOSE(F$3,(X186+($K$3/10000))/2,(X185+($K$3/10000))/2))^(2*W185/365.25)</f>
        <v>1.33945979647034E-009</v>
      </c>
      <c r="Z185" s="5" t="n">
        <f aca="false">IF(AND(mthbeg&lt;=A185,mthend&gt;=A185),1,0)</f>
        <v>0</v>
      </c>
      <c r="AA185" s="5" t="n">
        <f aca="false">U185*Z185</f>
        <v>0</v>
      </c>
      <c r="AC185" s="115" t="n">
        <f aca="false">IF(G178=2,F185*(S185-Q185),F185*(Q185-S185))</f>
        <v>0</v>
      </c>
      <c r="AE185" s="116" t="n">
        <f aca="false">IF($G$3=1,F185*(R185-Q185),F185*(Q185-R185))</f>
        <v>0</v>
      </c>
      <c r="AG185" s="116" t="n">
        <f aca="false">AC185+AE185</f>
        <v>0</v>
      </c>
    </row>
    <row r="186" customFormat="false" ht="12" hidden="false" customHeight="true" outlineLevel="0" collapsed="false">
      <c r="A186" s="120" t="n">
        <f aca="false">EDATE(A185,1)</f>
        <v>42644</v>
      </c>
      <c r="B186" s="121" t="e">
        <f aca="false">VLOOKUP(A186,'Inputs-Summary'!$A$32:$B$41,2,FALSE())</f>
        <v>#N/A</v>
      </c>
      <c r="C186" s="122"/>
      <c r="D186" s="123" t="e">
        <f aca="false">B186+C186</f>
        <v>#N/A</v>
      </c>
      <c r="E186" s="111" t="n">
        <f aca="false">IF(Z186=0,0,IF(AND(Z186=1,$H$3=1),D186*U186,IF($H$3=2,D186,"N/A")))</f>
        <v>0</v>
      </c>
      <c r="F186" s="111" t="n">
        <f aca="false">E186*Y186</f>
        <v>0</v>
      </c>
      <c r="G186" s="124" t="n">
        <f aca="false">VLOOKUP($A186,Table,MATCH(G$4,Curves,0))</f>
        <v>3</v>
      </c>
      <c r="H186" s="125" t="n">
        <f aca="false">G186+$H$7</f>
        <v>3</v>
      </c>
      <c r="I186" s="124" t="n">
        <f aca="false">H186</f>
        <v>3</v>
      </c>
      <c r="J186" s="124" t="n">
        <f aca="false">VLOOKUP($A186,Table,MATCH(J$4,Curves,0))</f>
        <v>4</v>
      </c>
      <c r="K186" s="125" t="n">
        <f aca="false">J186+$K$7</f>
        <v>4</v>
      </c>
      <c r="L186" s="126" t="n">
        <f aca="false">K186</f>
        <v>4</v>
      </c>
      <c r="M186" s="124" t="n">
        <f aca="false">VLOOKUP($A186,Table,MATCH(M$4,Curves,0))</f>
        <v>4</v>
      </c>
      <c r="N186" s="125" t="n">
        <f aca="false">M186+$N$7</f>
        <v>4</v>
      </c>
      <c r="O186" s="126" t="n">
        <f aca="false">0.07</f>
        <v>0.07</v>
      </c>
      <c r="P186" s="114"/>
      <c r="Q186" s="126" t="n">
        <f aca="false">M186+J186+G186</f>
        <v>11</v>
      </c>
      <c r="R186" s="126" t="n">
        <f aca="false">N186+K186+H186</f>
        <v>11</v>
      </c>
      <c r="S186" s="126" t="n">
        <f aca="false">O186+L186+I186</f>
        <v>7.07</v>
      </c>
      <c r="T186" s="127"/>
      <c r="U186" s="5" t="n">
        <f aca="false">A187-A186</f>
        <v>31</v>
      </c>
      <c r="V186" s="128" t="n">
        <f aca="false">CHOOSE(F$3,A187+24,A186)</f>
        <v>42644</v>
      </c>
      <c r="W186" s="5" t="n">
        <f aca="false">V186-C$3</f>
        <v>5413</v>
      </c>
      <c r="X186" s="124" t="n">
        <f aca="false">VLOOKUP($A186,Table,MATCH(X$4,Curves,0))</f>
        <v>2</v>
      </c>
      <c r="Y186" s="129" t="n">
        <f aca="false">1/(1+CHOOSE(F$3,(X187+($K$3/10000))/2,(X186+($K$3/10000))/2))^(2*W186/365.25)</f>
        <v>1.19530619475796E-009</v>
      </c>
      <c r="Z186" s="5" t="n">
        <f aca="false">IF(AND(mthbeg&lt;=A186,mthend&gt;=A186),1,0)</f>
        <v>0</v>
      </c>
      <c r="AA186" s="5" t="n">
        <f aca="false">U186*Z186</f>
        <v>0</v>
      </c>
      <c r="AC186" s="115" t="n">
        <f aca="false">IF(G179=2,F186*(S186-Q186),F186*(Q186-S186))</f>
        <v>0</v>
      </c>
      <c r="AE186" s="116" t="n">
        <f aca="false">IF($G$3=1,F186*(R186-Q186),F186*(Q186-R186))</f>
        <v>0</v>
      </c>
      <c r="AG186" s="116" t="n">
        <f aca="false">AC186+AE186</f>
        <v>0</v>
      </c>
    </row>
    <row r="187" customFormat="false" ht="12" hidden="false" customHeight="true" outlineLevel="0" collapsed="false">
      <c r="A187" s="120" t="n">
        <f aca="false">EDATE(A186,1)</f>
        <v>42675</v>
      </c>
      <c r="B187" s="121" t="e">
        <f aca="false">VLOOKUP(A187,'Inputs-Summary'!$A$32:$B$41,2,FALSE())</f>
        <v>#N/A</v>
      </c>
      <c r="C187" s="122"/>
      <c r="D187" s="123" t="e">
        <f aca="false">B187+C187</f>
        <v>#N/A</v>
      </c>
      <c r="E187" s="111" t="n">
        <f aca="false">IF(Z187=0,0,IF(AND(Z187=1,$H$3=1),D187*U187,IF($H$3=2,D187,"N/A")))</f>
        <v>0</v>
      </c>
      <c r="F187" s="111" t="n">
        <f aca="false">E187*Y187</f>
        <v>0</v>
      </c>
      <c r="G187" s="124" t="n">
        <f aca="false">VLOOKUP($A187,Table,MATCH(G$4,Curves,0))</f>
        <v>3</v>
      </c>
      <c r="H187" s="125" t="n">
        <f aca="false">G187+$H$7</f>
        <v>3</v>
      </c>
      <c r="I187" s="124" t="n">
        <f aca="false">H187</f>
        <v>3</v>
      </c>
      <c r="J187" s="124" t="n">
        <f aca="false">VLOOKUP($A187,Table,MATCH(J$4,Curves,0))</f>
        <v>4</v>
      </c>
      <c r="K187" s="125" t="n">
        <f aca="false">J187+$K$7</f>
        <v>4</v>
      </c>
      <c r="L187" s="126" t="n">
        <f aca="false">K187</f>
        <v>4</v>
      </c>
      <c r="M187" s="124" t="n">
        <f aca="false">VLOOKUP($A187,Table,MATCH(M$4,Curves,0))</f>
        <v>4</v>
      </c>
      <c r="N187" s="125" t="n">
        <f aca="false">M187+$N$7</f>
        <v>4</v>
      </c>
      <c r="O187" s="126" t="n">
        <f aca="false">0.07</f>
        <v>0.07</v>
      </c>
      <c r="P187" s="114"/>
      <c r="Q187" s="126" t="n">
        <f aca="false">M187+J187+G187</f>
        <v>11</v>
      </c>
      <c r="R187" s="126" t="n">
        <f aca="false">N187+K187+H187</f>
        <v>11</v>
      </c>
      <c r="S187" s="126" t="n">
        <f aca="false">O187+L187+I187</f>
        <v>7.07</v>
      </c>
      <c r="T187" s="127"/>
      <c r="U187" s="5" t="n">
        <f aca="false">A188-A187</f>
        <v>30</v>
      </c>
      <c r="V187" s="128" t="n">
        <f aca="false">CHOOSE(F$3,A188+24,A187)</f>
        <v>42675</v>
      </c>
      <c r="W187" s="5" t="n">
        <f aca="false">V187-C$3</f>
        <v>5444</v>
      </c>
      <c r="X187" s="124" t="n">
        <f aca="false">VLOOKUP($A187,Table,MATCH(X$4,Curves,0))</f>
        <v>2</v>
      </c>
      <c r="Y187" s="129" t="n">
        <f aca="false">1/(1+CHOOSE(F$3,(X188+($K$3/10000))/2,(X187+($K$3/10000))/2))^(2*W187/365.25)</f>
        <v>1.06262568028034E-009</v>
      </c>
      <c r="Z187" s="5" t="n">
        <f aca="false">IF(AND(mthbeg&lt;=A187,mthend&gt;=A187),1,0)</f>
        <v>0</v>
      </c>
      <c r="AA187" s="5" t="n">
        <f aca="false">U187*Z187</f>
        <v>0</v>
      </c>
      <c r="AC187" s="115" t="n">
        <f aca="false">IF(G180=2,F187*(S187-Q187),F187*(Q187-S187))</f>
        <v>0</v>
      </c>
      <c r="AE187" s="116" t="n">
        <f aca="false">IF($G$3=1,F187*(R187-Q187),F187*(Q187-R187))</f>
        <v>0</v>
      </c>
      <c r="AG187" s="116" t="n">
        <f aca="false">AC187+AE187</f>
        <v>0</v>
      </c>
    </row>
    <row r="188" customFormat="false" ht="12" hidden="false" customHeight="true" outlineLevel="0" collapsed="false">
      <c r="A188" s="120" t="n">
        <f aca="false">EDATE(A187,1)</f>
        <v>42705</v>
      </c>
      <c r="B188" s="121" t="e">
        <f aca="false">VLOOKUP(A188,'Inputs-Summary'!$A$32:$B$41,2,FALSE())</f>
        <v>#N/A</v>
      </c>
      <c r="C188" s="122"/>
      <c r="D188" s="123" t="e">
        <f aca="false">B188+C188</f>
        <v>#N/A</v>
      </c>
      <c r="E188" s="111" t="n">
        <f aca="false">IF(Z188=0,0,IF(AND(Z188=1,$H$3=1),D188*U188,IF($H$3=2,D188,"N/A")))</f>
        <v>0</v>
      </c>
      <c r="F188" s="111" t="n">
        <f aca="false">E188*Y188</f>
        <v>0</v>
      </c>
      <c r="G188" s="124" t="n">
        <f aca="false">VLOOKUP($A188,Table,MATCH(G$4,Curves,0))</f>
        <v>3</v>
      </c>
      <c r="H188" s="125" t="n">
        <f aca="false">G188+$H$7</f>
        <v>3</v>
      </c>
      <c r="I188" s="124" t="n">
        <f aca="false">H188</f>
        <v>3</v>
      </c>
      <c r="J188" s="124" t="n">
        <f aca="false">VLOOKUP($A188,Table,MATCH(J$4,Curves,0))</f>
        <v>4</v>
      </c>
      <c r="K188" s="125" t="n">
        <f aca="false">J188+$K$7</f>
        <v>4</v>
      </c>
      <c r="L188" s="126" t="n">
        <f aca="false">K188</f>
        <v>4</v>
      </c>
      <c r="M188" s="124" t="n">
        <f aca="false">VLOOKUP($A188,Table,MATCH(M$4,Curves,0))</f>
        <v>4</v>
      </c>
      <c r="N188" s="125" t="n">
        <f aca="false">M188+$N$7</f>
        <v>4</v>
      </c>
      <c r="O188" s="126" t="n">
        <f aca="false">0.07</f>
        <v>0.07</v>
      </c>
      <c r="P188" s="114"/>
      <c r="Q188" s="126" t="n">
        <f aca="false">M188+J188+G188</f>
        <v>11</v>
      </c>
      <c r="R188" s="126" t="n">
        <f aca="false">N188+K188+H188</f>
        <v>11</v>
      </c>
      <c r="S188" s="126" t="n">
        <f aca="false">O188+L188+I188</f>
        <v>7.07</v>
      </c>
      <c r="T188" s="127"/>
      <c r="U188" s="5" t="n">
        <f aca="false">A189-A188</f>
        <v>31</v>
      </c>
      <c r="V188" s="128" t="n">
        <f aca="false">CHOOSE(F$3,A189+24,A188)</f>
        <v>42705</v>
      </c>
      <c r="W188" s="5" t="n">
        <f aca="false">V188-C$3</f>
        <v>5474</v>
      </c>
      <c r="X188" s="124" t="n">
        <f aca="false">VLOOKUP($A188,Table,MATCH(X$4,Curves,0))</f>
        <v>2</v>
      </c>
      <c r="Y188" s="129" t="n">
        <f aca="false">1/(1+CHOOSE(F$3,(X189+($K$3/10000))/2,(X188+($K$3/10000))/2))^(2*W188/365.25)</f>
        <v>9.48265160100388E-010</v>
      </c>
      <c r="Z188" s="5" t="n">
        <f aca="false">IF(AND(mthbeg&lt;=A188,mthend&gt;=A188),1,0)</f>
        <v>0</v>
      </c>
      <c r="AA188" s="5" t="n">
        <f aca="false">U188*Z188</f>
        <v>0</v>
      </c>
      <c r="AC188" s="115" t="n">
        <f aca="false">IF(G181=2,F188*(S188-Q188),F188*(Q188-S188))</f>
        <v>0</v>
      </c>
      <c r="AE188" s="116" t="n">
        <f aca="false">IF($G$3=1,F188*(R188-Q188),F188*(Q188-R188))</f>
        <v>0</v>
      </c>
      <c r="AG188" s="116" t="n">
        <f aca="false">AC188+AE188</f>
        <v>0</v>
      </c>
    </row>
    <row r="189" customFormat="false" ht="12" hidden="false" customHeight="true" outlineLevel="0" collapsed="false">
      <c r="A189" s="120" t="n">
        <f aca="false">EDATE(A188,1)</f>
        <v>42736</v>
      </c>
      <c r="B189" s="121" t="e">
        <f aca="false">VLOOKUP(A189,'Inputs-Summary'!$A$32:$B$41,2,FALSE())</f>
        <v>#N/A</v>
      </c>
      <c r="C189" s="122"/>
      <c r="D189" s="123" t="e">
        <f aca="false">B189+C189</f>
        <v>#N/A</v>
      </c>
      <c r="E189" s="111" t="n">
        <f aca="false">IF(Z189=0,0,IF(AND(Z189=1,$H$3=1),D189*U189,IF($H$3=2,D189,"N/A")))</f>
        <v>0</v>
      </c>
      <c r="F189" s="111" t="n">
        <f aca="false">E189*Y189</f>
        <v>0</v>
      </c>
      <c r="G189" s="124" t="n">
        <f aca="false">VLOOKUP($A189,Table,MATCH(G$4,Curves,0))</f>
        <v>3</v>
      </c>
      <c r="H189" s="125" t="n">
        <f aca="false">G189+$H$7</f>
        <v>3</v>
      </c>
      <c r="I189" s="124" t="n">
        <f aca="false">H189</f>
        <v>3</v>
      </c>
      <c r="J189" s="124" t="n">
        <f aca="false">VLOOKUP($A189,Table,MATCH(J$4,Curves,0))</f>
        <v>4</v>
      </c>
      <c r="K189" s="125" t="n">
        <f aca="false">J189+$K$7</f>
        <v>4</v>
      </c>
      <c r="L189" s="126" t="n">
        <f aca="false">K189</f>
        <v>4</v>
      </c>
      <c r="M189" s="124" t="n">
        <f aca="false">VLOOKUP($A189,Table,MATCH(M$4,Curves,0))</f>
        <v>4</v>
      </c>
      <c r="N189" s="125" t="n">
        <f aca="false">M189+$N$7</f>
        <v>4</v>
      </c>
      <c r="O189" s="126" t="n">
        <f aca="false">0.07</f>
        <v>0.07</v>
      </c>
      <c r="P189" s="114"/>
      <c r="Q189" s="126" t="n">
        <f aca="false">M189+J189+G189</f>
        <v>11</v>
      </c>
      <c r="R189" s="126" t="n">
        <f aca="false">N189+K189+H189</f>
        <v>11</v>
      </c>
      <c r="S189" s="126" t="n">
        <f aca="false">O189+L189+I189</f>
        <v>7.07</v>
      </c>
      <c r="T189" s="127"/>
      <c r="U189" s="5" t="n">
        <f aca="false">A190-A189</f>
        <v>31</v>
      </c>
      <c r="V189" s="128" t="n">
        <f aca="false">CHOOSE(F$3,A190+24,A189)</f>
        <v>42736</v>
      </c>
      <c r="W189" s="5" t="n">
        <f aca="false">V189-C$3</f>
        <v>5505</v>
      </c>
      <c r="X189" s="124" t="n">
        <f aca="false">VLOOKUP($A189,Table,MATCH(X$4,Curves,0))</f>
        <v>2</v>
      </c>
      <c r="Y189" s="129" t="n">
        <f aca="false">1/(1+CHOOSE(F$3,(X190+($K$3/10000))/2,(X189+($K$3/10000))/2))^(2*W189/365.25)</f>
        <v>8.43006516034885E-010</v>
      </c>
      <c r="Z189" s="5" t="n">
        <f aca="false">IF(AND(mthbeg&lt;=A189,mthend&gt;=A189),1,0)</f>
        <v>0</v>
      </c>
      <c r="AA189" s="5" t="n">
        <f aca="false">U189*Z189</f>
        <v>0</v>
      </c>
      <c r="AC189" s="115" t="n">
        <f aca="false">IF(G182=2,F189*(S189-Q189),F189*(Q189-S189))</f>
        <v>0</v>
      </c>
      <c r="AE189" s="116" t="n">
        <f aca="false">IF($G$3=1,F189*(R189-Q189),F189*(Q189-R189))</f>
        <v>0</v>
      </c>
      <c r="AG189" s="116" t="n">
        <f aca="false">AC189+AE189</f>
        <v>0</v>
      </c>
    </row>
    <row r="190" customFormat="false" ht="12" hidden="false" customHeight="true" outlineLevel="0" collapsed="false">
      <c r="A190" s="120" t="n">
        <f aca="false">EDATE(A189,1)</f>
        <v>42767</v>
      </c>
      <c r="B190" s="121" t="e">
        <f aca="false">VLOOKUP(A190,'Inputs-Summary'!$A$32:$B$41,2,FALSE())</f>
        <v>#N/A</v>
      </c>
      <c r="C190" s="122"/>
      <c r="D190" s="123" t="e">
        <f aca="false">B190+C190</f>
        <v>#N/A</v>
      </c>
      <c r="E190" s="111" t="n">
        <f aca="false">IF(Z190=0,0,IF(AND(Z190=1,$H$3=1),D190*U190,IF($H$3=2,D190,"N/A")))</f>
        <v>0</v>
      </c>
      <c r="F190" s="111" t="n">
        <f aca="false">E190*Y190</f>
        <v>0</v>
      </c>
      <c r="G190" s="124" t="n">
        <f aca="false">VLOOKUP($A190,Table,MATCH(G$4,Curves,0))</f>
        <v>3</v>
      </c>
      <c r="H190" s="125" t="n">
        <f aca="false">G190+$H$7</f>
        <v>3</v>
      </c>
      <c r="I190" s="124" t="n">
        <f aca="false">H190</f>
        <v>3</v>
      </c>
      <c r="J190" s="124" t="n">
        <f aca="false">VLOOKUP($A190,Table,MATCH(J$4,Curves,0))</f>
        <v>4</v>
      </c>
      <c r="K190" s="125" t="n">
        <f aca="false">J190+$K$7</f>
        <v>4</v>
      </c>
      <c r="L190" s="126" t="n">
        <f aca="false">K190</f>
        <v>4</v>
      </c>
      <c r="M190" s="124" t="n">
        <f aca="false">VLOOKUP($A190,Table,MATCH(M$4,Curves,0))</f>
        <v>4</v>
      </c>
      <c r="N190" s="125" t="n">
        <f aca="false">M190+$N$7</f>
        <v>4</v>
      </c>
      <c r="O190" s="126" t="n">
        <f aca="false">0.07</f>
        <v>0.07</v>
      </c>
      <c r="P190" s="114"/>
      <c r="Q190" s="126" t="n">
        <f aca="false">M190+J190+G190</f>
        <v>11</v>
      </c>
      <c r="R190" s="126" t="n">
        <f aca="false">N190+K190+H190</f>
        <v>11</v>
      </c>
      <c r="S190" s="126" t="n">
        <f aca="false">O190+L190+I190</f>
        <v>7.07</v>
      </c>
      <c r="T190" s="127"/>
      <c r="U190" s="5" t="n">
        <f aca="false">A191-A190</f>
        <v>28</v>
      </c>
      <c r="V190" s="128" t="n">
        <f aca="false">CHOOSE(F$3,A191+24,A190)</f>
        <v>42767</v>
      </c>
      <c r="W190" s="5" t="n">
        <f aca="false">V190-C$3</f>
        <v>5536</v>
      </c>
      <c r="X190" s="124" t="n">
        <f aca="false">VLOOKUP($A190,Table,MATCH(X$4,Curves,0))</f>
        <v>2</v>
      </c>
      <c r="Y190" s="129" t="n">
        <f aca="false">1/(1+CHOOSE(F$3,(X191+($K$3/10000))/2,(X190+($K$3/10000))/2))^(2*W190/365.25)</f>
        <v>7.49431715915874E-010</v>
      </c>
      <c r="Z190" s="5" t="n">
        <f aca="false">IF(AND(mthbeg&lt;=A190,mthend&gt;=A190),1,0)</f>
        <v>0</v>
      </c>
      <c r="AA190" s="5" t="n">
        <f aca="false">U190*Z190</f>
        <v>0</v>
      </c>
      <c r="AC190" s="115" t="n">
        <f aca="false">IF(G183=2,F190*(S190-Q190),F190*(Q190-S190))</f>
        <v>0</v>
      </c>
      <c r="AE190" s="116" t="n">
        <f aca="false">IF($G$3=1,F190*(R190-Q190),F190*(Q190-R190))</f>
        <v>0</v>
      </c>
      <c r="AG190" s="116" t="n">
        <f aca="false">AC190+AE190</f>
        <v>0</v>
      </c>
    </row>
    <row r="191" customFormat="false" ht="12" hidden="false" customHeight="true" outlineLevel="0" collapsed="false">
      <c r="A191" s="120" t="n">
        <f aca="false">EDATE(A190,1)</f>
        <v>42795</v>
      </c>
      <c r="B191" s="121" t="e">
        <f aca="false">VLOOKUP(A191,'Inputs-Summary'!$A$32:$B$41,2,FALSE())</f>
        <v>#N/A</v>
      </c>
      <c r="C191" s="122"/>
      <c r="D191" s="123" t="e">
        <f aca="false">B191+C191</f>
        <v>#N/A</v>
      </c>
      <c r="E191" s="111" t="n">
        <f aca="false">IF(Z191=0,0,IF(AND(Z191=1,$H$3=1),D191*U191,IF($H$3=2,D191,"N/A")))</f>
        <v>0</v>
      </c>
      <c r="F191" s="111" t="n">
        <f aca="false">E191*Y191</f>
        <v>0</v>
      </c>
      <c r="G191" s="124" t="n">
        <f aca="false">VLOOKUP($A191,Table,MATCH(G$4,Curves,0))</f>
        <v>3</v>
      </c>
      <c r="H191" s="125" t="n">
        <f aca="false">G191+$H$7</f>
        <v>3</v>
      </c>
      <c r="I191" s="124" t="n">
        <f aca="false">H191</f>
        <v>3</v>
      </c>
      <c r="J191" s="124" t="n">
        <f aca="false">VLOOKUP($A191,Table,MATCH(J$4,Curves,0))</f>
        <v>4</v>
      </c>
      <c r="K191" s="125" t="n">
        <f aca="false">J191+$K$7</f>
        <v>4</v>
      </c>
      <c r="L191" s="126" t="n">
        <f aca="false">K191</f>
        <v>4</v>
      </c>
      <c r="M191" s="124" t="n">
        <f aca="false">VLOOKUP($A191,Table,MATCH(M$4,Curves,0))</f>
        <v>4</v>
      </c>
      <c r="N191" s="125" t="n">
        <f aca="false">M191+$N$7</f>
        <v>4</v>
      </c>
      <c r="O191" s="126" t="n">
        <f aca="false">0.07</f>
        <v>0.07</v>
      </c>
      <c r="P191" s="114"/>
      <c r="Q191" s="126" t="n">
        <f aca="false">M191+J191+G191</f>
        <v>11</v>
      </c>
      <c r="R191" s="126" t="n">
        <f aca="false">N191+K191+H191</f>
        <v>11</v>
      </c>
      <c r="S191" s="126" t="n">
        <f aca="false">O191+L191+I191</f>
        <v>7.07</v>
      </c>
      <c r="T191" s="127"/>
      <c r="U191" s="5" t="n">
        <f aca="false">A192-A191</f>
        <v>31</v>
      </c>
      <c r="V191" s="128" t="n">
        <f aca="false">CHOOSE(F$3,A192+24,A191)</f>
        <v>42795</v>
      </c>
      <c r="W191" s="5" t="n">
        <f aca="false">V191-C$3</f>
        <v>5564</v>
      </c>
      <c r="X191" s="124" t="n">
        <f aca="false">VLOOKUP($A191,Table,MATCH(X$4,Curves,0))</f>
        <v>2</v>
      </c>
      <c r="Y191" s="129" t="n">
        <f aca="false">1/(1+CHOOSE(F$3,(X192+($K$3/10000))/2,(X191+($K$3/10000))/2))^(2*W191/365.25)</f>
        <v>6.73873311553957E-010</v>
      </c>
      <c r="Z191" s="5" t="n">
        <f aca="false">IF(AND(mthbeg&lt;=A191,mthend&gt;=A191),1,0)</f>
        <v>0</v>
      </c>
      <c r="AA191" s="5" t="n">
        <f aca="false">U191*Z191</f>
        <v>0</v>
      </c>
      <c r="AC191" s="115" t="n">
        <f aca="false">IF(G184=2,F191*(S191-Q191),F191*(Q191-S191))</f>
        <v>0</v>
      </c>
      <c r="AE191" s="116" t="n">
        <f aca="false">IF($G$3=1,F191*(R191-Q191),F191*(Q191-R191))</f>
        <v>0</v>
      </c>
      <c r="AG191" s="116" t="n">
        <f aca="false">AC191+AE191</f>
        <v>0</v>
      </c>
    </row>
    <row r="192" customFormat="false" ht="12" hidden="false" customHeight="true" outlineLevel="0" collapsed="false">
      <c r="A192" s="120" t="n">
        <f aca="false">EDATE(A191,1)</f>
        <v>42826</v>
      </c>
      <c r="B192" s="121" t="e">
        <f aca="false">VLOOKUP(A192,'Inputs-Summary'!$A$32:$B$41,2,FALSE())</f>
        <v>#N/A</v>
      </c>
      <c r="C192" s="122"/>
      <c r="D192" s="123" t="e">
        <f aca="false">B192+C192</f>
        <v>#N/A</v>
      </c>
      <c r="E192" s="111" t="n">
        <f aca="false">IF(Z192=0,0,IF(AND(Z192=1,$H$3=1),D192*U192,IF($H$3=2,D192,"N/A")))</f>
        <v>0</v>
      </c>
      <c r="F192" s="111" t="n">
        <f aca="false">E192*Y192</f>
        <v>0</v>
      </c>
      <c r="G192" s="124" t="n">
        <f aca="false">VLOOKUP($A192,Table,MATCH(G$4,Curves,0))</f>
        <v>3</v>
      </c>
      <c r="H192" s="125" t="n">
        <f aca="false">G192+$H$7</f>
        <v>3</v>
      </c>
      <c r="I192" s="124" t="n">
        <f aca="false">H192</f>
        <v>3</v>
      </c>
      <c r="J192" s="124" t="n">
        <f aca="false">VLOOKUP($A192,Table,MATCH(J$4,Curves,0))</f>
        <v>4</v>
      </c>
      <c r="K192" s="125" t="n">
        <f aca="false">J192+$K$7</f>
        <v>4</v>
      </c>
      <c r="L192" s="126" t="n">
        <f aca="false">K192</f>
        <v>4</v>
      </c>
      <c r="M192" s="124" t="n">
        <f aca="false">VLOOKUP($A192,Table,MATCH(M$4,Curves,0))</f>
        <v>4</v>
      </c>
      <c r="N192" s="125" t="n">
        <f aca="false">M192+$N$7</f>
        <v>4</v>
      </c>
      <c r="O192" s="126" t="n">
        <f aca="false">0.07</f>
        <v>0.07</v>
      </c>
      <c r="P192" s="114"/>
      <c r="Q192" s="126" t="n">
        <f aca="false">M192+J192+G192</f>
        <v>11</v>
      </c>
      <c r="R192" s="126" t="n">
        <f aca="false">N192+K192+H192</f>
        <v>11</v>
      </c>
      <c r="S192" s="126" t="n">
        <f aca="false">O192+L192+I192</f>
        <v>7.07</v>
      </c>
      <c r="T192" s="127"/>
      <c r="U192" s="5" t="n">
        <f aca="false">A193-A192</f>
        <v>30</v>
      </c>
      <c r="V192" s="128" t="n">
        <f aca="false">CHOOSE(F$3,A193+24,A192)</f>
        <v>42826</v>
      </c>
      <c r="W192" s="5" t="n">
        <f aca="false">V192-C$3</f>
        <v>5595</v>
      </c>
      <c r="X192" s="124" t="n">
        <f aca="false">VLOOKUP($A192,Table,MATCH(X$4,Curves,0))</f>
        <v>2</v>
      </c>
      <c r="Y192" s="129" t="n">
        <f aca="false">1/(1+CHOOSE(F$3,(X193+($K$3/10000))/2,(X192+($K$3/10000))/2))^(2*W192/365.25)</f>
        <v>5.99072513179596E-010</v>
      </c>
      <c r="Z192" s="5" t="n">
        <f aca="false">IF(AND(mthbeg&lt;=A192,mthend&gt;=A192),1,0)</f>
        <v>0</v>
      </c>
      <c r="AA192" s="5" t="n">
        <f aca="false">U192*Z192</f>
        <v>0</v>
      </c>
      <c r="AC192" s="115" t="n">
        <f aca="false">IF(G185=2,F192*(S192-Q192),F192*(Q192-S192))</f>
        <v>0</v>
      </c>
      <c r="AE192" s="116" t="n">
        <f aca="false">IF($G$3=1,F192*(R192-Q192),F192*(Q192-R192))</f>
        <v>0</v>
      </c>
      <c r="AG192" s="116" t="n">
        <f aca="false">AC192+AE192</f>
        <v>0</v>
      </c>
    </row>
    <row r="193" customFormat="false" ht="12" hidden="false" customHeight="true" outlineLevel="0" collapsed="false">
      <c r="A193" s="120" t="n">
        <f aca="false">EDATE(A192,1)</f>
        <v>42856</v>
      </c>
      <c r="B193" s="121" t="e">
        <f aca="false">VLOOKUP(A193,'Inputs-Summary'!$A$32:$B$41,2,FALSE())</f>
        <v>#N/A</v>
      </c>
      <c r="C193" s="122"/>
      <c r="D193" s="123" t="e">
        <f aca="false">B193+C193</f>
        <v>#N/A</v>
      </c>
      <c r="E193" s="111" t="n">
        <f aca="false">IF(Z193=0,0,IF(AND(Z193=1,$H$3=1),D193*U193,IF($H$3=2,D193,"N/A")))</f>
        <v>0</v>
      </c>
      <c r="F193" s="111" t="n">
        <f aca="false">E193*Y193</f>
        <v>0</v>
      </c>
      <c r="G193" s="124" t="n">
        <f aca="false">VLOOKUP($A193,Table,MATCH(G$4,Curves,0))</f>
        <v>3</v>
      </c>
      <c r="H193" s="125" t="n">
        <f aca="false">G193+$H$7</f>
        <v>3</v>
      </c>
      <c r="I193" s="124" t="n">
        <f aca="false">H193</f>
        <v>3</v>
      </c>
      <c r="J193" s="124" t="n">
        <f aca="false">VLOOKUP($A193,Table,MATCH(J$4,Curves,0))</f>
        <v>4</v>
      </c>
      <c r="K193" s="125" t="n">
        <f aca="false">J193+$K$7</f>
        <v>4</v>
      </c>
      <c r="L193" s="126" t="n">
        <f aca="false">K193</f>
        <v>4</v>
      </c>
      <c r="M193" s="124" t="n">
        <f aca="false">VLOOKUP($A193,Table,MATCH(M$4,Curves,0))</f>
        <v>4</v>
      </c>
      <c r="N193" s="125" t="n">
        <f aca="false">M193+$N$7</f>
        <v>4</v>
      </c>
      <c r="O193" s="126" t="n">
        <f aca="false">0.07</f>
        <v>0.07</v>
      </c>
      <c r="P193" s="114"/>
      <c r="Q193" s="126" t="n">
        <f aca="false">M193+J193+G193</f>
        <v>11</v>
      </c>
      <c r="R193" s="126" t="n">
        <f aca="false">N193+K193+H193</f>
        <v>11</v>
      </c>
      <c r="S193" s="126" t="n">
        <f aca="false">O193+L193+I193</f>
        <v>7.07</v>
      </c>
      <c r="T193" s="127"/>
      <c r="U193" s="5" t="n">
        <f aca="false">A194-A193</f>
        <v>31</v>
      </c>
      <c r="V193" s="128" t="n">
        <f aca="false">CHOOSE(F$3,A194+24,A193)</f>
        <v>42856</v>
      </c>
      <c r="W193" s="5" t="n">
        <f aca="false">V193-C$3</f>
        <v>5625</v>
      </c>
      <c r="X193" s="124" t="n">
        <f aca="false">VLOOKUP($A193,Table,MATCH(X$4,Curves,0))</f>
        <v>2</v>
      </c>
      <c r="Y193" s="129" t="n">
        <f aca="false">1/(1+CHOOSE(F$3,(X194+($K$3/10000))/2,(X193+($K$3/10000))/2))^(2*W193/365.25)</f>
        <v>5.3459990960516E-010</v>
      </c>
      <c r="Z193" s="5" t="n">
        <f aca="false">IF(AND(mthbeg&lt;=A193,mthend&gt;=A193),1,0)</f>
        <v>0</v>
      </c>
      <c r="AA193" s="5" t="n">
        <f aca="false">U193*Z193</f>
        <v>0</v>
      </c>
      <c r="AC193" s="115" t="n">
        <f aca="false">IF(G186=2,F193*(S193-Q193),F193*(Q193-S193))</f>
        <v>0</v>
      </c>
      <c r="AE193" s="116" t="n">
        <f aca="false">IF($G$3=1,F193*(R193-Q193),F193*(Q193-R193))</f>
        <v>0</v>
      </c>
      <c r="AG193" s="116" t="n">
        <f aca="false">AC193+AE193</f>
        <v>0</v>
      </c>
    </row>
    <row r="194" customFormat="false" ht="12" hidden="false" customHeight="true" outlineLevel="0" collapsed="false">
      <c r="A194" s="120" t="n">
        <f aca="false">EDATE(A193,1)</f>
        <v>42887</v>
      </c>
      <c r="B194" s="121" t="e">
        <f aca="false">VLOOKUP(A194,'Inputs-Summary'!$A$32:$B$41,2,FALSE())</f>
        <v>#N/A</v>
      </c>
      <c r="C194" s="122"/>
      <c r="D194" s="123" t="e">
        <f aca="false">B194+C194</f>
        <v>#N/A</v>
      </c>
      <c r="E194" s="111" t="n">
        <f aca="false">IF(Z194=0,0,IF(AND(Z194=1,$H$3=1),D194*U194,IF($H$3=2,D194,"N/A")))</f>
        <v>0</v>
      </c>
      <c r="F194" s="111" t="n">
        <f aca="false">E194*Y194</f>
        <v>0</v>
      </c>
      <c r="G194" s="124" t="n">
        <f aca="false">VLOOKUP($A194,Table,MATCH(G$4,Curves,0))</f>
        <v>3</v>
      </c>
      <c r="H194" s="125" t="n">
        <f aca="false">G194+$H$7</f>
        <v>3</v>
      </c>
      <c r="I194" s="124" t="n">
        <f aca="false">H194</f>
        <v>3</v>
      </c>
      <c r="J194" s="124" t="n">
        <f aca="false">VLOOKUP($A194,Table,MATCH(J$4,Curves,0))</f>
        <v>4</v>
      </c>
      <c r="K194" s="125" t="n">
        <f aca="false">J194+$K$7</f>
        <v>4</v>
      </c>
      <c r="L194" s="126" t="n">
        <f aca="false">K194</f>
        <v>4</v>
      </c>
      <c r="M194" s="124" t="n">
        <f aca="false">VLOOKUP($A194,Table,MATCH(M$4,Curves,0))</f>
        <v>4</v>
      </c>
      <c r="N194" s="125" t="n">
        <f aca="false">M194+$N$7</f>
        <v>4</v>
      </c>
      <c r="O194" s="126" t="n">
        <f aca="false">0.07</f>
        <v>0.07</v>
      </c>
      <c r="P194" s="114"/>
      <c r="Q194" s="126" t="n">
        <f aca="false">M194+J194+G194</f>
        <v>11</v>
      </c>
      <c r="R194" s="126" t="n">
        <f aca="false">N194+K194+H194</f>
        <v>11</v>
      </c>
      <c r="S194" s="126" t="n">
        <f aca="false">O194+L194+I194</f>
        <v>7.07</v>
      </c>
      <c r="T194" s="127"/>
      <c r="U194" s="5" t="n">
        <f aca="false">A195-A194</f>
        <v>30</v>
      </c>
      <c r="V194" s="128" t="n">
        <f aca="false">CHOOSE(F$3,A195+24,A194)</f>
        <v>42887</v>
      </c>
      <c r="W194" s="5" t="n">
        <f aca="false">V194-C$3</f>
        <v>5656</v>
      </c>
      <c r="X194" s="124" t="n">
        <f aca="false">VLOOKUP($A194,Table,MATCH(X$4,Curves,0))</f>
        <v>2</v>
      </c>
      <c r="Y194" s="129" t="n">
        <f aca="false">1/(1+CHOOSE(F$3,(X195+($K$3/10000))/2,(X194+($K$3/10000))/2))^(2*W194/365.25)</f>
        <v>4.75258636752088E-010</v>
      </c>
      <c r="Z194" s="5" t="n">
        <f aca="false">IF(AND(mthbeg&lt;=A194,mthend&gt;=A194),1,0)</f>
        <v>0</v>
      </c>
      <c r="AA194" s="5" t="n">
        <f aca="false">U194*Z194</f>
        <v>0</v>
      </c>
      <c r="AC194" s="115" t="n">
        <f aca="false">IF(G187=2,F194*(S194-Q194),F194*(Q194-S194))</f>
        <v>0</v>
      </c>
      <c r="AE194" s="116" t="n">
        <f aca="false">IF($G$3=1,F194*(R194-Q194),F194*(Q194-R194))</f>
        <v>0</v>
      </c>
      <c r="AG194" s="116" t="n">
        <f aca="false">AC194+AE194</f>
        <v>0</v>
      </c>
    </row>
    <row r="195" customFormat="false" ht="12" hidden="false" customHeight="true" outlineLevel="0" collapsed="false">
      <c r="A195" s="120" t="n">
        <f aca="false">EDATE(A194,1)</f>
        <v>42917</v>
      </c>
      <c r="B195" s="121" t="e">
        <f aca="false">VLOOKUP(A195,'Inputs-Summary'!$A$32:$B$41,2,FALSE())</f>
        <v>#N/A</v>
      </c>
      <c r="C195" s="122"/>
      <c r="D195" s="123" t="e">
        <f aca="false">B195+C195</f>
        <v>#N/A</v>
      </c>
      <c r="E195" s="111" t="n">
        <f aca="false">IF(Z195=0,0,IF(AND(Z195=1,$H$3=1),D195*U195,IF($H$3=2,D195,"N/A")))</f>
        <v>0</v>
      </c>
      <c r="F195" s="111" t="n">
        <f aca="false">E195*Y195</f>
        <v>0</v>
      </c>
      <c r="G195" s="124" t="n">
        <f aca="false">VLOOKUP($A195,Table,MATCH(G$4,Curves,0))</f>
        <v>3</v>
      </c>
      <c r="H195" s="125" t="n">
        <f aca="false">G195+$H$7</f>
        <v>3</v>
      </c>
      <c r="I195" s="124" t="n">
        <f aca="false">H195</f>
        <v>3</v>
      </c>
      <c r="J195" s="124" t="n">
        <f aca="false">VLOOKUP($A195,Table,MATCH(J$4,Curves,0))</f>
        <v>4</v>
      </c>
      <c r="K195" s="125" t="n">
        <f aca="false">J195+$K$7</f>
        <v>4</v>
      </c>
      <c r="L195" s="126" t="n">
        <f aca="false">K195</f>
        <v>4</v>
      </c>
      <c r="M195" s="124" t="n">
        <f aca="false">VLOOKUP($A195,Table,MATCH(M$4,Curves,0))</f>
        <v>4</v>
      </c>
      <c r="N195" s="125" t="n">
        <f aca="false">M195+$N$7</f>
        <v>4</v>
      </c>
      <c r="O195" s="126" t="n">
        <f aca="false">0.07</f>
        <v>0.07</v>
      </c>
      <c r="P195" s="114"/>
      <c r="Q195" s="126" t="n">
        <f aca="false">M195+J195+G195</f>
        <v>11</v>
      </c>
      <c r="R195" s="126" t="n">
        <f aca="false">N195+K195+H195</f>
        <v>11</v>
      </c>
      <c r="S195" s="126" t="n">
        <f aca="false">O195+L195+I195</f>
        <v>7.07</v>
      </c>
      <c r="T195" s="127"/>
      <c r="U195" s="5" t="n">
        <f aca="false">A196-A195</f>
        <v>31</v>
      </c>
      <c r="V195" s="128" t="n">
        <f aca="false">CHOOSE(F$3,A196+24,A195)</f>
        <v>42917</v>
      </c>
      <c r="W195" s="5" t="n">
        <f aca="false">V195-C$3</f>
        <v>5686</v>
      </c>
      <c r="X195" s="124" t="n">
        <f aca="false">VLOOKUP($A195,Table,MATCH(X$4,Curves,0))</f>
        <v>2</v>
      </c>
      <c r="Y195" s="129" t="n">
        <f aca="false">1/(1+CHOOSE(F$3,(X196+($K$3/10000))/2,(X195+($K$3/10000))/2))^(2*W195/365.25)</f>
        <v>4.24110969301922E-010</v>
      </c>
      <c r="Z195" s="5" t="n">
        <f aca="false">IF(AND(mthbeg&lt;=A195,mthend&gt;=A195),1,0)</f>
        <v>0</v>
      </c>
      <c r="AA195" s="5" t="n">
        <f aca="false">U195*Z195</f>
        <v>0</v>
      </c>
      <c r="AC195" s="115" t="n">
        <f aca="false">IF(G188=2,F195*(S195-Q195),F195*(Q195-S195))</f>
        <v>0</v>
      </c>
      <c r="AE195" s="116" t="n">
        <f aca="false">IF($G$3=1,F195*(R195-Q195),F195*(Q195-R195))</f>
        <v>0</v>
      </c>
      <c r="AG195" s="116" t="n">
        <f aca="false">AC195+AE195</f>
        <v>0</v>
      </c>
    </row>
    <row r="196" customFormat="false" ht="12" hidden="false" customHeight="true" outlineLevel="0" collapsed="false">
      <c r="A196" s="120" t="n">
        <f aca="false">EDATE(A195,1)</f>
        <v>42948</v>
      </c>
      <c r="B196" s="121" t="e">
        <f aca="false">VLOOKUP(A196,'Inputs-Summary'!$A$32:$B$41,2,FALSE())</f>
        <v>#N/A</v>
      </c>
      <c r="C196" s="122"/>
      <c r="D196" s="123" t="e">
        <f aca="false">B196+C196</f>
        <v>#N/A</v>
      </c>
      <c r="E196" s="111" t="n">
        <f aca="false">IF(Z196=0,0,IF(AND(Z196=1,$H$3=1),D196*U196,IF($H$3=2,D196,"N/A")))</f>
        <v>0</v>
      </c>
      <c r="F196" s="111" t="n">
        <f aca="false">E196*Y196</f>
        <v>0</v>
      </c>
      <c r="G196" s="124" t="n">
        <f aca="false">VLOOKUP($A196,Table,MATCH(G$4,Curves,0))</f>
        <v>3</v>
      </c>
      <c r="H196" s="125" t="n">
        <f aca="false">G196+$H$7</f>
        <v>3</v>
      </c>
      <c r="I196" s="124" t="n">
        <f aca="false">H196</f>
        <v>3</v>
      </c>
      <c r="J196" s="124" t="n">
        <f aca="false">VLOOKUP($A196,Table,MATCH(J$4,Curves,0))</f>
        <v>4</v>
      </c>
      <c r="K196" s="125" t="n">
        <f aca="false">J196+$K$7</f>
        <v>4</v>
      </c>
      <c r="L196" s="126" t="n">
        <f aca="false">K196</f>
        <v>4</v>
      </c>
      <c r="M196" s="124" t="n">
        <f aca="false">VLOOKUP($A196,Table,MATCH(M$4,Curves,0))</f>
        <v>4</v>
      </c>
      <c r="N196" s="125" t="n">
        <f aca="false">M196+$N$7</f>
        <v>4</v>
      </c>
      <c r="O196" s="126" t="n">
        <f aca="false">0.07</f>
        <v>0.07</v>
      </c>
      <c r="P196" s="114"/>
      <c r="Q196" s="126" t="n">
        <f aca="false">M196+J196+G196</f>
        <v>11</v>
      </c>
      <c r="R196" s="126" t="n">
        <f aca="false">N196+K196+H196</f>
        <v>11</v>
      </c>
      <c r="S196" s="126" t="n">
        <f aca="false">O196+L196+I196</f>
        <v>7.07</v>
      </c>
      <c r="T196" s="127"/>
      <c r="U196" s="5" t="n">
        <f aca="false">A197-A196</f>
        <v>31</v>
      </c>
      <c r="V196" s="128" t="n">
        <f aca="false">CHOOSE(F$3,A197+24,A196)</f>
        <v>42948</v>
      </c>
      <c r="W196" s="5" t="n">
        <f aca="false">V196-C$3</f>
        <v>5717</v>
      </c>
      <c r="X196" s="124" t="n">
        <f aca="false">VLOOKUP($A196,Table,MATCH(X$4,Curves,0))</f>
        <v>2</v>
      </c>
      <c r="Y196" s="129" t="n">
        <f aca="false">1/(1+CHOOSE(F$3,(X197+($K$3/10000))/2,(X196+($K$3/10000))/2))^(2*W196/365.25)</f>
        <v>3.77034109958803E-010</v>
      </c>
      <c r="Z196" s="5" t="n">
        <f aca="false">IF(AND(mthbeg&lt;=A196,mthend&gt;=A196),1,0)</f>
        <v>0</v>
      </c>
      <c r="AA196" s="5" t="n">
        <f aca="false">U196*Z196</f>
        <v>0</v>
      </c>
      <c r="AC196" s="115" t="n">
        <f aca="false">IF(G189=2,F196*(S196-Q196),F196*(Q196-S196))</f>
        <v>0</v>
      </c>
      <c r="AE196" s="116" t="n">
        <f aca="false">IF($G$3=1,F196*(R196-Q196),F196*(Q196-R196))</f>
        <v>0</v>
      </c>
      <c r="AG196" s="116" t="n">
        <f aca="false">AC196+AE196</f>
        <v>0</v>
      </c>
    </row>
    <row r="197" customFormat="false" ht="12" hidden="false" customHeight="true" outlineLevel="0" collapsed="false">
      <c r="A197" s="120" t="n">
        <f aca="false">EDATE(A196,1)</f>
        <v>42979</v>
      </c>
      <c r="B197" s="121" t="e">
        <f aca="false">VLOOKUP(A197,'Inputs-Summary'!$A$32:$B$41,2,FALSE())</f>
        <v>#N/A</v>
      </c>
      <c r="C197" s="122"/>
      <c r="D197" s="123" t="e">
        <f aca="false">B197+C197</f>
        <v>#N/A</v>
      </c>
      <c r="E197" s="111" t="n">
        <f aca="false">IF(Z197=0,0,IF(AND(Z197=1,$H$3=1),D197*U197,IF($H$3=2,D197,"N/A")))</f>
        <v>0</v>
      </c>
      <c r="F197" s="111" t="n">
        <f aca="false">E197*Y197</f>
        <v>0</v>
      </c>
      <c r="G197" s="124" t="n">
        <f aca="false">VLOOKUP($A197,Table,MATCH(G$4,Curves,0))</f>
        <v>3</v>
      </c>
      <c r="H197" s="125" t="n">
        <f aca="false">G197+$H$7</f>
        <v>3</v>
      </c>
      <c r="I197" s="124" t="n">
        <f aca="false">H197</f>
        <v>3</v>
      </c>
      <c r="J197" s="124" t="n">
        <f aca="false">VLOOKUP($A197,Table,MATCH(J$4,Curves,0))</f>
        <v>4</v>
      </c>
      <c r="K197" s="125" t="n">
        <f aca="false">J197+$K$7</f>
        <v>4</v>
      </c>
      <c r="L197" s="126" t="n">
        <f aca="false">K197</f>
        <v>4</v>
      </c>
      <c r="M197" s="124" t="n">
        <f aca="false">VLOOKUP($A197,Table,MATCH(M$4,Curves,0))</f>
        <v>4</v>
      </c>
      <c r="N197" s="125" t="n">
        <f aca="false">M197+$N$7</f>
        <v>4</v>
      </c>
      <c r="O197" s="126" t="n">
        <f aca="false">0.07</f>
        <v>0.07</v>
      </c>
      <c r="P197" s="114"/>
      <c r="Q197" s="126" t="n">
        <f aca="false">M197+J197+G197</f>
        <v>11</v>
      </c>
      <c r="R197" s="126" t="n">
        <f aca="false">N197+K197+H197</f>
        <v>11</v>
      </c>
      <c r="S197" s="126" t="n">
        <f aca="false">O197+L197+I197</f>
        <v>7.07</v>
      </c>
      <c r="T197" s="127"/>
      <c r="U197" s="5" t="n">
        <f aca="false">A198-A197</f>
        <v>30</v>
      </c>
      <c r="V197" s="128" t="n">
        <f aca="false">CHOOSE(F$3,A198+24,A197)</f>
        <v>42979</v>
      </c>
      <c r="W197" s="5" t="n">
        <f aca="false">V197-C$3</f>
        <v>5748</v>
      </c>
      <c r="X197" s="124" t="n">
        <f aca="false">VLOOKUP($A197,Table,MATCH(X$4,Curves,0))</f>
        <v>2</v>
      </c>
      <c r="Y197" s="129" t="n">
        <f aca="false">1/(1+CHOOSE(F$3,(X198+($K$3/10000))/2,(X197+($K$3/10000))/2))^(2*W197/365.25)</f>
        <v>3.35182842137779E-010</v>
      </c>
      <c r="Z197" s="5" t="n">
        <f aca="false">IF(AND(mthbeg&lt;=A197,mthend&gt;=A197),1,0)</f>
        <v>0</v>
      </c>
      <c r="AA197" s="5" t="n">
        <f aca="false">U197*Z197</f>
        <v>0</v>
      </c>
      <c r="AC197" s="115" t="n">
        <f aca="false">IF(G190=2,F197*(S197-Q197),F197*(Q197-S197))</f>
        <v>0</v>
      </c>
      <c r="AE197" s="116" t="n">
        <f aca="false">IF($G$3=1,F197*(R197-Q197),F197*(Q197-R197))</f>
        <v>0</v>
      </c>
      <c r="AG197" s="116" t="n">
        <f aca="false">AC197+AE197</f>
        <v>0</v>
      </c>
    </row>
    <row r="198" customFormat="false" ht="12" hidden="false" customHeight="true" outlineLevel="0" collapsed="false">
      <c r="A198" s="120" t="n">
        <f aca="false">EDATE(A197,1)</f>
        <v>43009</v>
      </c>
      <c r="B198" s="121" t="e">
        <f aca="false">VLOOKUP(A198,'Inputs-Summary'!$A$32:$B$41,2,FALSE())</f>
        <v>#N/A</v>
      </c>
      <c r="C198" s="122"/>
      <c r="D198" s="123" t="e">
        <f aca="false">B198+C198</f>
        <v>#N/A</v>
      </c>
      <c r="E198" s="111" t="n">
        <f aca="false">IF(Z198=0,0,IF(AND(Z198=1,$H$3=1),D198*U198,IF($H$3=2,D198,"N/A")))</f>
        <v>0</v>
      </c>
      <c r="F198" s="111" t="n">
        <f aca="false">E198*Y198</f>
        <v>0</v>
      </c>
      <c r="G198" s="124" t="n">
        <f aca="false">VLOOKUP($A198,Table,MATCH(G$4,Curves,0))</f>
        <v>3</v>
      </c>
      <c r="H198" s="125" t="n">
        <f aca="false">G198+$H$7</f>
        <v>3</v>
      </c>
      <c r="I198" s="124" t="n">
        <f aca="false">H198</f>
        <v>3</v>
      </c>
      <c r="J198" s="124" t="n">
        <f aca="false">VLOOKUP($A198,Table,MATCH(J$4,Curves,0))</f>
        <v>4</v>
      </c>
      <c r="K198" s="125" t="n">
        <f aca="false">J198+$K$7</f>
        <v>4</v>
      </c>
      <c r="L198" s="126" t="n">
        <f aca="false">K198</f>
        <v>4</v>
      </c>
      <c r="M198" s="124" t="n">
        <f aca="false">VLOOKUP($A198,Table,MATCH(M$4,Curves,0))</f>
        <v>4</v>
      </c>
      <c r="N198" s="125" t="n">
        <f aca="false">M198+$N$7</f>
        <v>4</v>
      </c>
      <c r="O198" s="126" t="n">
        <f aca="false">0.07</f>
        <v>0.07</v>
      </c>
      <c r="P198" s="114"/>
      <c r="Q198" s="126" t="n">
        <f aca="false">M198+J198+G198</f>
        <v>11</v>
      </c>
      <c r="R198" s="126" t="n">
        <f aca="false">N198+K198+H198</f>
        <v>11</v>
      </c>
      <c r="S198" s="126" t="n">
        <f aca="false">O198+L198+I198</f>
        <v>7.07</v>
      </c>
      <c r="T198" s="127"/>
      <c r="U198" s="5" t="n">
        <f aca="false">A199-A198</f>
        <v>31</v>
      </c>
      <c r="V198" s="128" t="n">
        <f aca="false">CHOOSE(F$3,A199+24,A198)</f>
        <v>43009</v>
      </c>
      <c r="W198" s="5" t="n">
        <f aca="false">V198-C$3</f>
        <v>5778</v>
      </c>
      <c r="X198" s="124" t="n">
        <f aca="false">VLOOKUP($A198,Table,MATCH(X$4,Curves,0))</f>
        <v>2</v>
      </c>
      <c r="Y198" s="129" t="n">
        <f aca="false">1/(1+CHOOSE(F$3,(X199+($K$3/10000))/2,(X198+($K$3/10000))/2))^(2*W198/365.25)</f>
        <v>2.99110229840136E-010</v>
      </c>
      <c r="Z198" s="5" t="n">
        <f aca="false">IF(AND(mthbeg&lt;=A198,mthend&gt;=A198),1,0)</f>
        <v>0</v>
      </c>
      <c r="AA198" s="5" t="n">
        <f aca="false">U198*Z198</f>
        <v>0</v>
      </c>
      <c r="AC198" s="115" t="n">
        <f aca="false">IF(G191=2,F198*(S198-Q198),F198*(Q198-S198))</f>
        <v>0</v>
      </c>
      <c r="AE198" s="116" t="n">
        <f aca="false">IF($G$3=1,F198*(R198-Q198),F198*(Q198-R198))</f>
        <v>0</v>
      </c>
      <c r="AG198" s="116" t="n">
        <f aca="false">AC198+AE198</f>
        <v>0</v>
      </c>
    </row>
    <row r="199" customFormat="false" ht="12" hidden="false" customHeight="true" outlineLevel="0" collapsed="false">
      <c r="A199" s="120" t="n">
        <f aca="false">EDATE(A198,1)</f>
        <v>43040</v>
      </c>
      <c r="B199" s="121" t="e">
        <f aca="false">VLOOKUP(A199,'Inputs-Summary'!$A$32:$B$41,2,FALSE())</f>
        <v>#N/A</v>
      </c>
      <c r="C199" s="122"/>
      <c r="D199" s="123" t="e">
        <f aca="false">B199+C199</f>
        <v>#N/A</v>
      </c>
      <c r="E199" s="111" t="n">
        <f aca="false">IF(Z199=0,0,IF(AND(Z199=1,$H$3=1),D199*U199,IF($H$3=2,D199,"N/A")))</f>
        <v>0</v>
      </c>
      <c r="F199" s="111" t="n">
        <f aca="false">E199*Y199</f>
        <v>0</v>
      </c>
      <c r="G199" s="124" t="n">
        <f aca="false">VLOOKUP($A199,Table,MATCH(G$4,Curves,0))</f>
        <v>3</v>
      </c>
      <c r="H199" s="125" t="n">
        <f aca="false">G199+$H$7</f>
        <v>3</v>
      </c>
      <c r="I199" s="124" t="n">
        <f aca="false">H199</f>
        <v>3</v>
      </c>
      <c r="J199" s="124" t="n">
        <f aca="false">VLOOKUP($A199,Table,MATCH(J$4,Curves,0))</f>
        <v>4</v>
      </c>
      <c r="K199" s="125" t="n">
        <f aca="false">J199+$K$7</f>
        <v>4</v>
      </c>
      <c r="L199" s="126" t="n">
        <f aca="false">K199</f>
        <v>4</v>
      </c>
      <c r="M199" s="124" t="n">
        <f aca="false">VLOOKUP($A199,Table,MATCH(M$4,Curves,0))</f>
        <v>4</v>
      </c>
      <c r="N199" s="125" t="n">
        <f aca="false">M199+$N$7</f>
        <v>4</v>
      </c>
      <c r="O199" s="126" t="n">
        <f aca="false">0.07</f>
        <v>0.07</v>
      </c>
      <c r="P199" s="114"/>
      <c r="Q199" s="126" t="n">
        <f aca="false">M199+J199+G199</f>
        <v>11</v>
      </c>
      <c r="R199" s="126" t="n">
        <f aca="false">N199+K199+H199</f>
        <v>11</v>
      </c>
      <c r="S199" s="126" t="n">
        <f aca="false">O199+L199+I199</f>
        <v>7.07</v>
      </c>
      <c r="T199" s="127"/>
      <c r="U199" s="5" t="n">
        <f aca="false">A200-A199</f>
        <v>30</v>
      </c>
      <c r="V199" s="128" t="n">
        <f aca="false">CHOOSE(F$3,A200+24,A199)</f>
        <v>43040</v>
      </c>
      <c r="W199" s="5" t="n">
        <f aca="false">V199-C$3</f>
        <v>5809</v>
      </c>
      <c r="X199" s="124" t="n">
        <f aca="false">VLOOKUP($A199,Table,MATCH(X$4,Curves,0))</f>
        <v>2</v>
      </c>
      <c r="Y199" s="129" t="n">
        <f aca="false">1/(1+CHOOSE(F$3,(X200+($K$3/10000))/2,(X199+($K$3/10000))/2))^(2*W199/365.25)</f>
        <v>2.65908612250642E-010</v>
      </c>
      <c r="Z199" s="5" t="n">
        <f aca="false">IF(AND(mthbeg&lt;=A199,mthend&gt;=A199),1,0)</f>
        <v>0</v>
      </c>
      <c r="AA199" s="5" t="n">
        <f aca="false">U199*Z199</f>
        <v>0</v>
      </c>
      <c r="AC199" s="115" t="n">
        <f aca="false">IF(G192=2,F199*(S199-Q199),F199*(Q199-S199))</f>
        <v>0</v>
      </c>
      <c r="AE199" s="116" t="n">
        <f aca="false">IF($G$3=1,F199*(R199-Q199),F199*(Q199-R199))</f>
        <v>0</v>
      </c>
      <c r="AG199" s="116" t="n">
        <f aca="false">AC199+AE199</f>
        <v>0</v>
      </c>
    </row>
    <row r="200" customFormat="false" ht="12" hidden="false" customHeight="true" outlineLevel="0" collapsed="false">
      <c r="A200" s="120" t="n">
        <f aca="false">EDATE(A199,1)</f>
        <v>43070</v>
      </c>
      <c r="B200" s="121" t="e">
        <f aca="false">VLOOKUP(A200,'Inputs-Summary'!$A$32:$B$41,2,FALSE())</f>
        <v>#N/A</v>
      </c>
      <c r="C200" s="122"/>
      <c r="D200" s="123" t="e">
        <f aca="false">B200+C200</f>
        <v>#N/A</v>
      </c>
      <c r="E200" s="111" t="n">
        <f aca="false">IF(Z200=0,0,IF(AND(Z200=1,$H$3=1),D200*U200,IF($H$3=2,D200,"N/A")))</f>
        <v>0</v>
      </c>
      <c r="F200" s="111" t="n">
        <f aca="false">E200*Y200</f>
        <v>0</v>
      </c>
      <c r="G200" s="124" t="n">
        <f aca="false">VLOOKUP($A200,Table,MATCH(G$4,Curves,0))</f>
        <v>3</v>
      </c>
      <c r="H200" s="125" t="n">
        <f aca="false">G200+$H$7</f>
        <v>3</v>
      </c>
      <c r="I200" s="124" t="n">
        <f aca="false">H200</f>
        <v>3</v>
      </c>
      <c r="J200" s="124" t="n">
        <f aca="false">VLOOKUP($A200,Table,MATCH(J$4,Curves,0))</f>
        <v>4</v>
      </c>
      <c r="K200" s="125" t="n">
        <f aca="false">J200+$K$7</f>
        <v>4</v>
      </c>
      <c r="L200" s="126" t="n">
        <f aca="false">K200</f>
        <v>4</v>
      </c>
      <c r="M200" s="124" t="n">
        <f aca="false">VLOOKUP($A200,Table,MATCH(M$4,Curves,0))</f>
        <v>4</v>
      </c>
      <c r="N200" s="125" t="n">
        <f aca="false">M200+$N$7</f>
        <v>4</v>
      </c>
      <c r="O200" s="126" t="n">
        <f aca="false">0.07</f>
        <v>0.07</v>
      </c>
      <c r="P200" s="114"/>
      <c r="Q200" s="126" t="n">
        <f aca="false">M200+J200+G200</f>
        <v>11</v>
      </c>
      <c r="R200" s="126" t="n">
        <f aca="false">N200+K200+H200</f>
        <v>11</v>
      </c>
      <c r="S200" s="126" t="n">
        <f aca="false">O200+L200+I200</f>
        <v>7.07</v>
      </c>
      <c r="T200" s="127"/>
      <c r="U200" s="5" t="n">
        <f aca="false">A201-A200</f>
        <v>31</v>
      </c>
      <c r="V200" s="128" t="n">
        <f aca="false">CHOOSE(F$3,A201+24,A200)</f>
        <v>43070</v>
      </c>
      <c r="W200" s="5" t="n">
        <f aca="false">V200-C$3</f>
        <v>5839</v>
      </c>
      <c r="X200" s="124" t="n">
        <f aca="false">VLOOKUP($A200,Table,MATCH(X$4,Curves,0))</f>
        <v>2</v>
      </c>
      <c r="Y200" s="129" t="n">
        <f aca="false">1/(1+CHOOSE(F$3,(X201+($K$3/10000))/2,(X200+($K$3/10000))/2))^(2*W200/365.25)</f>
        <v>2.37291341106498E-010</v>
      </c>
      <c r="Z200" s="5" t="n">
        <f aca="false">IF(AND(mthbeg&lt;=A200,mthend&gt;=A200),1,0)</f>
        <v>0</v>
      </c>
      <c r="AA200" s="5" t="n">
        <f aca="false">U200*Z200</f>
        <v>0</v>
      </c>
      <c r="AC200" s="115" t="n">
        <f aca="false">IF(G193=2,F200*(S200-Q200),F200*(Q200-S200))</f>
        <v>0</v>
      </c>
      <c r="AE200" s="116" t="n">
        <f aca="false">IF($G$3=1,F200*(R200-Q200),F200*(Q200-R200))</f>
        <v>0</v>
      </c>
      <c r="AG200" s="116" t="n">
        <f aca="false">AC200+AE200</f>
        <v>0</v>
      </c>
    </row>
    <row r="201" customFormat="false" ht="12" hidden="false" customHeight="true" outlineLevel="0" collapsed="false">
      <c r="A201" s="120" t="n">
        <f aca="false">EDATE(A200,1)</f>
        <v>43101</v>
      </c>
      <c r="B201" s="121" t="e">
        <f aca="false">VLOOKUP(A201,'Inputs-Summary'!$A$32:$B$41,2,FALSE())</f>
        <v>#N/A</v>
      </c>
      <c r="C201" s="122"/>
      <c r="D201" s="123" t="e">
        <f aca="false">B201+C201</f>
        <v>#N/A</v>
      </c>
      <c r="E201" s="111" t="n">
        <f aca="false">IF(Z201=0,0,IF(AND(Z201=1,$H$3=1),D201*U201,IF($H$3=2,D201,"N/A")))</f>
        <v>0</v>
      </c>
      <c r="F201" s="111" t="n">
        <f aca="false">E201*Y201</f>
        <v>0</v>
      </c>
      <c r="G201" s="124" t="n">
        <f aca="false">VLOOKUP($A201,Table,MATCH(G$4,Curves,0))</f>
        <v>3</v>
      </c>
      <c r="H201" s="125" t="n">
        <f aca="false">G201+$H$7</f>
        <v>3</v>
      </c>
      <c r="I201" s="124" t="n">
        <f aca="false">H201</f>
        <v>3</v>
      </c>
      <c r="J201" s="124" t="n">
        <f aca="false">VLOOKUP($A201,Table,MATCH(J$4,Curves,0))</f>
        <v>4</v>
      </c>
      <c r="K201" s="125" t="n">
        <f aca="false">J201+$K$7</f>
        <v>4</v>
      </c>
      <c r="L201" s="126" t="n">
        <f aca="false">K201</f>
        <v>4</v>
      </c>
      <c r="M201" s="124" t="n">
        <f aca="false">VLOOKUP($A201,Table,MATCH(M$4,Curves,0))</f>
        <v>4</v>
      </c>
      <c r="N201" s="125" t="n">
        <f aca="false">M201+$N$7</f>
        <v>4</v>
      </c>
      <c r="O201" s="126" t="n">
        <f aca="false">0.07</f>
        <v>0.07</v>
      </c>
      <c r="P201" s="114"/>
      <c r="Q201" s="126" t="n">
        <f aca="false">M201+J201+G201</f>
        <v>11</v>
      </c>
      <c r="R201" s="126" t="n">
        <f aca="false">N201+K201+H201</f>
        <v>11</v>
      </c>
      <c r="S201" s="126" t="n">
        <f aca="false">O201+L201+I201</f>
        <v>7.07</v>
      </c>
      <c r="T201" s="127"/>
      <c r="U201" s="5" t="n">
        <f aca="false">A202-A201</f>
        <v>31</v>
      </c>
      <c r="V201" s="128" t="n">
        <f aca="false">CHOOSE(F$3,A202+24,A201)</f>
        <v>43101</v>
      </c>
      <c r="W201" s="5" t="n">
        <f aca="false">V201-C$3</f>
        <v>5870</v>
      </c>
      <c r="X201" s="124" t="n">
        <f aca="false">VLOOKUP($A201,Table,MATCH(X$4,Curves,0))</f>
        <v>2</v>
      </c>
      <c r="Y201" s="129" t="n">
        <f aca="false">1/(1+CHOOSE(F$3,(X202+($K$3/10000))/2,(X201+($K$3/10000))/2))^(2*W201/365.25)</f>
        <v>2.10951699132611E-010</v>
      </c>
      <c r="Z201" s="5" t="n">
        <f aca="false">IF(AND(mthbeg&lt;=A201,mthend&gt;=A201),1,0)</f>
        <v>0</v>
      </c>
      <c r="AA201" s="5" t="n">
        <f aca="false">U201*Z201</f>
        <v>0</v>
      </c>
      <c r="AC201" s="115" t="n">
        <f aca="false">IF(G194=2,F201*(S201-Q201),F201*(Q201-S201))</f>
        <v>0</v>
      </c>
      <c r="AE201" s="116" t="n">
        <f aca="false">IF($G$3=1,F201*(R201-Q201),F201*(Q201-R201))</f>
        <v>0</v>
      </c>
      <c r="AG201" s="116" t="n">
        <f aca="false">AC201+AE201</f>
        <v>0</v>
      </c>
    </row>
    <row r="202" customFormat="false" ht="12" hidden="false" customHeight="true" outlineLevel="0" collapsed="false">
      <c r="A202" s="120" t="n">
        <f aca="false">EDATE(A201,1)</f>
        <v>43132</v>
      </c>
      <c r="B202" s="121" t="e">
        <f aca="false">VLOOKUP(A202,'Inputs-Summary'!$A$32:$B$41,2,FALSE())</f>
        <v>#N/A</v>
      </c>
      <c r="C202" s="122"/>
      <c r="D202" s="123" t="e">
        <f aca="false">B202+C202</f>
        <v>#N/A</v>
      </c>
      <c r="E202" s="111" t="n">
        <f aca="false">IF(Z202=0,0,IF(AND(Z202=1,$H$3=1),D202*U202,IF($H$3=2,D202,"N/A")))</f>
        <v>0</v>
      </c>
      <c r="F202" s="111" t="n">
        <f aca="false">E202*Y202</f>
        <v>0</v>
      </c>
      <c r="G202" s="124" t="n">
        <f aca="false">VLOOKUP($A202,Table,MATCH(G$4,Curves,0))</f>
        <v>3</v>
      </c>
      <c r="H202" s="125" t="n">
        <f aca="false">G202+$H$7</f>
        <v>3</v>
      </c>
      <c r="I202" s="124" t="n">
        <f aca="false">H202</f>
        <v>3</v>
      </c>
      <c r="J202" s="124" t="n">
        <f aca="false">VLOOKUP($A202,Table,MATCH(J$4,Curves,0))</f>
        <v>4</v>
      </c>
      <c r="K202" s="125" t="n">
        <f aca="false">J202+$K$7</f>
        <v>4</v>
      </c>
      <c r="L202" s="126" t="n">
        <f aca="false">K202</f>
        <v>4</v>
      </c>
      <c r="M202" s="124" t="n">
        <f aca="false">VLOOKUP($A202,Table,MATCH(M$4,Curves,0))</f>
        <v>4</v>
      </c>
      <c r="N202" s="125" t="n">
        <f aca="false">M202+$N$7</f>
        <v>4</v>
      </c>
      <c r="O202" s="126" t="n">
        <f aca="false">0.07</f>
        <v>0.07</v>
      </c>
      <c r="P202" s="114"/>
      <c r="Q202" s="126" t="n">
        <f aca="false">M202+J202+G202</f>
        <v>11</v>
      </c>
      <c r="R202" s="126" t="n">
        <f aca="false">N202+K202+H202</f>
        <v>11</v>
      </c>
      <c r="S202" s="126" t="n">
        <f aca="false">O202+L202+I202</f>
        <v>7.07</v>
      </c>
      <c r="T202" s="127"/>
      <c r="U202" s="5" t="n">
        <f aca="false">A203-A202</f>
        <v>28</v>
      </c>
      <c r="V202" s="128" t="n">
        <f aca="false">CHOOSE(F$3,A203+24,A202)</f>
        <v>43132</v>
      </c>
      <c r="W202" s="5" t="n">
        <f aca="false">V202-C$3</f>
        <v>5901</v>
      </c>
      <c r="X202" s="124" t="n">
        <f aca="false">VLOOKUP($A202,Table,MATCH(X$4,Curves,0))</f>
        <v>2</v>
      </c>
      <c r="Y202" s="129" t="n">
        <f aca="false">1/(1+CHOOSE(F$3,(X203+($K$3/10000))/2,(X202+($K$3/10000))/2))^(2*W202/365.25)</f>
        <v>1.87535791063541E-010</v>
      </c>
      <c r="Z202" s="5" t="n">
        <f aca="false">IF(AND(mthbeg&lt;=A202,mthend&gt;=A202),1,0)</f>
        <v>0</v>
      </c>
      <c r="AA202" s="5" t="n">
        <f aca="false">U202*Z202</f>
        <v>0</v>
      </c>
      <c r="AC202" s="115" t="n">
        <f aca="false">IF(G195=2,F202*(S202-Q202),F202*(Q202-S202))</f>
        <v>0</v>
      </c>
      <c r="AE202" s="116" t="n">
        <f aca="false">IF($G$3=1,F202*(R202-Q202),F202*(Q202-R202))</f>
        <v>0</v>
      </c>
      <c r="AG202" s="116" t="n">
        <f aca="false">AC202+AE202</f>
        <v>0</v>
      </c>
    </row>
    <row r="203" customFormat="false" ht="12" hidden="false" customHeight="true" outlineLevel="0" collapsed="false">
      <c r="A203" s="120" t="n">
        <f aca="false">EDATE(A202,1)</f>
        <v>43160</v>
      </c>
      <c r="B203" s="121" t="e">
        <f aca="false">VLOOKUP(A203,'Inputs-Summary'!$A$32:$B$41,2,FALSE())</f>
        <v>#N/A</v>
      </c>
      <c r="C203" s="122"/>
      <c r="D203" s="123" t="e">
        <f aca="false">B203+C203</f>
        <v>#N/A</v>
      </c>
      <c r="E203" s="111" t="n">
        <f aca="false">IF(Z203=0,0,IF(AND(Z203=1,$H$3=1),D203*U203,IF($H$3=2,D203,"N/A")))</f>
        <v>0</v>
      </c>
      <c r="F203" s="111" t="n">
        <f aca="false">E203*Y203</f>
        <v>0</v>
      </c>
      <c r="G203" s="124" t="n">
        <f aca="false">VLOOKUP($A203,Table,MATCH(G$4,Curves,0))</f>
        <v>3</v>
      </c>
      <c r="H203" s="125" t="n">
        <f aca="false">G203+$H$7</f>
        <v>3</v>
      </c>
      <c r="I203" s="124" t="n">
        <f aca="false">H203</f>
        <v>3</v>
      </c>
      <c r="J203" s="124" t="n">
        <f aca="false">VLOOKUP($A203,Table,MATCH(J$4,Curves,0))</f>
        <v>4</v>
      </c>
      <c r="K203" s="125" t="n">
        <f aca="false">J203+$K$7</f>
        <v>4</v>
      </c>
      <c r="L203" s="126" t="n">
        <f aca="false">K203</f>
        <v>4</v>
      </c>
      <c r="M203" s="124" t="n">
        <f aca="false">VLOOKUP($A203,Table,MATCH(M$4,Curves,0))</f>
        <v>4</v>
      </c>
      <c r="N203" s="125" t="n">
        <f aca="false">M203+$N$7</f>
        <v>4</v>
      </c>
      <c r="O203" s="126" t="n">
        <f aca="false">0.07</f>
        <v>0.07</v>
      </c>
      <c r="P203" s="114"/>
      <c r="Q203" s="126" t="n">
        <f aca="false">M203+J203+G203</f>
        <v>11</v>
      </c>
      <c r="R203" s="126" t="n">
        <f aca="false">N203+K203+H203</f>
        <v>11</v>
      </c>
      <c r="S203" s="126" t="n">
        <f aca="false">O203+L203+I203</f>
        <v>7.07</v>
      </c>
      <c r="T203" s="127"/>
      <c r="U203" s="5" t="n">
        <f aca="false">A204-A203</f>
        <v>31</v>
      </c>
      <c r="V203" s="128" t="n">
        <f aca="false">CHOOSE(F$3,A204+24,A203)</f>
        <v>43160</v>
      </c>
      <c r="W203" s="5" t="n">
        <f aca="false">V203-C$3</f>
        <v>5929</v>
      </c>
      <c r="X203" s="124" t="n">
        <f aca="false">VLOOKUP($A203,Table,MATCH(X$4,Curves,0))</f>
        <v>2</v>
      </c>
      <c r="Y203" s="129" t="n">
        <f aca="false">1/(1+CHOOSE(F$3,(X204+($K$3/10000))/2,(X203+($K$3/10000))/2))^(2*W203/365.25)</f>
        <v>1.68628257751858E-010</v>
      </c>
      <c r="Z203" s="5" t="n">
        <f aca="false">IF(AND(mthbeg&lt;=A203,mthend&gt;=A203),1,0)</f>
        <v>0</v>
      </c>
      <c r="AA203" s="5" t="n">
        <f aca="false">U203*Z203</f>
        <v>0</v>
      </c>
      <c r="AC203" s="115" t="n">
        <f aca="false">IF(G196=2,F203*(S203-Q203),F203*(Q203-S203))</f>
        <v>0</v>
      </c>
      <c r="AE203" s="116" t="n">
        <f aca="false">IF($G$3=1,F203*(R203-Q203),F203*(Q203-R203))</f>
        <v>0</v>
      </c>
      <c r="AG203" s="116" t="n">
        <f aca="false">AC203+AE203</f>
        <v>0</v>
      </c>
    </row>
    <row r="204" customFormat="false" ht="12" hidden="false" customHeight="true" outlineLevel="0" collapsed="false">
      <c r="A204" s="120" t="n">
        <f aca="false">EDATE(A203,1)</f>
        <v>43191</v>
      </c>
      <c r="B204" s="121" t="e">
        <f aca="false">VLOOKUP(A204,'Inputs-Summary'!$A$32:$B$41,2,FALSE())</f>
        <v>#N/A</v>
      </c>
      <c r="C204" s="122"/>
      <c r="D204" s="123" t="e">
        <f aca="false">B204+C204</f>
        <v>#N/A</v>
      </c>
      <c r="E204" s="111" t="n">
        <f aca="false">IF(Z204=0,0,IF(AND(Z204=1,$H$3=1),D204*U204,IF($H$3=2,D204,"N/A")))</f>
        <v>0</v>
      </c>
      <c r="F204" s="111" t="n">
        <f aca="false">E204*Y204</f>
        <v>0</v>
      </c>
      <c r="G204" s="124" t="n">
        <f aca="false">VLOOKUP($A204,Table,MATCH(G$4,Curves,0))</f>
        <v>3</v>
      </c>
      <c r="H204" s="125" t="n">
        <f aca="false">G204+$H$7</f>
        <v>3</v>
      </c>
      <c r="I204" s="124" t="n">
        <f aca="false">H204</f>
        <v>3</v>
      </c>
      <c r="J204" s="124" t="n">
        <f aca="false">VLOOKUP($A204,Table,MATCH(J$4,Curves,0))</f>
        <v>4</v>
      </c>
      <c r="K204" s="125" t="n">
        <f aca="false">J204+$K$7</f>
        <v>4</v>
      </c>
      <c r="L204" s="126" t="n">
        <f aca="false">K204</f>
        <v>4</v>
      </c>
      <c r="M204" s="124" t="n">
        <f aca="false">VLOOKUP($A204,Table,MATCH(M$4,Curves,0))</f>
        <v>4</v>
      </c>
      <c r="N204" s="125" t="n">
        <f aca="false">M204+$N$7</f>
        <v>4</v>
      </c>
      <c r="O204" s="126" t="n">
        <f aca="false">0.07</f>
        <v>0.07</v>
      </c>
      <c r="P204" s="114"/>
      <c r="Q204" s="126" t="n">
        <f aca="false">M204+J204+G204</f>
        <v>11</v>
      </c>
      <c r="R204" s="126" t="n">
        <f aca="false">N204+K204+H204</f>
        <v>11</v>
      </c>
      <c r="S204" s="126" t="n">
        <f aca="false">O204+L204+I204</f>
        <v>7.07</v>
      </c>
      <c r="T204" s="127"/>
      <c r="U204" s="5" t="n">
        <f aca="false">A205-A204</f>
        <v>30</v>
      </c>
      <c r="V204" s="128" t="n">
        <f aca="false">CHOOSE(F$3,A205+24,A204)</f>
        <v>43191</v>
      </c>
      <c r="W204" s="5" t="n">
        <f aca="false">V204-C$3</f>
        <v>5960</v>
      </c>
      <c r="X204" s="124" t="n">
        <f aca="false">VLOOKUP($A204,Table,MATCH(X$4,Curves,0))</f>
        <v>2</v>
      </c>
      <c r="Y204" s="129" t="n">
        <f aca="false">1/(1+CHOOSE(F$3,(X205+($K$3/10000))/2,(X204+($K$3/10000))/2))^(2*W204/365.25)</f>
        <v>1.49910305739143E-010</v>
      </c>
      <c r="Z204" s="5" t="n">
        <f aca="false">IF(AND(mthbeg&lt;=A204,mthend&gt;=A204),1,0)</f>
        <v>0</v>
      </c>
      <c r="AA204" s="5" t="n">
        <f aca="false">U204*Z204</f>
        <v>0</v>
      </c>
      <c r="AC204" s="115" t="n">
        <f aca="false">IF(G197=2,F204*(S204-Q204),F204*(Q204-S204))</f>
        <v>0</v>
      </c>
      <c r="AE204" s="116" t="n">
        <f aca="false">IF($G$3=1,F204*(R204-Q204),F204*(Q204-R204))</f>
        <v>0</v>
      </c>
      <c r="AG204" s="116" t="n">
        <f aca="false">AC204+AE204</f>
        <v>0</v>
      </c>
    </row>
    <row r="205" customFormat="false" ht="12" hidden="false" customHeight="true" outlineLevel="0" collapsed="false">
      <c r="A205" s="120" t="n">
        <f aca="false">EDATE(A204,1)</f>
        <v>43221</v>
      </c>
      <c r="B205" s="121" t="e">
        <f aca="false">VLOOKUP(A205,'Inputs-Summary'!$A$32:$B$41,2,FALSE())</f>
        <v>#N/A</v>
      </c>
      <c r="C205" s="122"/>
      <c r="D205" s="123" t="e">
        <f aca="false">B205+C205</f>
        <v>#N/A</v>
      </c>
      <c r="E205" s="111" t="n">
        <f aca="false">IF(Z205=0,0,IF(AND(Z205=1,$H$3=1),D205*U205,IF($H$3=2,D205,"N/A")))</f>
        <v>0</v>
      </c>
      <c r="F205" s="111" t="n">
        <f aca="false">E205*Y205</f>
        <v>0</v>
      </c>
      <c r="G205" s="124" t="n">
        <f aca="false">VLOOKUP($A205,Table,MATCH(G$4,Curves,0))</f>
        <v>3</v>
      </c>
      <c r="H205" s="125" t="n">
        <f aca="false">G205+$H$7</f>
        <v>3</v>
      </c>
      <c r="I205" s="124" t="n">
        <f aca="false">H205</f>
        <v>3</v>
      </c>
      <c r="J205" s="124" t="n">
        <f aca="false">VLOOKUP($A205,Table,MATCH(J$4,Curves,0))</f>
        <v>4</v>
      </c>
      <c r="K205" s="125" t="n">
        <f aca="false">J205+$K$7</f>
        <v>4</v>
      </c>
      <c r="L205" s="126" t="n">
        <f aca="false">K205</f>
        <v>4</v>
      </c>
      <c r="M205" s="124" t="n">
        <f aca="false">VLOOKUP($A205,Table,MATCH(M$4,Curves,0))</f>
        <v>4</v>
      </c>
      <c r="N205" s="125" t="n">
        <f aca="false">M205+$N$7</f>
        <v>4</v>
      </c>
      <c r="O205" s="126" t="n">
        <f aca="false">0.07</f>
        <v>0.07</v>
      </c>
      <c r="P205" s="114"/>
      <c r="Q205" s="126" t="n">
        <f aca="false">M205+J205+G205</f>
        <v>11</v>
      </c>
      <c r="R205" s="126" t="n">
        <f aca="false">N205+K205+H205</f>
        <v>11</v>
      </c>
      <c r="S205" s="126" t="n">
        <f aca="false">O205+L205+I205</f>
        <v>7.07</v>
      </c>
      <c r="T205" s="127"/>
      <c r="U205" s="5" t="n">
        <f aca="false">A206-A205</f>
        <v>31</v>
      </c>
      <c r="V205" s="128" t="n">
        <f aca="false">CHOOSE(F$3,A206+24,A205)</f>
        <v>43221</v>
      </c>
      <c r="W205" s="5" t="n">
        <f aca="false">V205-C$3</f>
        <v>5990</v>
      </c>
      <c r="X205" s="124" t="n">
        <f aca="false">VLOOKUP($A205,Table,MATCH(X$4,Curves,0))</f>
        <v>2</v>
      </c>
      <c r="Y205" s="129" t="n">
        <f aca="false">1/(1+CHOOSE(F$3,(X206+($K$3/10000))/2,(X205+($K$3/10000))/2))^(2*W205/365.25)</f>
        <v>1.33776853609376E-010</v>
      </c>
      <c r="Z205" s="5" t="n">
        <f aca="false">IF(AND(mthbeg&lt;=A205,mthend&gt;=A205),1,0)</f>
        <v>0</v>
      </c>
      <c r="AA205" s="5" t="n">
        <f aca="false">U205*Z205</f>
        <v>0</v>
      </c>
      <c r="AC205" s="115" t="n">
        <f aca="false">IF(G198=2,F205*(S205-Q205),F205*(Q205-S205))</f>
        <v>0</v>
      </c>
      <c r="AE205" s="116" t="n">
        <f aca="false">IF($G$3=1,F205*(R205-Q205),F205*(Q205-R205))</f>
        <v>0</v>
      </c>
      <c r="AG205" s="116" t="n">
        <f aca="false">AC205+AE205</f>
        <v>0</v>
      </c>
    </row>
    <row r="206" customFormat="false" ht="12" hidden="false" customHeight="true" outlineLevel="0" collapsed="false">
      <c r="A206" s="120" t="n">
        <f aca="false">EDATE(A205,1)</f>
        <v>43252</v>
      </c>
      <c r="B206" s="121" t="e">
        <f aca="false">VLOOKUP(A206,'Inputs-Summary'!$A$32:$B$41,2,FALSE())</f>
        <v>#N/A</v>
      </c>
      <c r="C206" s="122"/>
      <c r="D206" s="123" t="e">
        <f aca="false">B206+C206</f>
        <v>#N/A</v>
      </c>
      <c r="E206" s="111" t="n">
        <f aca="false">IF(Z206=0,0,IF(AND(Z206=1,$H$3=1),D206*U206,IF($H$3=2,D206,"N/A")))</f>
        <v>0</v>
      </c>
      <c r="F206" s="111" t="n">
        <f aca="false">E206*Y206</f>
        <v>0</v>
      </c>
      <c r="G206" s="124" t="n">
        <f aca="false">VLOOKUP($A206,Table,MATCH(G$4,Curves,0))</f>
        <v>3</v>
      </c>
      <c r="H206" s="125" t="n">
        <f aca="false">G206+$H$7</f>
        <v>3</v>
      </c>
      <c r="I206" s="124" t="n">
        <f aca="false">H206</f>
        <v>3</v>
      </c>
      <c r="J206" s="124" t="n">
        <f aca="false">VLOOKUP($A206,Table,MATCH(J$4,Curves,0))</f>
        <v>4</v>
      </c>
      <c r="K206" s="125" t="n">
        <f aca="false">J206+$K$7</f>
        <v>4</v>
      </c>
      <c r="L206" s="126" t="n">
        <f aca="false">K206</f>
        <v>4</v>
      </c>
      <c r="M206" s="124" t="n">
        <f aca="false">VLOOKUP($A206,Table,MATCH(M$4,Curves,0))</f>
        <v>4</v>
      </c>
      <c r="N206" s="125" t="n">
        <f aca="false">M206+$N$7</f>
        <v>4</v>
      </c>
      <c r="O206" s="126" t="n">
        <f aca="false">0.07</f>
        <v>0.07</v>
      </c>
      <c r="P206" s="114"/>
      <c r="Q206" s="126" t="n">
        <f aca="false">M206+J206+G206</f>
        <v>11</v>
      </c>
      <c r="R206" s="126" t="n">
        <f aca="false">N206+K206+H206</f>
        <v>11</v>
      </c>
      <c r="S206" s="126" t="n">
        <f aca="false">O206+L206+I206</f>
        <v>7.07</v>
      </c>
      <c r="T206" s="127"/>
      <c r="U206" s="5" t="n">
        <f aca="false">A207-A206</f>
        <v>30</v>
      </c>
      <c r="V206" s="128" t="n">
        <f aca="false">CHOOSE(F$3,A207+24,A206)</f>
        <v>43252</v>
      </c>
      <c r="W206" s="5" t="n">
        <f aca="false">V206-C$3</f>
        <v>6021</v>
      </c>
      <c r="X206" s="124" t="n">
        <f aca="false">VLOOKUP($A206,Table,MATCH(X$4,Curves,0))</f>
        <v>2</v>
      </c>
      <c r="Y206" s="129" t="n">
        <f aca="false">1/(1+CHOOSE(F$3,(X207+($K$3/10000))/2,(X206+($K$3/10000))/2))^(2*W206/365.25)</f>
        <v>1.18927451974941E-010</v>
      </c>
      <c r="Z206" s="5" t="n">
        <f aca="false">IF(AND(mthbeg&lt;=A206,mthend&gt;=A206),1,0)</f>
        <v>0</v>
      </c>
      <c r="AA206" s="5" t="n">
        <f aca="false">U206*Z206</f>
        <v>0</v>
      </c>
      <c r="AC206" s="115" t="n">
        <f aca="false">IF(G199=2,F206*(S206-Q206),F206*(Q206-S206))</f>
        <v>0</v>
      </c>
      <c r="AE206" s="116" t="n">
        <f aca="false">IF($G$3=1,F206*(R206-Q206),F206*(Q206-R206))</f>
        <v>0</v>
      </c>
      <c r="AG206" s="116" t="n">
        <f aca="false">AC206+AE206</f>
        <v>0</v>
      </c>
    </row>
    <row r="207" customFormat="false" ht="12" hidden="false" customHeight="true" outlineLevel="0" collapsed="false">
      <c r="A207" s="120" t="n">
        <f aca="false">EDATE(A206,1)</f>
        <v>43282</v>
      </c>
      <c r="B207" s="121" t="e">
        <f aca="false">VLOOKUP(A207,'Inputs-Summary'!$A$32:$B$41,2,FALSE())</f>
        <v>#N/A</v>
      </c>
      <c r="C207" s="122"/>
      <c r="D207" s="123" t="e">
        <f aca="false">B207+C207</f>
        <v>#N/A</v>
      </c>
      <c r="E207" s="111" t="n">
        <f aca="false">IF(Z207=0,0,IF(AND(Z207=1,$H$3=1),D207*U207,IF($H$3=2,D207,"N/A")))</f>
        <v>0</v>
      </c>
      <c r="F207" s="111" t="n">
        <f aca="false">E207*Y207</f>
        <v>0</v>
      </c>
      <c r="G207" s="124" t="n">
        <f aca="false">VLOOKUP($A207,Table,MATCH(G$4,Curves,0))</f>
        <v>3</v>
      </c>
      <c r="H207" s="125" t="n">
        <f aca="false">G207+$H$7</f>
        <v>3</v>
      </c>
      <c r="I207" s="124" t="n">
        <f aca="false">H207</f>
        <v>3</v>
      </c>
      <c r="J207" s="124" t="n">
        <f aca="false">VLOOKUP($A207,Table,MATCH(J$4,Curves,0))</f>
        <v>4</v>
      </c>
      <c r="K207" s="125" t="n">
        <f aca="false">J207+$K$7</f>
        <v>4</v>
      </c>
      <c r="L207" s="126" t="n">
        <f aca="false">K207</f>
        <v>4</v>
      </c>
      <c r="M207" s="124" t="n">
        <f aca="false">VLOOKUP($A207,Table,MATCH(M$4,Curves,0))</f>
        <v>4</v>
      </c>
      <c r="N207" s="125" t="n">
        <f aca="false">M207+$N$7</f>
        <v>4</v>
      </c>
      <c r="O207" s="126" t="n">
        <f aca="false">0.07</f>
        <v>0.07</v>
      </c>
      <c r="P207" s="114"/>
      <c r="Q207" s="126" t="n">
        <f aca="false">M207+J207+G207</f>
        <v>11</v>
      </c>
      <c r="R207" s="126" t="n">
        <f aca="false">N207+K207+H207</f>
        <v>11</v>
      </c>
      <c r="S207" s="126" t="n">
        <f aca="false">O207+L207+I207</f>
        <v>7.07</v>
      </c>
      <c r="T207" s="127"/>
      <c r="U207" s="5" t="n">
        <f aca="false">A208-A207</f>
        <v>31</v>
      </c>
      <c r="V207" s="128" t="n">
        <f aca="false">CHOOSE(F$3,A208+24,A207)</f>
        <v>43282</v>
      </c>
      <c r="W207" s="5" t="n">
        <f aca="false">V207-C$3</f>
        <v>6051</v>
      </c>
      <c r="X207" s="124" t="n">
        <f aca="false">VLOOKUP($A207,Table,MATCH(X$4,Curves,0))</f>
        <v>2</v>
      </c>
      <c r="Y207" s="129" t="n">
        <f aca="false">1/(1+CHOOSE(F$3,(X208+($K$3/10000))/2,(X207+($K$3/10000))/2))^(2*W207/365.25)</f>
        <v>1.06128396273649E-010</v>
      </c>
      <c r="Z207" s="5" t="n">
        <f aca="false">IF(AND(mthbeg&lt;=A207,mthend&gt;=A207),1,0)</f>
        <v>0</v>
      </c>
      <c r="AA207" s="5" t="n">
        <f aca="false">U207*Z207</f>
        <v>0</v>
      </c>
      <c r="AC207" s="115" t="n">
        <f aca="false">IF(G200=2,F207*(S207-Q207),F207*(Q207-S207))</f>
        <v>0</v>
      </c>
      <c r="AE207" s="116" t="n">
        <f aca="false">IF($G$3=1,F207*(R207-Q207),F207*(Q207-R207))</f>
        <v>0</v>
      </c>
      <c r="AG207" s="116" t="n">
        <f aca="false">AC207+AE207</f>
        <v>0</v>
      </c>
    </row>
    <row r="208" customFormat="false" ht="12" hidden="false" customHeight="true" outlineLevel="0" collapsed="false">
      <c r="A208" s="120" t="n">
        <f aca="false">EDATE(A207,1)</f>
        <v>43313</v>
      </c>
      <c r="B208" s="121" t="e">
        <f aca="false">VLOOKUP(A208,'Inputs-Summary'!$A$32:$B$41,2,FALSE())</f>
        <v>#N/A</v>
      </c>
      <c r="C208" s="122"/>
      <c r="D208" s="123" t="e">
        <f aca="false">B208+C208</f>
        <v>#N/A</v>
      </c>
      <c r="E208" s="111" t="n">
        <f aca="false">IF(Z208=0,0,IF(AND(Z208=1,$H$3=1),D208*U208,IF($H$3=2,D208,"N/A")))</f>
        <v>0</v>
      </c>
      <c r="F208" s="111" t="n">
        <f aca="false">E208*Y208</f>
        <v>0</v>
      </c>
      <c r="G208" s="124" t="n">
        <f aca="false">VLOOKUP($A208,Table,MATCH(G$4,Curves,0))</f>
        <v>3</v>
      </c>
      <c r="H208" s="125" t="n">
        <f aca="false">G208+$H$7</f>
        <v>3</v>
      </c>
      <c r="I208" s="124" t="n">
        <f aca="false">H208</f>
        <v>3</v>
      </c>
      <c r="J208" s="124" t="n">
        <f aca="false">VLOOKUP($A208,Table,MATCH(J$4,Curves,0))</f>
        <v>4</v>
      </c>
      <c r="K208" s="125" t="n">
        <f aca="false">J208+$K$7</f>
        <v>4</v>
      </c>
      <c r="L208" s="126" t="n">
        <f aca="false">K208</f>
        <v>4</v>
      </c>
      <c r="M208" s="124" t="n">
        <f aca="false">VLOOKUP($A208,Table,MATCH(M$4,Curves,0))</f>
        <v>4</v>
      </c>
      <c r="N208" s="125" t="n">
        <f aca="false">M208+$N$7</f>
        <v>4</v>
      </c>
      <c r="O208" s="126" t="n">
        <f aca="false">0.07</f>
        <v>0.07</v>
      </c>
      <c r="P208" s="114"/>
      <c r="Q208" s="126" t="n">
        <f aca="false">M208+J208+G208</f>
        <v>11</v>
      </c>
      <c r="R208" s="126" t="n">
        <f aca="false">N208+K208+H208</f>
        <v>11</v>
      </c>
      <c r="S208" s="126" t="n">
        <f aca="false">O208+L208+I208</f>
        <v>7.07</v>
      </c>
      <c r="T208" s="127"/>
      <c r="U208" s="5" t="n">
        <f aca="false">A209-A208</f>
        <v>31</v>
      </c>
      <c r="V208" s="128" t="n">
        <f aca="false">CHOOSE(F$3,A209+24,A208)</f>
        <v>43313</v>
      </c>
      <c r="W208" s="5" t="n">
        <f aca="false">V208-C$3</f>
        <v>6082</v>
      </c>
      <c r="X208" s="124" t="n">
        <f aca="false">VLOOKUP($A208,Table,MATCH(X$4,Curves,0))</f>
        <v>2</v>
      </c>
      <c r="Y208" s="129" t="n">
        <f aca="false">1/(1+CHOOSE(F$3,(X209+($K$3/10000))/2,(X208+($K$3/10000))/2))^(2*W208/365.25)</f>
        <v>9.43480087210496E-011</v>
      </c>
      <c r="Z208" s="5" t="n">
        <f aca="false">IF(AND(mthbeg&lt;=A208,mthend&gt;=A208),1,0)</f>
        <v>0</v>
      </c>
      <c r="AA208" s="5" t="n">
        <f aca="false">U208*Z208</f>
        <v>0</v>
      </c>
      <c r="AC208" s="115" t="n">
        <f aca="false">IF(G201=2,F208*(S208-Q208),F208*(Q208-S208))</f>
        <v>0</v>
      </c>
      <c r="AE208" s="116" t="n">
        <f aca="false">IF($G$3=1,F208*(R208-Q208),F208*(Q208-R208))</f>
        <v>0</v>
      </c>
      <c r="AG208" s="116" t="n">
        <f aca="false">AC208+AE208</f>
        <v>0</v>
      </c>
    </row>
    <row r="209" customFormat="false" ht="12" hidden="false" customHeight="true" outlineLevel="0" collapsed="false">
      <c r="A209" s="120" t="n">
        <f aca="false">EDATE(A208,1)</f>
        <v>43344</v>
      </c>
      <c r="B209" s="121" t="e">
        <f aca="false">VLOOKUP(A209,'Inputs-Summary'!$A$32:$B$41,2,FALSE())</f>
        <v>#N/A</v>
      </c>
      <c r="C209" s="122"/>
      <c r="D209" s="123" t="e">
        <f aca="false">B209+C209</f>
        <v>#N/A</v>
      </c>
      <c r="E209" s="111" t="n">
        <f aca="false">IF(Z209=0,0,IF(AND(Z209=1,$H$3=1),D209*U209,IF($H$3=2,D209,"N/A")))</f>
        <v>0</v>
      </c>
      <c r="F209" s="111" t="n">
        <f aca="false">E209*Y209</f>
        <v>0</v>
      </c>
      <c r="G209" s="124" t="n">
        <f aca="false">VLOOKUP($A209,Table,MATCH(G$4,Curves,0))</f>
        <v>3</v>
      </c>
      <c r="H209" s="125" t="n">
        <f aca="false">G209+$H$7</f>
        <v>3</v>
      </c>
      <c r="I209" s="124" t="n">
        <f aca="false">H209</f>
        <v>3</v>
      </c>
      <c r="J209" s="124" t="n">
        <f aca="false">VLOOKUP($A209,Table,MATCH(J$4,Curves,0))</f>
        <v>4</v>
      </c>
      <c r="K209" s="125" t="n">
        <f aca="false">J209+$K$7</f>
        <v>4</v>
      </c>
      <c r="L209" s="126" t="n">
        <f aca="false">K209</f>
        <v>4</v>
      </c>
      <c r="M209" s="124" t="n">
        <f aca="false">VLOOKUP($A209,Table,MATCH(M$4,Curves,0))</f>
        <v>4</v>
      </c>
      <c r="N209" s="125" t="n">
        <f aca="false">M209+$N$7</f>
        <v>4</v>
      </c>
      <c r="O209" s="126" t="n">
        <f aca="false">0.07</f>
        <v>0.07</v>
      </c>
      <c r="P209" s="114"/>
      <c r="Q209" s="126" t="n">
        <f aca="false">M209+J209+G209</f>
        <v>11</v>
      </c>
      <c r="R209" s="126" t="n">
        <f aca="false">N209+K209+H209</f>
        <v>11</v>
      </c>
      <c r="S209" s="126" t="n">
        <f aca="false">O209+L209+I209</f>
        <v>7.07</v>
      </c>
      <c r="T209" s="127"/>
      <c r="U209" s="5" t="n">
        <f aca="false">A210-A209</f>
        <v>30</v>
      </c>
      <c r="V209" s="128" t="n">
        <f aca="false">CHOOSE(F$3,A210+24,A209)</f>
        <v>43344</v>
      </c>
      <c r="W209" s="5" t="n">
        <f aca="false">V209-C$3</f>
        <v>6113</v>
      </c>
      <c r="X209" s="124" t="n">
        <f aca="false">VLOOKUP($A209,Table,MATCH(X$4,Curves,0))</f>
        <v>2</v>
      </c>
      <c r="Y209" s="129" t="n">
        <f aca="false">1/(1+CHOOSE(F$3,(X210+($K$3/10000))/2,(X209+($K$3/10000))/2))^(2*W209/365.25)</f>
        <v>8.38752592348125E-011</v>
      </c>
      <c r="Z209" s="5" t="n">
        <f aca="false">IF(AND(mthbeg&lt;=A209,mthend&gt;=A209),1,0)</f>
        <v>0</v>
      </c>
      <c r="AA209" s="5" t="n">
        <f aca="false">U209*Z209</f>
        <v>0</v>
      </c>
      <c r="AC209" s="115" t="n">
        <f aca="false">IF(G202=2,F209*(S209-Q209),F209*(Q209-S209))</f>
        <v>0</v>
      </c>
      <c r="AE209" s="116" t="n">
        <f aca="false">IF($G$3=1,F209*(R209-Q209),F209*(Q209-R209))</f>
        <v>0</v>
      </c>
      <c r="AG209" s="116" t="n">
        <f aca="false">AC209+AE209</f>
        <v>0</v>
      </c>
    </row>
    <row r="210" customFormat="false" ht="12" hidden="false" customHeight="true" outlineLevel="0" collapsed="false">
      <c r="A210" s="120" t="n">
        <f aca="false">EDATE(A209,1)</f>
        <v>43374</v>
      </c>
      <c r="B210" s="121" t="e">
        <f aca="false">VLOOKUP(A210,'Inputs-Summary'!$A$32:$B$41,2,FALSE())</f>
        <v>#N/A</v>
      </c>
      <c r="C210" s="122"/>
      <c r="D210" s="123" t="e">
        <f aca="false">B210+C210</f>
        <v>#N/A</v>
      </c>
      <c r="E210" s="111" t="n">
        <f aca="false">IF(Z210=0,0,IF(AND(Z210=1,$H$3=1),D210*U210,IF($H$3=2,D210,"N/A")))</f>
        <v>0</v>
      </c>
      <c r="F210" s="111" t="n">
        <f aca="false">E210*Y210</f>
        <v>0</v>
      </c>
      <c r="G210" s="124" t="n">
        <f aca="false">VLOOKUP($A210,Table,MATCH(G$4,Curves,0))</f>
        <v>3</v>
      </c>
      <c r="H210" s="125" t="n">
        <f aca="false">G210+$H$7</f>
        <v>3</v>
      </c>
      <c r="I210" s="124" t="n">
        <f aca="false">H210</f>
        <v>3</v>
      </c>
      <c r="J210" s="124" t="n">
        <f aca="false">VLOOKUP($A210,Table,MATCH(J$4,Curves,0))</f>
        <v>4</v>
      </c>
      <c r="K210" s="125" t="n">
        <f aca="false">J210+$K$7</f>
        <v>4</v>
      </c>
      <c r="L210" s="126" t="n">
        <f aca="false">K210</f>
        <v>4</v>
      </c>
      <c r="M210" s="124" t="n">
        <f aca="false">VLOOKUP($A210,Table,MATCH(M$4,Curves,0))</f>
        <v>4</v>
      </c>
      <c r="N210" s="125" t="n">
        <f aca="false">M210+$N$7</f>
        <v>4</v>
      </c>
      <c r="O210" s="126" t="n">
        <f aca="false">0.07</f>
        <v>0.07</v>
      </c>
      <c r="P210" s="114"/>
      <c r="Q210" s="126" t="n">
        <f aca="false">M210+J210+G210</f>
        <v>11</v>
      </c>
      <c r="R210" s="126" t="n">
        <f aca="false">N210+K210+H210</f>
        <v>11</v>
      </c>
      <c r="S210" s="126" t="n">
        <f aca="false">O210+L210+I210</f>
        <v>7.07</v>
      </c>
      <c r="T210" s="127"/>
      <c r="U210" s="5" t="n">
        <f aca="false">A211-A210</f>
        <v>31</v>
      </c>
      <c r="V210" s="128" t="n">
        <f aca="false">CHOOSE(F$3,A211+24,A210)</f>
        <v>43374</v>
      </c>
      <c r="W210" s="5" t="n">
        <f aca="false">V210-C$3</f>
        <v>6143</v>
      </c>
      <c r="X210" s="124" t="n">
        <f aca="false">VLOOKUP($A210,Table,MATCH(X$4,Curves,0))</f>
        <v>2</v>
      </c>
      <c r="Y210" s="129" t="n">
        <f aca="false">1/(1+CHOOSE(F$3,(X211+($K$3/10000))/2,(X210+($K$3/10000))/2))^(2*W210/365.25)</f>
        <v>7.48485450735368E-011</v>
      </c>
      <c r="Z210" s="5" t="n">
        <f aca="false">IF(AND(mthbeg&lt;=A210,mthend&gt;=A210),1,0)</f>
        <v>0</v>
      </c>
      <c r="AA210" s="5" t="n">
        <f aca="false">U210*Z210</f>
        <v>0</v>
      </c>
      <c r="AC210" s="115" t="n">
        <f aca="false">IF(G203=2,F210*(S210-Q210),F210*(Q210-S210))</f>
        <v>0</v>
      </c>
      <c r="AE210" s="116" t="n">
        <f aca="false">IF($G$3=1,F210*(R210-Q210),F210*(Q210-R210))</f>
        <v>0</v>
      </c>
      <c r="AG210" s="116" t="n">
        <f aca="false">AC210+AE210</f>
        <v>0</v>
      </c>
    </row>
    <row r="211" customFormat="false" ht="12" hidden="false" customHeight="true" outlineLevel="0" collapsed="false">
      <c r="A211" s="120" t="n">
        <f aca="false">EDATE(A210,1)</f>
        <v>43405</v>
      </c>
      <c r="B211" s="121" t="e">
        <f aca="false">VLOOKUP(A211,'Inputs-Summary'!$A$32:$B$41,2,FALSE())</f>
        <v>#N/A</v>
      </c>
      <c r="C211" s="122"/>
      <c r="D211" s="123" t="e">
        <f aca="false">B211+C211</f>
        <v>#N/A</v>
      </c>
      <c r="E211" s="111" t="n">
        <f aca="false">IF(Z211=0,0,IF(AND(Z211=1,$H$3=1),D211*U211,IF($H$3=2,D211,"N/A")))</f>
        <v>0</v>
      </c>
      <c r="F211" s="111" t="n">
        <f aca="false">E211*Y211</f>
        <v>0</v>
      </c>
      <c r="G211" s="124" t="n">
        <f aca="false">VLOOKUP($A211,Table,MATCH(G$4,Curves,0))</f>
        <v>3</v>
      </c>
      <c r="H211" s="125" t="n">
        <f aca="false">G211+$H$7</f>
        <v>3</v>
      </c>
      <c r="I211" s="124" t="n">
        <f aca="false">H211</f>
        <v>3</v>
      </c>
      <c r="J211" s="124" t="n">
        <f aca="false">VLOOKUP($A211,Table,MATCH(J$4,Curves,0))</f>
        <v>4</v>
      </c>
      <c r="K211" s="125" t="n">
        <f aca="false">J211+$K$7</f>
        <v>4</v>
      </c>
      <c r="L211" s="126" t="n">
        <f aca="false">K211</f>
        <v>4</v>
      </c>
      <c r="M211" s="124" t="n">
        <f aca="false">VLOOKUP($A211,Table,MATCH(M$4,Curves,0))</f>
        <v>4</v>
      </c>
      <c r="N211" s="125" t="n">
        <f aca="false">M211+$N$7</f>
        <v>4</v>
      </c>
      <c r="O211" s="126" t="n">
        <f aca="false">0.07</f>
        <v>0.07</v>
      </c>
      <c r="P211" s="114"/>
      <c r="Q211" s="126" t="n">
        <f aca="false">M211+J211+G211</f>
        <v>11</v>
      </c>
      <c r="R211" s="126" t="n">
        <f aca="false">N211+K211+H211</f>
        <v>11</v>
      </c>
      <c r="S211" s="126" t="n">
        <f aca="false">O211+L211+I211</f>
        <v>7.07</v>
      </c>
      <c r="T211" s="127"/>
      <c r="U211" s="5" t="n">
        <f aca="false">A212-A211</f>
        <v>30</v>
      </c>
      <c r="V211" s="128" t="n">
        <f aca="false">CHOOSE(F$3,A212+24,A211)</f>
        <v>43405</v>
      </c>
      <c r="W211" s="5" t="n">
        <f aca="false">V211-C$3</f>
        <v>6174</v>
      </c>
      <c r="X211" s="124" t="n">
        <f aca="false">VLOOKUP($A211,Table,MATCH(X$4,Curves,0))</f>
        <v>2</v>
      </c>
      <c r="Y211" s="129" t="n">
        <f aca="false">1/(1+CHOOSE(F$3,(X212+($K$3/10000))/2,(X211+($K$3/10000))/2))^(2*W211/365.25)</f>
        <v>6.65402609603863E-011</v>
      </c>
      <c r="Z211" s="5" t="n">
        <f aca="false">IF(AND(mthbeg&lt;=A211,mthend&gt;=A211),1,0)</f>
        <v>0</v>
      </c>
      <c r="AA211" s="5" t="n">
        <f aca="false">U211*Z211</f>
        <v>0</v>
      </c>
      <c r="AC211" s="115" t="n">
        <f aca="false">IF(G204=2,F211*(S211-Q211),F211*(Q211-S211))</f>
        <v>0</v>
      </c>
      <c r="AE211" s="116" t="n">
        <f aca="false">IF($G$3=1,F211*(R211-Q211),F211*(Q211-R211))</f>
        <v>0</v>
      </c>
      <c r="AG211" s="116" t="n">
        <f aca="false">AC211+AE211</f>
        <v>0</v>
      </c>
    </row>
    <row r="212" customFormat="false" ht="12" hidden="false" customHeight="true" outlineLevel="0" collapsed="false">
      <c r="A212" s="120" t="n">
        <f aca="false">EDATE(A211,1)</f>
        <v>43435</v>
      </c>
      <c r="B212" s="121" t="e">
        <f aca="false">VLOOKUP(A212,'Inputs-Summary'!$A$32:$B$41,2,FALSE())</f>
        <v>#N/A</v>
      </c>
      <c r="C212" s="122"/>
      <c r="D212" s="123" t="e">
        <f aca="false">B212+C212</f>
        <v>#N/A</v>
      </c>
      <c r="E212" s="111" t="n">
        <f aca="false">IF(Z212=0,0,IF(AND(Z212=1,$H$3=1),D212*U212,IF($H$3=2,D212,"N/A")))</f>
        <v>0</v>
      </c>
      <c r="F212" s="111" t="n">
        <f aca="false">E212*Y212</f>
        <v>0</v>
      </c>
      <c r="G212" s="124" t="n">
        <f aca="false">VLOOKUP($A212,Table,MATCH(G$4,Curves,0))</f>
        <v>3</v>
      </c>
      <c r="H212" s="125" t="n">
        <f aca="false">G212+$H$7</f>
        <v>3</v>
      </c>
      <c r="I212" s="124" t="n">
        <f aca="false">H212</f>
        <v>3</v>
      </c>
      <c r="J212" s="124" t="n">
        <f aca="false">VLOOKUP($A212,Table,MATCH(J$4,Curves,0))</f>
        <v>4</v>
      </c>
      <c r="K212" s="125" t="n">
        <f aca="false">J212+$K$7</f>
        <v>4</v>
      </c>
      <c r="L212" s="126" t="n">
        <f aca="false">K212</f>
        <v>4</v>
      </c>
      <c r="M212" s="124" t="n">
        <f aca="false">VLOOKUP($A212,Table,MATCH(M$4,Curves,0))</f>
        <v>4</v>
      </c>
      <c r="N212" s="125" t="n">
        <f aca="false">M212+$N$7</f>
        <v>4</v>
      </c>
      <c r="O212" s="126" t="n">
        <f aca="false">0.07</f>
        <v>0.07</v>
      </c>
      <c r="P212" s="114"/>
      <c r="Q212" s="126" t="n">
        <f aca="false">M212+J212+G212</f>
        <v>11</v>
      </c>
      <c r="R212" s="126" t="n">
        <f aca="false">N212+K212+H212</f>
        <v>11</v>
      </c>
      <c r="S212" s="126" t="n">
        <f aca="false">O212+L212+I212</f>
        <v>7.07</v>
      </c>
      <c r="T212" s="127"/>
      <c r="U212" s="5" t="n">
        <f aca="false">A213-A212</f>
        <v>31</v>
      </c>
      <c r="V212" s="128" t="n">
        <f aca="false">CHOOSE(F$3,A213+24,A212)</f>
        <v>43435</v>
      </c>
      <c r="W212" s="5" t="n">
        <f aca="false">V212-C$3</f>
        <v>6204</v>
      </c>
      <c r="X212" s="124" t="n">
        <f aca="false">VLOOKUP($A212,Table,MATCH(X$4,Curves,0))</f>
        <v>2</v>
      </c>
      <c r="Y212" s="129" t="n">
        <f aca="false">1/(1+CHOOSE(F$3,(X213+($K$3/10000))/2,(X212+($K$3/10000))/2))^(2*W212/365.25)</f>
        <v>5.93791514581843E-011</v>
      </c>
      <c r="Z212" s="5" t="n">
        <f aca="false">IF(AND(mthbeg&lt;=A212,mthend&gt;=A212),1,0)</f>
        <v>0</v>
      </c>
      <c r="AA212" s="5" t="n">
        <f aca="false">U212*Z212</f>
        <v>0</v>
      </c>
      <c r="AC212" s="115" t="n">
        <f aca="false">IF(G205=2,F212*(S212-Q212),F212*(Q212-S212))</f>
        <v>0</v>
      </c>
      <c r="AE212" s="116" t="n">
        <f aca="false">IF($G$3=1,F212*(R212-Q212),F212*(Q212-R212))</f>
        <v>0</v>
      </c>
      <c r="AG212" s="116" t="n">
        <f aca="false">AC212+AE212</f>
        <v>0</v>
      </c>
    </row>
    <row r="213" customFormat="false" ht="12" hidden="false" customHeight="true" outlineLevel="0" collapsed="false">
      <c r="A213" s="120" t="n">
        <f aca="false">EDATE(A212,1)</f>
        <v>43466</v>
      </c>
      <c r="B213" s="121" t="e">
        <f aca="false">VLOOKUP(A213,'Inputs-Summary'!$A$32:$B$41,2,FALSE())</f>
        <v>#N/A</v>
      </c>
      <c r="C213" s="122"/>
      <c r="D213" s="123" t="e">
        <f aca="false">B213+C213</f>
        <v>#N/A</v>
      </c>
      <c r="E213" s="111" t="n">
        <f aca="false">IF(Z213=0,0,IF(AND(Z213=1,$H$3=1),D213*U213,IF($H$3=2,D213,"N/A")))</f>
        <v>0</v>
      </c>
      <c r="F213" s="111" t="n">
        <f aca="false">E213*Y213</f>
        <v>0</v>
      </c>
      <c r="G213" s="124" t="n">
        <f aca="false">VLOOKUP($A213,Table,MATCH(G$4,Curves,0))</f>
        <v>3</v>
      </c>
      <c r="H213" s="125" t="n">
        <f aca="false">G213+$H$7</f>
        <v>3</v>
      </c>
      <c r="I213" s="124" t="n">
        <f aca="false">H213</f>
        <v>3</v>
      </c>
      <c r="J213" s="124" t="n">
        <f aca="false">VLOOKUP($A213,Table,MATCH(J$4,Curves,0))</f>
        <v>4</v>
      </c>
      <c r="K213" s="125" t="n">
        <f aca="false">J213+$K$7</f>
        <v>4</v>
      </c>
      <c r="L213" s="126" t="n">
        <f aca="false">K213</f>
        <v>4</v>
      </c>
      <c r="M213" s="124" t="n">
        <f aca="false">VLOOKUP($A213,Table,MATCH(M$4,Curves,0))</f>
        <v>4</v>
      </c>
      <c r="N213" s="125" t="n">
        <f aca="false">M213+$N$7</f>
        <v>4</v>
      </c>
      <c r="O213" s="126" t="n">
        <f aca="false">0.07</f>
        <v>0.07</v>
      </c>
      <c r="P213" s="114"/>
      <c r="Q213" s="126" t="n">
        <f aca="false">M213+J213+G213</f>
        <v>11</v>
      </c>
      <c r="R213" s="126" t="n">
        <f aca="false">N213+K213+H213</f>
        <v>11</v>
      </c>
      <c r="S213" s="126" t="n">
        <f aca="false">O213+L213+I213</f>
        <v>7.07</v>
      </c>
      <c r="T213" s="127"/>
      <c r="U213" s="5" t="n">
        <f aca="false">A214-A213</f>
        <v>31</v>
      </c>
      <c r="V213" s="128" t="n">
        <f aca="false">CHOOSE(F$3,A214+24,A213)</f>
        <v>43466</v>
      </c>
      <c r="W213" s="5" t="n">
        <f aca="false">V213-C$3</f>
        <v>6235</v>
      </c>
      <c r="X213" s="124" t="n">
        <f aca="false">VLOOKUP($A213,Table,MATCH(X$4,Curves,0))</f>
        <v>2</v>
      </c>
      <c r="Y213" s="129" t="n">
        <f aca="false">1/(1+CHOOSE(F$3,(X214+($K$3/10000))/2,(X213+($K$3/10000))/2))^(2*W213/365.25)</f>
        <v>5.27879897966224E-011</v>
      </c>
      <c r="Z213" s="5" t="n">
        <f aca="false">IF(AND(mthbeg&lt;=A213,mthend&gt;=A213),1,0)</f>
        <v>0</v>
      </c>
      <c r="AA213" s="5" t="n">
        <f aca="false">U213*Z213</f>
        <v>0</v>
      </c>
      <c r="AC213" s="115" t="n">
        <f aca="false">IF(G206=2,F213*(S213-Q213),F213*(Q213-S213))</f>
        <v>0</v>
      </c>
      <c r="AE213" s="116" t="n">
        <f aca="false">IF($G$3=1,F213*(R213-Q213),F213*(Q213-R213))</f>
        <v>0</v>
      </c>
      <c r="AG213" s="116" t="n">
        <f aca="false">AC213+AE213</f>
        <v>0</v>
      </c>
    </row>
    <row r="214" customFormat="false" ht="12" hidden="false" customHeight="true" outlineLevel="0" collapsed="false">
      <c r="A214" s="120" t="n">
        <f aca="false">EDATE(A213,1)</f>
        <v>43497</v>
      </c>
      <c r="B214" s="121" t="e">
        <f aca="false">VLOOKUP(A214,'Inputs-Summary'!$A$32:$B$41,2,FALSE())</f>
        <v>#N/A</v>
      </c>
      <c r="C214" s="122"/>
      <c r="D214" s="123" t="e">
        <f aca="false">B214+C214</f>
        <v>#N/A</v>
      </c>
      <c r="E214" s="111" t="n">
        <f aca="false">IF(Z214=0,0,IF(AND(Z214=1,$H$3=1),D214*U214,IF($H$3=2,D214,"N/A")))</f>
        <v>0</v>
      </c>
      <c r="F214" s="111" t="n">
        <f aca="false">E214*Y214</f>
        <v>0</v>
      </c>
      <c r="G214" s="124" t="n">
        <f aca="false">VLOOKUP($A214,Table,MATCH(G$4,Curves,0))</f>
        <v>3</v>
      </c>
      <c r="H214" s="125" t="n">
        <f aca="false">G214+$H$7</f>
        <v>3</v>
      </c>
      <c r="I214" s="124" t="n">
        <f aca="false">H214</f>
        <v>3</v>
      </c>
      <c r="J214" s="124" t="n">
        <f aca="false">VLOOKUP($A214,Table,MATCH(J$4,Curves,0))</f>
        <v>4</v>
      </c>
      <c r="K214" s="125" t="n">
        <f aca="false">J214+$K$7</f>
        <v>4</v>
      </c>
      <c r="L214" s="126" t="n">
        <f aca="false">K214</f>
        <v>4</v>
      </c>
      <c r="M214" s="124" t="n">
        <f aca="false">VLOOKUP($A214,Table,MATCH(M$4,Curves,0))</f>
        <v>4</v>
      </c>
      <c r="N214" s="125" t="n">
        <f aca="false">M214+$N$7</f>
        <v>4</v>
      </c>
      <c r="O214" s="126" t="n">
        <f aca="false">0.07</f>
        <v>0.07</v>
      </c>
      <c r="P214" s="114"/>
      <c r="Q214" s="126" t="n">
        <f aca="false">M214+J214+G214</f>
        <v>11</v>
      </c>
      <c r="R214" s="126" t="n">
        <f aca="false">N214+K214+H214</f>
        <v>11</v>
      </c>
      <c r="S214" s="126" t="n">
        <f aca="false">O214+L214+I214</f>
        <v>7.07</v>
      </c>
      <c r="T214" s="127"/>
      <c r="U214" s="5" t="n">
        <f aca="false">A215-A214</f>
        <v>28</v>
      </c>
      <c r="V214" s="128" t="n">
        <f aca="false">CHOOSE(F$3,A215+24,A214)</f>
        <v>43497</v>
      </c>
      <c r="W214" s="5" t="n">
        <f aca="false">V214-C$3</f>
        <v>6266</v>
      </c>
      <c r="X214" s="124" t="n">
        <f aca="false">VLOOKUP($A214,Table,MATCH(X$4,Curves,0))</f>
        <v>2</v>
      </c>
      <c r="Y214" s="129" t="n">
        <f aca="false">1/(1+CHOOSE(F$3,(X215+($K$3/10000))/2,(X214+($K$3/10000))/2))^(2*W214/365.25)</f>
        <v>4.69284554989077E-011</v>
      </c>
      <c r="Z214" s="5" t="n">
        <f aca="false">IF(AND(mthbeg&lt;=A214,mthend&gt;=A214),1,0)</f>
        <v>0</v>
      </c>
      <c r="AA214" s="5" t="n">
        <f aca="false">U214*Z214</f>
        <v>0</v>
      </c>
      <c r="AC214" s="115" t="n">
        <f aca="false">IF(G207=2,F214*(S214-Q214),F214*(Q214-S214))</f>
        <v>0</v>
      </c>
      <c r="AE214" s="116" t="n">
        <f aca="false">IF($G$3=1,F214*(R214-Q214),F214*(Q214-R214))</f>
        <v>0</v>
      </c>
      <c r="AG214" s="116" t="n">
        <f aca="false">AC214+AE214</f>
        <v>0</v>
      </c>
    </row>
    <row r="215" customFormat="false" ht="12" hidden="false" customHeight="true" outlineLevel="0" collapsed="false">
      <c r="A215" s="120" t="n">
        <f aca="false">EDATE(A214,1)</f>
        <v>43525</v>
      </c>
      <c r="B215" s="121" t="e">
        <f aca="false">VLOOKUP(A215,'Inputs-Summary'!$A$32:$B$41,2,FALSE())</f>
        <v>#N/A</v>
      </c>
      <c r="C215" s="122"/>
      <c r="D215" s="123" t="e">
        <f aca="false">B215+C215</f>
        <v>#N/A</v>
      </c>
      <c r="E215" s="111" t="n">
        <f aca="false">IF(Z215=0,0,IF(AND(Z215=1,$H$3=1),D215*U215,IF($H$3=2,D215,"N/A")))</f>
        <v>0</v>
      </c>
      <c r="F215" s="111" t="n">
        <f aca="false">E215*Y215</f>
        <v>0</v>
      </c>
      <c r="G215" s="124" t="n">
        <f aca="false">VLOOKUP($A215,Table,MATCH(G$4,Curves,0))</f>
        <v>3</v>
      </c>
      <c r="H215" s="125" t="n">
        <f aca="false">G215+$H$7</f>
        <v>3</v>
      </c>
      <c r="I215" s="124" t="n">
        <f aca="false">H215</f>
        <v>3</v>
      </c>
      <c r="J215" s="124" t="n">
        <f aca="false">VLOOKUP($A215,Table,MATCH(J$4,Curves,0))</f>
        <v>4</v>
      </c>
      <c r="K215" s="125" t="n">
        <f aca="false">J215+$K$7</f>
        <v>4</v>
      </c>
      <c r="L215" s="126" t="n">
        <f aca="false">K215</f>
        <v>4</v>
      </c>
      <c r="M215" s="124" t="n">
        <f aca="false">VLOOKUP($A215,Table,MATCH(M$4,Curves,0))</f>
        <v>4</v>
      </c>
      <c r="N215" s="125" t="n">
        <f aca="false">M215+$N$7</f>
        <v>4</v>
      </c>
      <c r="O215" s="126" t="n">
        <f aca="false">0.07</f>
        <v>0.07</v>
      </c>
      <c r="P215" s="114"/>
      <c r="Q215" s="126" t="n">
        <f aca="false">M215+J215+G215</f>
        <v>11</v>
      </c>
      <c r="R215" s="126" t="n">
        <f aca="false">N215+K215+H215</f>
        <v>11</v>
      </c>
      <c r="S215" s="126" t="n">
        <f aca="false">O215+L215+I215</f>
        <v>7.07</v>
      </c>
      <c r="T215" s="127"/>
      <c r="U215" s="5" t="n">
        <f aca="false">A216-A215</f>
        <v>31</v>
      </c>
      <c r="V215" s="128" t="n">
        <f aca="false">CHOOSE(F$3,A216+24,A215)</f>
        <v>43525</v>
      </c>
      <c r="W215" s="5" t="n">
        <f aca="false">V215-C$3</f>
        <v>6294</v>
      </c>
      <c r="X215" s="124" t="n">
        <f aca="false">VLOOKUP($A215,Table,MATCH(X$4,Curves,0))</f>
        <v>2</v>
      </c>
      <c r="Y215" s="129" t="n">
        <f aca="false">1/(1+CHOOSE(F$3,(X216+($K$3/10000))/2,(X215+($K$3/10000))/2))^(2*W215/365.25)</f>
        <v>4.2197084859845E-011</v>
      </c>
      <c r="Z215" s="5" t="n">
        <f aca="false">IF(AND(mthbeg&lt;=A215,mthend&gt;=A215),1,0)</f>
        <v>0</v>
      </c>
      <c r="AA215" s="5" t="n">
        <f aca="false">U215*Z215</f>
        <v>0</v>
      </c>
      <c r="AC215" s="115" t="n">
        <f aca="false">IF(G208=2,F215*(S215-Q215),F215*(Q215-S215))</f>
        <v>0</v>
      </c>
      <c r="AE215" s="116" t="n">
        <f aca="false">IF($G$3=1,F215*(R215-Q215),F215*(Q215-R215))</f>
        <v>0</v>
      </c>
      <c r="AG215" s="116" t="n">
        <f aca="false">AC215+AE215</f>
        <v>0</v>
      </c>
    </row>
    <row r="216" customFormat="false" ht="12" hidden="false" customHeight="true" outlineLevel="0" collapsed="false">
      <c r="A216" s="120" t="n">
        <f aca="false">EDATE(A215,1)</f>
        <v>43556</v>
      </c>
      <c r="B216" s="121" t="e">
        <f aca="false">VLOOKUP(A216,'Inputs-Summary'!$A$32:$B$41,2,FALSE())</f>
        <v>#N/A</v>
      </c>
      <c r="C216" s="122"/>
      <c r="D216" s="123" t="e">
        <f aca="false">B216+C216</f>
        <v>#N/A</v>
      </c>
      <c r="E216" s="111" t="n">
        <f aca="false">IF(Z216=0,0,IF(AND(Z216=1,$H$3=1),D216*U216,IF($H$3=2,D216,"N/A")))</f>
        <v>0</v>
      </c>
      <c r="F216" s="111" t="n">
        <f aca="false">E216*Y216</f>
        <v>0</v>
      </c>
      <c r="G216" s="124" t="n">
        <f aca="false">VLOOKUP($A216,Table,MATCH(G$4,Curves,0))</f>
        <v>3</v>
      </c>
      <c r="H216" s="125" t="n">
        <f aca="false">G216+$H$7</f>
        <v>3</v>
      </c>
      <c r="I216" s="124" t="n">
        <f aca="false">H216</f>
        <v>3</v>
      </c>
      <c r="J216" s="124" t="n">
        <f aca="false">VLOOKUP($A216,Table,MATCH(J$4,Curves,0))</f>
        <v>4</v>
      </c>
      <c r="K216" s="125" t="n">
        <f aca="false">J216+$K$7</f>
        <v>4</v>
      </c>
      <c r="L216" s="126" t="n">
        <f aca="false">K216</f>
        <v>4</v>
      </c>
      <c r="M216" s="124" t="n">
        <f aca="false">VLOOKUP($A216,Table,MATCH(M$4,Curves,0))</f>
        <v>4</v>
      </c>
      <c r="N216" s="125" t="n">
        <f aca="false">M216+$N$7</f>
        <v>4</v>
      </c>
      <c r="O216" s="126" t="n">
        <f aca="false">0.07</f>
        <v>0.07</v>
      </c>
      <c r="P216" s="114"/>
      <c r="Q216" s="126" t="n">
        <f aca="false">M216+J216+G216</f>
        <v>11</v>
      </c>
      <c r="R216" s="126" t="n">
        <f aca="false">N216+K216+H216</f>
        <v>11</v>
      </c>
      <c r="S216" s="126" t="n">
        <f aca="false">O216+L216+I216</f>
        <v>7.07</v>
      </c>
      <c r="T216" s="127"/>
      <c r="U216" s="5" t="n">
        <f aca="false">A217-A216</f>
        <v>30</v>
      </c>
      <c r="V216" s="128" t="n">
        <f aca="false">CHOOSE(F$3,A217+24,A216)</f>
        <v>43556</v>
      </c>
      <c r="W216" s="5" t="n">
        <f aca="false">V216-C$3</f>
        <v>6325</v>
      </c>
      <c r="X216" s="124" t="n">
        <f aca="false">VLOOKUP($A216,Table,MATCH(X$4,Curves,0))</f>
        <v>2</v>
      </c>
      <c r="Y216" s="129" t="n">
        <f aca="false">1/(1+CHOOSE(F$3,(X217+($K$3/10000))/2,(X216+($K$3/10000))/2))^(2*W216/365.25)</f>
        <v>3.75131545387162E-011</v>
      </c>
      <c r="Z216" s="5" t="n">
        <f aca="false">IF(AND(mthbeg&lt;=A216,mthend&gt;=A216),1,0)</f>
        <v>0</v>
      </c>
      <c r="AA216" s="5" t="n">
        <f aca="false">U216*Z216</f>
        <v>0</v>
      </c>
      <c r="AC216" s="115" t="n">
        <f aca="false">IF(G209=2,F216*(S216-Q216),F216*(Q216-S216))</f>
        <v>0</v>
      </c>
      <c r="AE216" s="116" t="n">
        <f aca="false">IF($G$3=1,F216*(R216-Q216),F216*(Q216-R216))</f>
        <v>0</v>
      </c>
      <c r="AG216" s="116" t="n">
        <f aca="false">AC216+AE216</f>
        <v>0</v>
      </c>
    </row>
    <row r="217" customFormat="false" ht="12" hidden="false" customHeight="true" outlineLevel="0" collapsed="false">
      <c r="A217" s="120" t="n">
        <f aca="false">EDATE(A216,1)</f>
        <v>43586</v>
      </c>
      <c r="B217" s="121" t="e">
        <f aca="false">VLOOKUP(A217,'Inputs-Summary'!$A$32:$B$41,2,FALSE())</f>
        <v>#N/A</v>
      </c>
      <c r="C217" s="122"/>
      <c r="D217" s="123" t="e">
        <f aca="false">B217+C217</f>
        <v>#N/A</v>
      </c>
      <c r="E217" s="111" t="n">
        <f aca="false">IF(Z217=0,0,IF(AND(Z217=1,$H$3=1),D217*U217,IF($H$3=2,D217,"N/A")))</f>
        <v>0</v>
      </c>
      <c r="F217" s="111" t="n">
        <f aca="false">E217*Y217</f>
        <v>0</v>
      </c>
      <c r="G217" s="124" t="n">
        <f aca="false">VLOOKUP($A217,Table,MATCH(G$4,Curves,0))</f>
        <v>3</v>
      </c>
      <c r="H217" s="125" t="n">
        <f aca="false">G217+$H$7</f>
        <v>3</v>
      </c>
      <c r="I217" s="124" t="n">
        <f aca="false">H217</f>
        <v>3</v>
      </c>
      <c r="J217" s="124" t="n">
        <f aca="false">VLOOKUP($A217,Table,MATCH(J$4,Curves,0))</f>
        <v>4</v>
      </c>
      <c r="K217" s="125" t="n">
        <f aca="false">J217+$K$7</f>
        <v>4</v>
      </c>
      <c r="L217" s="126" t="n">
        <f aca="false">K217</f>
        <v>4</v>
      </c>
      <c r="M217" s="124" t="n">
        <f aca="false">VLOOKUP($A217,Table,MATCH(M$4,Curves,0))</f>
        <v>4</v>
      </c>
      <c r="N217" s="125" t="n">
        <f aca="false">M217+$N$7</f>
        <v>4</v>
      </c>
      <c r="O217" s="126" t="n">
        <f aca="false">0.07</f>
        <v>0.07</v>
      </c>
      <c r="P217" s="114"/>
      <c r="Q217" s="126" t="n">
        <f aca="false">M217+J217+G217</f>
        <v>11</v>
      </c>
      <c r="R217" s="126" t="n">
        <f aca="false">N217+K217+H217</f>
        <v>11</v>
      </c>
      <c r="S217" s="126" t="n">
        <f aca="false">O217+L217+I217</f>
        <v>7.07</v>
      </c>
      <c r="T217" s="127"/>
      <c r="U217" s="5" t="n">
        <f aca="false">A218-A217</f>
        <v>31</v>
      </c>
      <c r="V217" s="128" t="n">
        <f aca="false">CHOOSE(F$3,A218+24,A217)</f>
        <v>43586</v>
      </c>
      <c r="W217" s="5" t="n">
        <f aca="false">V217-C$3</f>
        <v>6355</v>
      </c>
      <c r="X217" s="124" t="n">
        <f aca="false">VLOOKUP($A217,Table,MATCH(X$4,Curves,0))</f>
        <v>2</v>
      </c>
      <c r="Y217" s="129" t="n">
        <f aca="false">1/(1+CHOOSE(F$3,(X218+($K$3/10000))/2,(X217+($K$3/10000))/2))^(2*W217/365.25)</f>
        <v>3.34759625658036E-011</v>
      </c>
      <c r="Z217" s="5" t="n">
        <f aca="false">IF(AND(mthbeg&lt;=A217,mthend&gt;=A217),1,0)</f>
        <v>0</v>
      </c>
      <c r="AA217" s="5" t="n">
        <f aca="false">U217*Z217</f>
        <v>0</v>
      </c>
      <c r="AC217" s="115" t="n">
        <f aca="false">IF(G210=2,F217*(S217-Q217),F217*(Q217-S217))</f>
        <v>0</v>
      </c>
      <c r="AE217" s="116" t="n">
        <f aca="false">IF($G$3=1,F217*(R217-Q217),F217*(Q217-R217))</f>
        <v>0</v>
      </c>
      <c r="AG217" s="116" t="n">
        <f aca="false">AC217+AE217</f>
        <v>0</v>
      </c>
    </row>
    <row r="218" customFormat="false" ht="12" hidden="false" customHeight="true" outlineLevel="0" collapsed="false">
      <c r="A218" s="120" t="n">
        <f aca="false">EDATE(A217,1)</f>
        <v>43617</v>
      </c>
      <c r="B218" s="121" t="e">
        <f aca="false">VLOOKUP(A218,'Inputs-Summary'!$A$32:$B$41,2,FALSE())</f>
        <v>#N/A</v>
      </c>
      <c r="C218" s="122"/>
      <c r="D218" s="123" t="e">
        <f aca="false">B218+C218</f>
        <v>#N/A</v>
      </c>
      <c r="E218" s="111" t="n">
        <f aca="false">IF(Z218=0,0,IF(AND(Z218=1,$H$3=1),D218*U218,IF($H$3=2,D218,"N/A")))</f>
        <v>0</v>
      </c>
      <c r="F218" s="111" t="n">
        <f aca="false">E218*Y218</f>
        <v>0</v>
      </c>
      <c r="G218" s="124" t="n">
        <f aca="false">VLOOKUP($A218,Table,MATCH(G$4,Curves,0))</f>
        <v>3</v>
      </c>
      <c r="H218" s="125" t="n">
        <f aca="false">G218+$H$7</f>
        <v>3</v>
      </c>
      <c r="I218" s="124" t="n">
        <f aca="false">H218</f>
        <v>3</v>
      </c>
      <c r="J218" s="124" t="n">
        <f aca="false">VLOOKUP($A218,Table,MATCH(J$4,Curves,0))</f>
        <v>4</v>
      </c>
      <c r="K218" s="125" t="n">
        <f aca="false">J218+$K$7</f>
        <v>4</v>
      </c>
      <c r="L218" s="126" t="n">
        <f aca="false">K218</f>
        <v>4</v>
      </c>
      <c r="M218" s="124" t="n">
        <f aca="false">VLOOKUP($A218,Table,MATCH(M$4,Curves,0))</f>
        <v>4</v>
      </c>
      <c r="N218" s="125" t="n">
        <f aca="false">M218+$N$7</f>
        <v>4</v>
      </c>
      <c r="O218" s="126" t="n">
        <f aca="false">0.07</f>
        <v>0.07</v>
      </c>
      <c r="P218" s="114"/>
      <c r="Q218" s="126" t="n">
        <f aca="false">M218+J218+G218</f>
        <v>11</v>
      </c>
      <c r="R218" s="126" t="n">
        <f aca="false">N218+K218+H218</f>
        <v>11</v>
      </c>
      <c r="S218" s="126" t="n">
        <f aca="false">O218+L218+I218</f>
        <v>7.07</v>
      </c>
      <c r="T218" s="127"/>
      <c r="U218" s="5" t="n">
        <f aca="false">A219-A218</f>
        <v>30</v>
      </c>
      <c r="V218" s="128" t="n">
        <f aca="false">CHOOSE(F$3,A219+24,A218)</f>
        <v>43617</v>
      </c>
      <c r="W218" s="5" t="n">
        <f aca="false">V218-C$3</f>
        <v>6386</v>
      </c>
      <c r="X218" s="124" t="n">
        <f aca="false">VLOOKUP($A218,Table,MATCH(X$4,Curves,0))</f>
        <v>2</v>
      </c>
      <c r="Y218" s="129" t="n">
        <f aca="false">1/(1+CHOOSE(F$3,(X219+($K$3/10000))/2,(X218+($K$3/10000))/2))^(2*W218/365.25)</f>
        <v>2.97600879594951E-011</v>
      </c>
      <c r="Z218" s="5" t="n">
        <f aca="false">IF(AND(mthbeg&lt;=A218,mthend&gt;=A218),1,0)</f>
        <v>0</v>
      </c>
      <c r="AA218" s="5" t="n">
        <f aca="false">U218*Z218</f>
        <v>0</v>
      </c>
      <c r="AC218" s="115" t="n">
        <f aca="false">IF(G211=2,F218*(S218-Q218),F218*(Q218-S218))</f>
        <v>0</v>
      </c>
      <c r="AE218" s="116" t="n">
        <f aca="false">IF($G$3=1,F218*(R218-Q218),F218*(Q218-R218))</f>
        <v>0</v>
      </c>
      <c r="AG218" s="116" t="n">
        <f aca="false">AC218+AE218</f>
        <v>0</v>
      </c>
    </row>
    <row r="219" customFormat="false" ht="12" hidden="false" customHeight="true" outlineLevel="0" collapsed="false">
      <c r="A219" s="120" t="n">
        <f aca="false">EDATE(A218,1)</f>
        <v>43647</v>
      </c>
      <c r="B219" s="121" t="e">
        <f aca="false">VLOOKUP(A219,'Inputs-Summary'!$A$32:$B$41,2,FALSE())</f>
        <v>#N/A</v>
      </c>
      <c r="C219" s="122"/>
      <c r="D219" s="123" t="e">
        <f aca="false">B219+C219</f>
        <v>#N/A</v>
      </c>
      <c r="E219" s="111" t="n">
        <f aca="false">IF(Z219=0,0,IF(AND(Z219=1,$H$3=1),D219*U219,IF($H$3=2,D219,"N/A")))</f>
        <v>0</v>
      </c>
      <c r="F219" s="111" t="n">
        <f aca="false">E219*Y219</f>
        <v>0</v>
      </c>
      <c r="G219" s="124" t="n">
        <f aca="false">VLOOKUP($A219,Table,MATCH(G$4,Curves,0))</f>
        <v>3</v>
      </c>
      <c r="H219" s="125" t="n">
        <f aca="false">G219+$H$7</f>
        <v>3</v>
      </c>
      <c r="I219" s="124" t="n">
        <f aca="false">H219</f>
        <v>3</v>
      </c>
      <c r="J219" s="124" t="n">
        <f aca="false">VLOOKUP($A219,Table,MATCH(J$4,Curves,0))</f>
        <v>4</v>
      </c>
      <c r="K219" s="125" t="n">
        <f aca="false">J219+$K$7</f>
        <v>4</v>
      </c>
      <c r="L219" s="126" t="n">
        <f aca="false">K219</f>
        <v>4</v>
      </c>
      <c r="M219" s="124" t="n">
        <f aca="false">VLOOKUP($A219,Table,MATCH(M$4,Curves,0))</f>
        <v>4</v>
      </c>
      <c r="N219" s="125" t="n">
        <f aca="false">M219+$N$7</f>
        <v>4</v>
      </c>
      <c r="O219" s="126" t="n">
        <f aca="false">0.07</f>
        <v>0.07</v>
      </c>
      <c r="P219" s="114"/>
      <c r="Q219" s="126" t="n">
        <f aca="false">M219+J219+G219</f>
        <v>11</v>
      </c>
      <c r="R219" s="126" t="n">
        <f aca="false">N219+K219+H219</f>
        <v>11</v>
      </c>
      <c r="S219" s="126" t="n">
        <f aca="false">O219+L219+I219</f>
        <v>7.07</v>
      </c>
      <c r="T219" s="127"/>
      <c r="U219" s="5" t="n">
        <f aca="false">A220-A219</f>
        <v>31</v>
      </c>
      <c r="V219" s="128" t="n">
        <f aca="false">CHOOSE(F$3,A220+24,A219)</f>
        <v>43647</v>
      </c>
      <c r="W219" s="5" t="n">
        <f aca="false">V219-C$3</f>
        <v>6416</v>
      </c>
      <c r="X219" s="124" t="n">
        <f aca="false">VLOOKUP($A219,Table,MATCH(X$4,Curves,0))</f>
        <v>2</v>
      </c>
      <c r="Y219" s="129" t="n">
        <f aca="false">1/(1+CHOOSE(F$3,(X220+($K$3/10000))/2,(X219+($K$3/10000))/2))^(2*W219/365.25)</f>
        <v>2.65572864435831E-011</v>
      </c>
      <c r="Z219" s="5" t="n">
        <f aca="false">IF(AND(mthbeg&lt;=A219,mthend&gt;=A219),1,0)</f>
        <v>0</v>
      </c>
      <c r="AA219" s="5" t="n">
        <f aca="false">U219*Z219</f>
        <v>0</v>
      </c>
      <c r="AC219" s="115" t="n">
        <f aca="false">IF(G212=2,F219*(S219-Q219),F219*(Q219-S219))</f>
        <v>0</v>
      </c>
      <c r="AE219" s="116" t="n">
        <f aca="false">IF($G$3=1,F219*(R219-Q219),F219*(Q219-R219))</f>
        <v>0</v>
      </c>
      <c r="AG219" s="116" t="n">
        <f aca="false">AC219+AE219</f>
        <v>0</v>
      </c>
    </row>
    <row r="220" customFormat="false" ht="12" hidden="false" customHeight="true" outlineLevel="0" collapsed="false">
      <c r="A220" s="120" t="n">
        <f aca="false">EDATE(A219,1)</f>
        <v>43678</v>
      </c>
      <c r="B220" s="121" t="e">
        <f aca="false">VLOOKUP(A220,'Inputs-Summary'!$A$32:$B$41,2,FALSE())</f>
        <v>#N/A</v>
      </c>
      <c r="C220" s="122"/>
      <c r="D220" s="123" t="e">
        <f aca="false">B220+C220</f>
        <v>#N/A</v>
      </c>
      <c r="E220" s="111" t="n">
        <f aca="false">IF(Z220=0,0,IF(AND(Z220=1,$H$3=1),D220*U220,IF($H$3=2,D220,"N/A")))</f>
        <v>0</v>
      </c>
      <c r="F220" s="111" t="n">
        <f aca="false">E220*Y220</f>
        <v>0</v>
      </c>
      <c r="G220" s="124" t="n">
        <f aca="false">VLOOKUP($A220,Table,MATCH(G$4,Curves,0))</f>
        <v>3</v>
      </c>
      <c r="H220" s="125" t="n">
        <f aca="false">G220+$H$7</f>
        <v>3</v>
      </c>
      <c r="I220" s="124" t="n">
        <f aca="false">H220</f>
        <v>3</v>
      </c>
      <c r="J220" s="124" t="n">
        <f aca="false">VLOOKUP($A220,Table,MATCH(J$4,Curves,0))</f>
        <v>4</v>
      </c>
      <c r="K220" s="125" t="n">
        <f aca="false">J220+$K$7</f>
        <v>4</v>
      </c>
      <c r="L220" s="126" t="n">
        <f aca="false">K220</f>
        <v>4</v>
      </c>
      <c r="M220" s="124" t="n">
        <f aca="false">VLOOKUP($A220,Table,MATCH(M$4,Curves,0))</f>
        <v>4</v>
      </c>
      <c r="N220" s="125" t="n">
        <f aca="false">M220+$N$7</f>
        <v>4</v>
      </c>
      <c r="O220" s="126" t="n">
        <f aca="false">0.07</f>
        <v>0.07</v>
      </c>
      <c r="P220" s="114"/>
      <c r="Q220" s="126" t="n">
        <f aca="false">M220+J220+G220</f>
        <v>11</v>
      </c>
      <c r="R220" s="126" t="n">
        <f aca="false">N220+K220+H220</f>
        <v>11</v>
      </c>
      <c r="S220" s="126" t="n">
        <f aca="false">O220+L220+I220</f>
        <v>7.07</v>
      </c>
      <c r="T220" s="127"/>
      <c r="U220" s="5" t="n">
        <f aca="false">A221-A220</f>
        <v>31</v>
      </c>
      <c r="V220" s="128" t="n">
        <f aca="false">CHOOSE(F$3,A221+24,A220)</f>
        <v>43678</v>
      </c>
      <c r="W220" s="5" t="n">
        <f aca="false">V220-C$3</f>
        <v>6447</v>
      </c>
      <c r="X220" s="124" t="n">
        <f aca="false">VLOOKUP($A220,Table,MATCH(X$4,Curves,0))</f>
        <v>2</v>
      </c>
      <c r="Y220" s="129" t="n">
        <f aca="false">1/(1+CHOOSE(F$3,(X221+($K$3/10000))/2,(X220+($K$3/10000))/2))^(2*W220/365.25)</f>
        <v>2.36093937246154E-011</v>
      </c>
      <c r="Z220" s="5" t="n">
        <f aca="false">IF(AND(mthbeg&lt;=A220,mthend&gt;=A220),1,0)</f>
        <v>0</v>
      </c>
      <c r="AA220" s="5" t="n">
        <f aca="false">U220*Z220</f>
        <v>0</v>
      </c>
      <c r="AC220" s="115" t="n">
        <f aca="false">IF(G213=2,F220*(S220-Q220),F220*(Q220-S220))</f>
        <v>0</v>
      </c>
      <c r="AE220" s="116" t="n">
        <f aca="false">IF($G$3=1,F220*(R220-Q220),F220*(Q220-R220))</f>
        <v>0</v>
      </c>
      <c r="AG220" s="116" t="n">
        <f aca="false">AC220+AE220</f>
        <v>0</v>
      </c>
    </row>
    <row r="221" customFormat="false" ht="12" hidden="false" customHeight="true" outlineLevel="0" collapsed="false">
      <c r="A221" s="120" t="n">
        <f aca="false">EDATE(A220,1)</f>
        <v>43709</v>
      </c>
      <c r="B221" s="121" t="e">
        <f aca="false">VLOOKUP(A221,'Inputs-Summary'!$A$32:$B$41,2,FALSE())</f>
        <v>#N/A</v>
      </c>
      <c r="C221" s="122"/>
      <c r="D221" s="123" t="e">
        <f aca="false">B221+C221</f>
        <v>#N/A</v>
      </c>
      <c r="E221" s="111" t="n">
        <f aca="false">IF(Z221=0,0,IF(AND(Z221=1,$H$3=1),D221*U221,IF($H$3=2,D221,"N/A")))</f>
        <v>0</v>
      </c>
      <c r="F221" s="111" t="n">
        <f aca="false">E221*Y221</f>
        <v>0</v>
      </c>
      <c r="G221" s="124" t="n">
        <f aca="false">VLOOKUP($A221,Table,MATCH(G$4,Curves,0))</f>
        <v>3</v>
      </c>
      <c r="H221" s="125" t="n">
        <f aca="false">G221+$H$7</f>
        <v>3</v>
      </c>
      <c r="I221" s="124" t="n">
        <f aca="false">H221</f>
        <v>3</v>
      </c>
      <c r="J221" s="124" t="n">
        <f aca="false">VLOOKUP($A221,Table,MATCH(J$4,Curves,0))</f>
        <v>4</v>
      </c>
      <c r="K221" s="125" t="n">
        <f aca="false">J221+$K$7</f>
        <v>4</v>
      </c>
      <c r="L221" s="126" t="n">
        <f aca="false">K221</f>
        <v>4</v>
      </c>
      <c r="M221" s="124" t="n">
        <f aca="false">VLOOKUP($A221,Table,MATCH(M$4,Curves,0))</f>
        <v>4</v>
      </c>
      <c r="N221" s="125" t="n">
        <f aca="false">M221+$N$7</f>
        <v>4</v>
      </c>
      <c r="O221" s="126" t="n">
        <f aca="false">0.07</f>
        <v>0.07</v>
      </c>
      <c r="P221" s="114"/>
      <c r="Q221" s="126" t="n">
        <f aca="false">M221+J221+G221</f>
        <v>11</v>
      </c>
      <c r="R221" s="126" t="n">
        <f aca="false">N221+K221+H221</f>
        <v>11</v>
      </c>
      <c r="S221" s="126" t="n">
        <f aca="false">O221+L221+I221</f>
        <v>7.07</v>
      </c>
      <c r="T221" s="127"/>
      <c r="U221" s="5" t="n">
        <f aca="false">A222-A221</f>
        <v>30</v>
      </c>
      <c r="V221" s="128" t="n">
        <f aca="false">CHOOSE(F$3,A222+24,A221)</f>
        <v>43709</v>
      </c>
      <c r="W221" s="5" t="n">
        <f aca="false">V221-C$3</f>
        <v>6478</v>
      </c>
      <c r="X221" s="124" t="n">
        <f aca="false">VLOOKUP($A221,Table,MATCH(X$4,Curves,0))</f>
        <v>2</v>
      </c>
      <c r="Y221" s="129" t="n">
        <f aca="false">1/(1+CHOOSE(F$3,(X222+($K$3/10000))/2,(X221+($K$3/10000))/2))^(2*W221/365.25)</f>
        <v>2.09887208630304E-011</v>
      </c>
      <c r="Z221" s="5" t="n">
        <f aca="false">IF(AND(mthbeg&lt;=A221,mthend&gt;=A221),1,0)</f>
        <v>0</v>
      </c>
      <c r="AA221" s="5" t="n">
        <f aca="false">U221*Z221</f>
        <v>0</v>
      </c>
      <c r="AC221" s="115" t="n">
        <f aca="false">IF(G214=2,F221*(S221-Q221),F221*(Q221-S221))</f>
        <v>0</v>
      </c>
      <c r="AE221" s="116" t="n">
        <f aca="false">IF($G$3=1,F221*(R221-Q221),F221*(Q221-R221))</f>
        <v>0</v>
      </c>
      <c r="AG221" s="116" t="n">
        <f aca="false">AC221+AE221</f>
        <v>0</v>
      </c>
    </row>
    <row r="222" customFormat="false" ht="12" hidden="false" customHeight="true" outlineLevel="0" collapsed="false">
      <c r="A222" s="120" t="n">
        <f aca="false">EDATE(A221,1)</f>
        <v>43739</v>
      </c>
      <c r="B222" s="121" t="e">
        <f aca="false">VLOOKUP(A222,'Inputs-Summary'!$A$32:$B$41,2,FALSE())</f>
        <v>#N/A</v>
      </c>
      <c r="C222" s="122"/>
      <c r="D222" s="123" t="e">
        <f aca="false">B222+C222</f>
        <v>#N/A</v>
      </c>
      <c r="E222" s="111" t="n">
        <f aca="false">IF(Z222=0,0,IF(AND(Z222=1,$H$3=1),D222*U222,IF($H$3=2,D222,"N/A")))</f>
        <v>0</v>
      </c>
      <c r="F222" s="111" t="n">
        <f aca="false">E222*Y222</f>
        <v>0</v>
      </c>
      <c r="G222" s="124" t="n">
        <f aca="false">VLOOKUP($A222,Table,MATCH(G$4,Curves,0))</f>
        <v>3</v>
      </c>
      <c r="H222" s="125" t="n">
        <f aca="false">G222+$H$7</f>
        <v>3</v>
      </c>
      <c r="I222" s="124" t="n">
        <f aca="false">H222</f>
        <v>3</v>
      </c>
      <c r="J222" s="124" t="n">
        <f aca="false">VLOOKUP($A222,Table,MATCH(J$4,Curves,0))</f>
        <v>4</v>
      </c>
      <c r="K222" s="125" t="n">
        <f aca="false">J222+$K$7</f>
        <v>4</v>
      </c>
      <c r="L222" s="126" t="n">
        <f aca="false">K222</f>
        <v>4</v>
      </c>
      <c r="M222" s="124" t="n">
        <f aca="false">VLOOKUP($A222,Table,MATCH(M$4,Curves,0))</f>
        <v>4</v>
      </c>
      <c r="N222" s="125" t="n">
        <f aca="false">M222+$N$7</f>
        <v>4</v>
      </c>
      <c r="O222" s="126" t="n">
        <f aca="false">0.07</f>
        <v>0.07</v>
      </c>
      <c r="P222" s="114"/>
      <c r="Q222" s="126" t="n">
        <f aca="false">M222+J222+G222</f>
        <v>11</v>
      </c>
      <c r="R222" s="126" t="n">
        <f aca="false">N222+K222+H222</f>
        <v>11</v>
      </c>
      <c r="S222" s="126" t="n">
        <f aca="false">O222+L222+I222</f>
        <v>7.07</v>
      </c>
      <c r="T222" s="127"/>
      <c r="U222" s="5" t="n">
        <f aca="false">A223-A222</f>
        <v>31</v>
      </c>
      <c r="V222" s="128" t="n">
        <f aca="false">CHOOSE(F$3,A223+24,A222)</f>
        <v>43739</v>
      </c>
      <c r="W222" s="5" t="n">
        <f aca="false">V222-C$3</f>
        <v>6508</v>
      </c>
      <c r="X222" s="124" t="n">
        <f aca="false">VLOOKUP($A222,Table,MATCH(X$4,Curves,0))</f>
        <v>2</v>
      </c>
      <c r="Y222" s="129" t="n">
        <f aca="false">1/(1+CHOOSE(F$3,(X223+($K$3/10000))/2,(X222+($K$3/10000))/2))^(2*W222/365.25)</f>
        <v>1.87299000191987E-011</v>
      </c>
      <c r="Z222" s="5" t="n">
        <f aca="false">IF(AND(mthbeg&lt;=A222,mthend&gt;=A222),1,0)</f>
        <v>0</v>
      </c>
      <c r="AA222" s="5" t="n">
        <f aca="false">U222*Z222</f>
        <v>0</v>
      </c>
      <c r="AC222" s="115" t="n">
        <f aca="false">IF(G215=2,F222*(S222-Q222),F222*(Q222-S222))</f>
        <v>0</v>
      </c>
      <c r="AE222" s="116" t="n">
        <f aca="false">IF($G$3=1,F222*(R222-Q222),F222*(Q222-R222))</f>
        <v>0</v>
      </c>
      <c r="AG222" s="116" t="n">
        <f aca="false">AC222+AE222</f>
        <v>0</v>
      </c>
    </row>
    <row r="223" customFormat="false" ht="12" hidden="false" customHeight="true" outlineLevel="0" collapsed="false">
      <c r="A223" s="120" t="n">
        <f aca="false">EDATE(A222,1)</f>
        <v>43770</v>
      </c>
      <c r="B223" s="121" t="e">
        <f aca="false">VLOOKUP(A223,'Inputs-Summary'!$A$32:$B$41,2,FALSE())</f>
        <v>#N/A</v>
      </c>
      <c r="C223" s="122"/>
      <c r="D223" s="123" t="e">
        <f aca="false">B223+C223</f>
        <v>#N/A</v>
      </c>
      <c r="E223" s="111" t="n">
        <f aca="false">IF(Z223=0,0,IF(AND(Z223=1,$H$3=1),D223*U223,IF($H$3=2,D223,"N/A")))</f>
        <v>0</v>
      </c>
      <c r="F223" s="111" t="n">
        <f aca="false">E223*Y223</f>
        <v>0</v>
      </c>
      <c r="G223" s="124" t="n">
        <f aca="false">VLOOKUP($A223,Table,MATCH(G$4,Curves,0))</f>
        <v>3</v>
      </c>
      <c r="H223" s="125" t="n">
        <f aca="false">G223+$H$7</f>
        <v>3</v>
      </c>
      <c r="I223" s="124" t="n">
        <f aca="false">H223</f>
        <v>3</v>
      </c>
      <c r="J223" s="124" t="n">
        <f aca="false">VLOOKUP($A223,Table,MATCH(J$4,Curves,0))</f>
        <v>4</v>
      </c>
      <c r="K223" s="125" t="n">
        <f aca="false">J223+$K$7</f>
        <v>4</v>
      </c>
      <c r="L223" s="126" t="n">
        <f aca="false">K223</f>
        <v>4</v>
      </c>
      <c r="M223" s="124" t="n">
        <f aca="false">VLOOKUP($A223,Table,MATCH(M$4,Curves,0))</f>
        <v>4</v>
      </c>
      <c r="N223" s="125" t="n">
        <f aca="false">M223+$N$7</f>
        <v>4</v>
      </c>
      <c r="O223" s="126" t="n">
        <f aca="false">0.07</f>
        <v>0.07</v>
      </c>
      <c r="P223" s="114"/>
      <c r="Q223" s="126" t="n">
        <f aca="false">M223+J223+G223</f>
        <v>11</v>
      </c>
      <c r="R223" s="126" t="n">
        <f aca="false">N223+K223+H223</f>
        <v>11</v>
      </c>
      <c r="S223" s="126" t="n">
        <f aca="false">O223+L223+I223</f>
        <v>7.07</v>
      </c>
      <c r="T223" s="127"/>
      <c r="U223" s="5" t="n">
        <f aca="false">A224-A223</f>
        <v>30</v>
      </c>
      <c r="V223" s="128" t="n">
        <f aca="false">CHOOSE(F$3,A224+24,A223)</f>
        <v>43770</v>
      </c>
      <c r="W223" s="5" t="n">
        <f aca="false">V223-C$3</f>
        <v>6539</v>
      </c>
      <c r="X223" s="124" t="n">
        <f aca="false">VLOOKUP($A223,Table,MATCH(X$4,Curves,0))</f>
        <v>2</v>
      </c>
      <c r="Y223" s="129" t="n">
        <f aca="false">1/(1+CHOOSE(F$3,(X224+($K$3/10000))/2,(X223+($K$3/10000))/2))^(2*W223/365.25)</f>
        <v>1.66508571918797E-011</v>
      </c>
      <c r="Z223" s="5" t="n">
        <f aca="false">IF(AND(mthbeg&lt;=A223,mthend&gt;=A223),1,0)</f>
        <v>0</v>
      </c>
      <c r="AA223" s="5" t="n">
        <f aca="false">U223*Z223</f>
        <v>0</v>
      </c>
      <c r="AC223" s="115" t="n">
        <f aca="false">IF(G216=2,F223*(S223-Q223),F223*(Q223-S223))</f>
        <v>0</v>
      </c>
      <c r="AE223" s="116" t="n">
        <f aca="false">IF($G$3=1,F223*(R223-Q223),F223*(Q223-R223))</f>
        <v>0</v>
      </c>
      <c r="AG223" s="116" t="n">
        <f aca="false">AC223+AE223</f>
        <v>0</v>
      </c>
    </row>
    <row r="224" customFormat="false" ht="12" hidden="false" customHeight="true" outlineLevel="0" collapsed="false">
      <c r="A224" s="120" t="n">
        <f aca="false">EDATE(A223,1)</f>
        <v>43800</v>
      </c>
      <c r="B224" s="121" t="e">
        <f aca="false">VLOOKUP(A224,'Inputs-Summary'!$A$32:$B$41,2,FALSE())</f>
        <v>#N/A</v>
      </c>
      <c r="C224" s="122"/>
      <c r="D224" s="123" t="e">
        <f aca="false">B224+C224</f>
        <v>#N/A</v>
      </c>
      <c r="E224" s="111" t="n">
        <f aca="false">IF(Z224=0,0,IF(AND(Z224=1,$H$3=1),D224*U224,IF($H$3=2,D224,"N/A")))</f>
        <v>0</v>
      </c>
      <c r="F224" s="111" t="n">
        <f aca="false">E224*Y224</f>
        <v>0</v>
      </c>
      <c r="G224" s="124" t="n">
        <f aca="false">VLOOKUP($A224,Table,MATCH(G$4,Curves,0))</f>
        <v>3</v>
      </c>
      <c r="H224" s="125" t="n">
        <f aca="false">G224+$H$7</f>
        <v>3</v>
      </c>
      <c r="I224" s="124" t="n">
        <f aca="false">H224</f>
        <v>3</v>
      </c>
      <c r="J224" s="124" t="n">
        <f aca="false">VLOOKUP($A224,Table,MATCH(J$4,Curves,0))</f>
        <v>4</v>
      </c>
      <c r="K224" s="125" t="n">
        <f aca="false">J224+$K$7</f>
        <v>4</v>
      </c>
      <c r="L224" s="126" t="n">
        <f aca="false">K224</f>
        <v>4</v>
      </c>
      <c r="M224" s="124" t="n">
        <f aca="false">VLOOKUP($A224,Table,MATCH(M$4,Curves,0))</f>
        <v>4</v>
      </c>
      <c r="N224" s="125" t="n">
        <f aca="false">M224+$N$7</f>
        <v>4</v>
      </c>
      <c r="O224" s="126" t="n">
        <f aca="false">0.07</f>
        <v>0.07</v>
      </c>
      <c r="P224" s="114"/>
      <c r="Q224" s="126" t="n">
        <f aca="false">M224+J224+G224</f>
        <v>11</v>
      </c>
      <c r="R224" s="126" t="n">
        <f aca="false">N224+K224+H224</f>
        <v>11</v>
      </c>
      <c r="S224" s="126" t="n">
        <f aca="false">O224+L224+I224</f>
        <v>7.07</v>
      </c>
      <c r="T224" s="127"/>
      <c r="U224" s="5" t="n">
        <f aca="false">A225-A224</f>
        <v>31</v>
      </c>
      <c r="V224" s="128" t="n">
        <f aca="false">CHOOSE(F$3,A225+24,A224)</f>
        <v>43800</v>
      </c>
      <c r="W224" s="5" t="n">
        <f aca="false">V224-C$3</f>
        <v>6569</v>
      </c>
      <c r="X224" s="124" t="n">
        <f aca="false">VLOOKUP($A224,Table,MATCH(X$4,Curves,0))</f>
        <v>2</v>
      </c>
      <c r="Y224" s="129" t="n">
        <f aca="false">1/(1+CHOOSE(F$3,(X225+($K$3/10000))/2,(X224+($K$3/10000))/2))^(2*W224/365.25)</f>
        <v>1.48588802754145E-011</v>
      </c>
      <c r="Z224" s="5" t="n">
        <f aca="false">IF(AND(mthbeg&lt;=A224,mthend&gt;=A224),1,0)</f>
        <v>0</v>
      </c>
      <c r="AA224" s="5" t="n">
        <f aca="false">U224*Z224</f>
        <v>0</v>
      </c>
      <c r="AC224" s="115" t="n">
        <f aca="false">IF(G217=2,F224*(S224-Q224),F224*(Q224-S224))</f>
        <v>0</v>
      </c>
      <c r="AE224" s="116" t="n">
        <f aca="false">IF($G$3=1,F224*(R224-Q224),F224*(Q224-R224))</f>
        <v>0</v>
      </c>
      <c r="AG224" s="116" t="n">
        <f aca="false">AC224+AE224</f>
        <v>0</v>
      </c>
    </row>
    <row r="225" customFormat="false" ht="12" hidden="false" customHeight="true" outlineLevel="0" collapsed="false">
      <c r="A225" s="120" t="n">
        <f aca="false">EDATE(A224,1)</f>
        <v>43831</v>
      </c>
      <c r="B225" s="121" t="e">
        <f aca="false">VLOOKUP(A225,'Inputs-Summary'!$A$32:$B$41,2,FALSE())</f>
        <v>#N/A</v>
      </c>
      <c r="C225" s="122"/>
      <c r="D225" s="123" t="e">
        <f aca="false">B225+C225</f>
        <v>#N/A</v>
      </c>
      <c r="E225" s="111" t="n">
        <f aca="false">IF(Z225=0,0,IF(AND(Z225=1,$H$3=1),D225*U225,IF($H$3=2,D225,"N/A")))</f>
        <v>0</v>
      </c>
      <c r="F225" s="111" t="n">
        <f aca="false">E225*Y225</f>
        <v>0</v>
      </c>
      <c r="G225" s="124" t="n">
        <f aca="false">VLOOKUP($A225,Table,MATCH(G$4,Curves,0))</f>
        <v>3</v>
      </c>
      <c r="H225" s="125" t="n">
        <f aca="false">G225+$H$7</f>
        <v>3</v>
      </c>
      <c r="I225" s="124" t="n">
        <f aca="false">H225</f>
        <v>3</v>
      </c>
      <c r="J225" s="124" t="n">
        <f aca="false">VLOOKUP($A225,Table,MATCH(J$4,Curves,0))</f>
        <v>4</v>
      </c>
      <c r="K225" s="125" t="n">
        <f aca="false">J225+$K$7</f>
        <v>4</v>
      </c>
      <c r="L225" s="126" t="n">
        <f aca="false">K225</f>
        <v>4</v>
      </c>
      <c r="M225" s="124" t="n">
        <f aca="false">VLOOKUP($A225,Table,MATCH(M$4,Curves,0))</f>
        <v>4</v>
      </c>
      <c r="N225" s="125" t="n">
        <f aca="false">M225+$N$7</f>
        <v>4</v>
      </c>
      <c r="O225" s="126" t="n">
        <f aca="false">0.07</f>
        <v>0.07</v>
      </c>
      <c r="P225" s="114"/>
      <c r="Q225" s="126" t="n">
        <f aca="false">M225+J225+G225</f>
        <v>11</v>
      </c>
      <c r="R225" s="126" t="n">
        <f aca="false">N225+K225+H225</f>
        <v>11</v>
      </c>
      <c r="S225" s="126" t="n">
        <f aca="false">O225+L225+I225</f>
        <v>7.07</v>
      </c>
      <c r="T225" s="127"/>
      <c r="U225" s="5" t="n">
        <f aca="false">A226-A225</f>
        <v>31</v>
      </c>
      <c r="V225" s="128" t="n">
        <f aca="false">CHOOSE(F$3,A226+24,A225)</f>
        <v>43831</v>
      </c>
      <c r="W225" s="5" t="n">
        <f aca="false">V225-C$3</f>
        <v>6600</v>
      </c>
      <c r="X225" s="124" t="n">
        <f aca="false">VLOOKUP($A225,Table,MATCH(X$4,Curves,0))</f>
        <v>2</v>
      </c>
      <c r="Y225" s="129" t="n">
        <f aca="false">1/(1+CHOOSE(F$3,(X226+($K$3/10000))/2,(X225+($K$3/10000))/2))^(2*W225/365.25)</f>
        <v>1.32095255844162E-011</v>
      </c>
      <c r="Z225" s="5" t="n">
        <f aca="false">IF(AND(mthbeg&lt;=A225,mthend&gt;=A225),1,0)</f>
        <v>0</v>
      </c>
      <c r="AA225" s="5" t="n">
        <f aca="false">U225*Z225</f>
        <v>0</v>
      </c>
      <c r="AC225" s="115" t="n">
        <f aca="false">IF(G218=2,F225*(S225-Q225),F225*(Q225-S225))</f>
        <v>0</v>
      </c>
      <c r="AE225" s="116" t="n">
        <f aca="false">IF($G$3=1,F225*(R225-Q225),F225*(Q225-R225))</f>
        <v>0</v>
      </c>
      <c r="AG225" s="116" t="n">
        <f aca="false">AC225+AE225</f>
        <v>0</v>
      </c>
    </row>
    <row r="226" customFormat="false" ht="12" hidden="false" customHeight="true" outlineLevel="0" collapsed="false">
      <c r="A226" s="120" t="n">
        <f aca="false">EDATE(A225,1)</f>
        <v>43862</v>
      </c>
      <c r="B226" s="121" t="e">
        <f aca="false">VLOOKUP(A226,'Inputs-Summary'!$A$32:$B$41,2,FALSE())</f>
        <v>#N/A</v>
      </c>
      <c r="C226" s="122"/>
      <c r="D226" s="123" t="e">
        <f aca="false">B226+C226</f>
        <v>#N/A</v>
      </c>
      <c r="E226" s="111" t="n">
        <f aca="false">IF(Z226=0,0,IF(AND(Z226=1,$H$3=1),D226*U226,IF($H$3=2,D226,"N/A")))</f>
        <v>0</v>
      </c>
      <c r="F226" s="111" t="n">
        <f aca="false">E226*Y226</f>
        <v>0</v>
      </c>
      <c r="G226" s="124" t="n">
        <f aca="false">VLOOKUP($A226,Table,MATCH(G$4,Curves,0))</f>
        <v>3</v>
      </c>
      <c r="H226" s="125" t="n">
        <f aca="false">G226+$H$7</f>
        <v>3</v>
      </c>
      <c r="I226" s="124" t="n">
        <f aca="false">H226</f>
        <v>3</v>
      </c>
      <c r="J226" s="124" t="n">
        <f aca="false">VLOOKUP($A226,Table,MATCH(J$4,Curves,0))</f>
        <v>4</v>
      </c>
      <c r="K226" s="125" t="n">
        <f aca="false">J226+$K$7</f>
        <v>4</v>
      </c>
      <c r="L226" s="126" t="n">
        <f aca="false">K226</f>
        <v>4</v>
      </c>
      <c r="M226" s="124" t="n">
        <f aca="false">VLOOKUP($A226,Table,MATCH(M$4,Curves,0))</f>
        <v>4</v>
      </c>
      <c r="N226" s="125" t="n">
        <f aca="false">M226+$N$7</f>
        <v>4</v>
      </c>
      <c r="O226" s="126" t="n">
        <f aca="false">0.07</f>
        <v>0.07</v>
      </c>
      <c r="P226" s="114"/>
      <c r="Q226" s="126" t="n">
        <f aca="false">M226+J226+G226</f>
        <v>11</v>
      </c>
      <c r="R226" s="126" t="n">
        <f aca="false">N226+K226+H226</f>
        <v>11</v>
      </c>
      <c r="S226" s="126" t="n">
        <f aca="false">O226+L226+I226</f>
        <v>7.07</v>
      </c>
      <c r="T226" s="127"/>
      <c r="U226" s="5" t="n">
        <f aca="false">A227-A226</f>
        <v>29</v>
      </c>
      <c r="V226" s="128" t="n">
        <f aca="false">CHOOSE(F$3,A227+24,A226)</f>
        <v>43862</v>
      </c>
      <c r="W226" s="5" t="n">
        <f aca="false">V226-C$3</f>
        <v>6631</v>
      </c>
      <c r="X226" s="124" t="n">
        <f aca="false">VLOOKUP($A226,Table,MATCH(X$4,Curves,0))</f>
        <v>2</v>
      </c>
      <c r="Y226" s="129" t="n">
        <f aca="false">1/(1+CHOOSE(F$3,(X227+($K$3/10000))/2,(X226+($K$3/10000))/2))^(2*W226/365.25)</f>
        <v>1.17432513709705E-011</v>
      </c>
      <c r="Z226" s="5" t="n">
        <f aca="false">IF(AND(mthbeg&lt;=A226,mthend&gt;=A226),1,0)</f>
        <v>0</v>
      </c>
      <c r="AA226" s="5" t="n">
        <f aca="false">U226*Z226</f>
        <v>0</v>
      </c>
      <c r="AC226" s="115" t="n">
        <f aca="false">IF(G219=2,F226*(S226-Q226),F226*(Q226-S226))</f>
        <v>0</v>
      </c>
      <c r="AE226" s="116" t="n">
        <f aca="false">IF($G$3=1,F226*(R226-Q226),F226*(Q226-R226))</f>
        <v>0</v>
      </c>
      <c r="AG226" s="116" t="n">
        <f aca="false">AC226+AE226</f>
        <v>0</v>
      </c>
    </row>
    <row r="227" customFormat="false" ht="12" hidden="false" customHeight="true" outlineLevel="0" collapsed="false">
      <c r="A227" s="120" t="n">
        <f aca="false">EDATE(A226,1)</f>
        <v>43891</v>
      </c>
      <c r="B227" s="121" t="e">
        <f aca="false">VLOOKUP(A227,'Inputs-Summary'!$A$32:$B$41,2,FALSE())</f>
        <v>#N/A</v>
      </c>
      <c r="C227" s="122"/>
      <c r="D227" s="123" t="e">
        <f aca="false">B227+C227</f>
        <v>#N/A</v>
      </c>
      <c r="E227" s="111" t="n">
        <f aca="false">IF(Z227=0,0,IF(AND(Z227=1,$H$3=1),D227*U227,IF($H$3=2,D227,"N/A")))</f>
        <v>0</v>
      </c>
      <c r="F227" s="111" t="n">
        <f aca="false">E227*Y227</f>
        <v>0</v>
      </c>
      <c r="G227" s="124" t="n">
        <f aca="false">VLOOKUP($A227,Table,MATCH(G$4,Curves,0))</f>
        <v>3</v>
      </c>
      <c r="H227" s="125" t="n">
        <f aca="false">G227+$H$7</f>
        <v>3</v>
      </c>
      <c r="I227" s="124" t="n">
        <f aca="false">H227</f>
        <v>3</v>
      </c>
      <c r="J227" s="124" t="n">
        <f aca="false">VLOOKUP($A227,Table,MATCH(J$4,Curves,0))</f>
        <v>4</v>
      </c>
      <c r="K227" s="125" t="n">
        <f aca="false">J227+$K$7</f>
        <v>4</v>
      </c>
      <c r="L227" s="126" t="n">
        <f aca="false">K227</f>
        <v>4</v>
      </c>
      <c r="M227" s="124" t="n">
        <f aca="false">VLOOKUP($A227,Table,MATCH(M$4,Curves,0))</f>
        <v>4</v>
      </c>
      <c r="N227" s="125" t="n">
        <f aca="false">M227+$N$7</f>
        <v>4</v>
      </c>
      <c r="O227" s="126" t="n">
        <f aca="false">0.07</f>
        <v>0.07</v>
      </c>
      <c r="P227" s="114"/>
      <c r="Q227" s="126" t="n">
        <f aca="false">M227+J227+G227</f>
        <v>11</v>
      </c>
      <c r="R227" s="126" t="n">
        <f aca="false">N227+K227+H227</f>
        <v>11</v>
      </c>
      <c r="S227" s="126" t="n">
        <f aca="false">O227+L227+I227</f>
        <v>7.07</v>
      </c>
      <c r="T227" s="127"/>
      <c r="U227" s="5" t="n">
        <f aca="false">A228-A227</f>
        <v>31</v>
      </c>
      <c r="V227" s="128" t="n">
        <f aca="false">CHOOSE(F$3,A228+24,A227)</f>
        <v>43891</v>
      </c>
      <c r="W227" s="5" t="n">
        <f aca="false">V227-C$3</f>
        <v>6660</v>
      </c>
      <c r="X227" s="124" t="n">
        <f aca="false">VLOOKUP($A227,Table,MATCH(X$4,Curves,0))</f>
        <v>2</v>
      </c>
      <c r="Y227" s="129" t="n">
        <f aca="false">1/(1+CHOOSE(F$3,(X228+($K$3/10000))/2,(X227+($K$3/10000))/2))^(2*W227/365.25)</f>
        <v>1.051928435658E-011</v>
      </c>
      <c r="Z227" s="5" t="n">
        <f aca="false">IF(AND(mthbeg&lt;=A227,mthend&gt;=A227),1,0)</f>
        <v>0</v>
      </c>
      <c r="AA227" s="5" t="n">
        <f aca="false">U227*Z227</f>
        <v>0</v>
      </c>
      <c r="AC227" s="115" t="n">
        <f aca="false">IF(G220=2,F227*(S227-Q227),F227*(Q227-S227))</f>
        <v>0</v>
      </c>
      <c r="AE227" s="116" t="n">
        <f aca="false">IF($G$3=1,F227*(R227-Q227),F227*(Q227-R227))</f>
        <v>0</v>
      </c>
      <c r="AG227" s="116" t="n">
        <f aca="false">AC227+AE227</f>
        <v>0</v>
      </c>
    </row>
    <row r="228" customFormat="false" ht="12" hidden="false" customHeight="true" outlineLevel="0" collapsed="false">
      <c r="A228" s="120" t="n">
        <f aca="false">EDATE(A227,1)</f>
        <v>43922</v>
      </c>
      <c r="B228" s="121" t="e">
        <f aca="false">VLOOKUP(A228,'Inputs-Summary'!$A$32:$B$41,2,FALSE())</f>
        <v>#N/A</v>
      </c>
      <c r="C228" s="122"/>
      <c r="D228" s="123" t="e">
        <f aca="false">B228+C228</f>
        <v>#N/A</v>
      </c>
      <c r="E228" s="111" t="n">
        <f aca="false">IF(Z228=0,0,IF(AND(Z228=1,$H$3=1),D228*U228,IF($H$3=2,D228,"N/A")))</f>
        <v>0</v>
      </c>
      <c r="F228" s="111" t="n">
        <f aca="false">E228*Y228</f>
        <v>0</v>
      </c>
      <c r="G228" s="124" t="n">
        <f aca="false">VLOOKUP($A228,Table,MATCH(G$4,Curves,0))</f>
        <v>3</v>
      </c>
      <c r="H228" s="125" t="n">
        <f aca="false">G228+$H$7</f>
        <v>3</v>
      </c>
      <c r="I228" s="124" t="n">
        <f aca="false">H228</f>
        <v>3</v>
      </c>
      <c r="J228" s="124" t="n">
        <f aca="false">VLOOKUP($A228,Table,MATCH(J$4,Curves,0))</f>
        <v>4</v>
      </c>
      <c r="K228" s="125" t="n">
        <f aca="false">J228+$K$7</f>
        <v>4</v>
      </c>
      <c r="L228" s="126" t="n">
        <f aca="false">K228</f>
        <v>4</v>
      </c>
      <c r="M228" s="124" t="n">
        <f aca="false">VLOOKUP($A228,Table,MATCH(M$4,Curves,0))</f>
        <v>4</v>
      </c>
      <c r="N228" s="125" t="n">
        <f aca="false">M228+$N$7</f>
        <v>4</v>
      </c>
      <c r="O228" s="126" t="n">
        <f aca="false">0.07</f>
        <v>0.07</v>
      </c>
      <c r="P228" s="114"/>
      <c r="Q228" s="126" t="n">
        <f aca="false">M228+J228+G228</f>
        <v>11</v>
      </c>
      <c r="R228" s="126" t="n">
        <f aca="false">N228+K228+H228</f>
        <v>11</v>
      </c>
      <c r="S228" s="126" t="n">
        <f aca="false">O228+L228+I228</f>
        <v>7.07</v>
      </c>
      <c r="T228" s="127"/>
      <c r="U228" s="5" t="n">
        <f aca="false">A229-A228</f>
        <v>30</v>
      </c>
      <c r="V228" s="128" t="n">
        <f aca="false">CHOOSE(F$3,A229+24,A228)</f>
        <v>43922</v>
      </c>
      <c r="W228" s="5" t="n">
        <f aca="false">V228-C$3</f>
        <v>6691</v>
      </c>
      <c r="X228" s="124" t="n">
        <f aca="false">VLOOKUP($A228,Table,MATCH(X$4,Curves,0))</f>
        <v>2</v>
      </c>
      <c r="Y228" s="129" t="n">
        <f aca="false">1/(1+CHOOSE(F$3,(X229+($K$3/10000))/2,(X228+($K$3/10000))/2))^(2*W228/365.25)</f>
        <v>9.35163035588276E-012</v>
      </c>
      <c r="Z228" s="5" t="n">
        <f aca="false">IF(AND(mthbeg&lt;=A228,mthend&gt;=A228),1,0)</f>
        <v>0</v>
      </c>
      <c r="AA228" s="5" t="n">
        <f aca="false">U228*Z228</f>
        <v>0</v>
      </c>
      <c r="AC228" s="115" t="n">
        <f aca="false">IF(G221=2,F228*(S228-Q228),F228*(Q228-S228))</f>
        <v>0</v>
      </c>
      <c r="AE228" s="116" t="n">
        <f aca="false">IF($G$3=1,F228*(R228-Q228),F228*(Q228-R228))</f>
        <v>0</v>
      </c>
      <c r="AG228" s="116" t="n">
        <f aca="false">AC228+AE228</f>
        <v>0</v>
      </c>
    </row>
    <row r="229" customFormat="false" ht="12" hidden="false" customHeight="true" outlineLevel="0" collapsed="false">
      <c r="A229" s="120" t="n">
        <f aca="false">EDATE(A228,1)</f>
        <v>43952</v>
      </c>
      <c r="B229" s="121" t="e">
        <f aca="false">VLOOKUP(A229,'Inputs-Summary'!$A$32:$B$41,2,FALSE())</f>
        <v>#N/A</v>
      </c>
      <c r="C229" s="122"/>
      <c r="D229" s="123" t="e">
        <f aca="false">B229+C229</f>
        <v>#N/A</v>
      </c>
      <c r="E229" s="111" t="n">
        <f aca="false">IF(Z229=0,0,IF(AND(Z229=1,$H$3=1),D229*U229,IF($H$3=2,D229,"N/A")))</f>
        <v>0</v>
      </c>
      <c r="F229" s="111" t="n">
        <f aca="false">E229*Y229</f>
        <v>0</v>
      </c>
      <c r="G229" s="124" t="n">
        <f aca="false">VLOOKUP($A229,Table,MATCH(G$4,Curves,0))</f>
        <v>3</v>
      </c>
      <c r="H229" s="125" t="n">
        <f aca="false">G229+$H$7</f>
        <v>3</v>
      </c>
      <c r="I229" s="124" t="n">
        <f aca="false">H229</f>
        <v>3</v>
      </c>
      <c r="J229" s="124" t="n">
        <f aca="false">VLOOKUP($A229,Table,MATCH(J$4,Curves,0))</f>
        <v>4</v>
      </c>
      <c r="K229" s="125" t="n">
        <f aca="false">J229+$K$7</f>
        <v>4</v>
      </c>
      <c r="L229" s="126" t="n">
        <f aca="false">K229</f>
        <v>4</v>
      </c>
      <c r="M229" s="124" t="n">
        <f aca="false">VLOOKUP($A229,Table,MATCH(M$4,Curves,0))</f>
        <v>4</v>
      </c>
      <c r="N229" s="125" t="n">
        <f aca="false">M229+$N$7</f>
        <v>4</v>
      </c>
      <c r="O229" s="126" t="n">
        <f aca="false">0.07</f>
        <v>0.07</v>
      </c>
      <c r="P229" s="114"/>
      <c r="Q229" s="126" t="n">
        <f aca="false">M229+J229+G229</f>
        <v>11</v>
      </c>
      <c r="R229" s="126" t="n">
        <f aca="false">N229+K229+H229</f>
        <v>11</v>
      </c>
      <c r="S229" s="126" t="n">
        <f aca="false">O229+L229+I229</f>
        <v>7.07</v>
      </c>
      <c r="T229" s="127"/>
      <c r="U229" s="5" t="n">
        <f aca="false">A230-A229</f>
        <v>31</v>
      </c>
      <c r="V229" s="128" t="n">
        <f aca="false">CHOOSE(F$3,A230+24,A229)</f>
        <v>43952</v>
      </c>
      <c r="W229" s="5" t="n">
        <f aca="false">V229-C$3</f>
        <v>6721</v>
      </c>
      <c r="X229" s="124" t="n">
        <f aca="false">VLOOKUP($A229,Table,MATCH(X$4,Curves,0))</f>
        <v>2</v>
      </c>
      <c r="Y229" s="129" t="n">
        <f aca="false">1/(1+CHOOSE(F$3,(X230+($K$3/10000))/2,(X229+($K$3/10000))/2))^(2*W229/365.25)</f>
        <v>8.34520134529526E-012</v>
      </c>
      <c r="Z229" s="5" t="n">
        <f aca="false">IF(AND(mthbeg&lt;=A229,mthend&gt;=A229),1,0)</f>
        <v>0</v>
      </c>
      <c r="AA229" s="5" t="n">
        <f aca="false">U229*Z229</f>
        <v>0</v>
      </c>
      <c r="AC229" s="115" t="n">
        <f aca="false">IF(G222=2,F229*(S229-Q229),F229*(Q229-S229))</f>
        <v>0</v>
      </c>
      <c r="AE229" s="116" t="n">
        <f aca="false">IF($G$3=1,F229*(R229-Q229),F229*(Q229-R229))</f>
        <v>0</v>
      </c>
      <c r="AG229" s="116" t="n">
        <f aca="false">AC229+AE229</f>
        <v>0</v>
      </c>
    </row>
    <row r="230" customFormat="false" ht="12" hidden="false" customHeight="true" outlineLevel="0" collapsed="false">
      <c r="A230" s="120" t="n">
        <f aca="false">EDATE(A229,1)</f>
        <v>43983</v>
      </c>
      <c r="B230" s="121" t="e">
        <f aca="false">VLOOKUP(A230,'Inputs-Summary'!$A$32:$B$41,2,FALSE())</f>
        <v>#N/A</v>
      </c>
      <c r="C230" s="122"/>
      <c r="D230" s="123" t="e">
        <f aca="false">B230+C230</f>
        <v>#N/A</v>
      </c>
      <c r="E230" s="111" t="n">
        <f aca="false">IF(Z230=0,0,IF(AND(Z230=1,$H$3=1),D230*U230,IF($H$3=2,D230,"N/A")))</f>
        <v>0</v>
      </c>
      <c r="F230" s="111" t="n">
        <f aca="false">E230*Y230</f>
        <v>0</v>
      </c>
      <c r="G230" s="124" t="n">
        <f aca="false">VLOOKUP($A230,Table,MATCH(G$4,Curves,0))</f>
        <v>3</v>
      </c>
      <c r="H230" s="125" t="n">
        <f aca="false">G230+$H$7</f>
        <v>3</v>
      </c>
      <c r="I230" s="124" t="n">
        <f aca="false">H230</f>
        <v>3</v>
      </c>
      <c r="J230" s="124" t="n">
        <f aca="false">VLOOKUP($A230,Table,MATCH(J$4,Curves,0))</f>
        <v>4</v>
      </c>
      <c r="K230" s="125" t="n">
        <f aca="false">J230+$K$7</f>
        <v>4</v>
      </c>
      <c r="L230" s="126" t="n">
        <f aca="false">K230</f>
        <v>4</v>
      </c>
      <c r="M230" s="124" t="n">
        <f aca="false">VLOOKUP($A230,Table,MATCH(M$4,Curves,0))</f>
        <v>4</v>
      </c>
      <c r="N230" s="125" t="n">
        <f aca="false">M230+$N$7</f>
        <v>4</v>
      </c>
      <c r="O230" s="126" t="n">
        <f aca="false">0.07</f>
        <v>0.07</v>
      </c>
      <c r="P230" s="114"/>
      <c r="Q230" s="126" t="n">
        <f aca="false">M230+J230+G230</f>
        <v>11</v>
      </c>
      <c r="R230" s="126" t="n">
        <f aca="false">N230+K230+H230</f>
        <v>11</v>
      </c>
      <c r="S230" s="126" t="n">
        <f aca="false">O230+L230+I230</f>
        <v>7.07</v>
      </c>
      <c r="T230" s="127"/>
      <c r="U230" s="5" t="n">
        <f aca="false">A231-A230</f>
        <v>30</v>
      </c>
      <c r="V230" s="128" t="n">
        <f aca="false">CHOOSE(F$3,A231+24,A230)</f>
        <v>43983</v>
      </c>
      <c r="W230" s="5" t="n">
        <f aca="false">V230-C$3</f>
        <v>6752</v>
      </c>
      <c r="X230" s="124" t="n">
        <f aca="false">VLOOKUP($A230,Table,MATCH(X$4,Curves,0))</f>
        <v>2</v>
      </c>
      <c r="Y230" s="129" t="n">
        <f aca="false">1/(1+CHOOSE(F$3,(X231+($K$3/10000))/2,(X230+($K$3/10000))/2))^(2*W230/365.25)</f>
        <v>7.41887333597939E-012</v>
      </c>
      <c r="Z230" s="5" t="n">
        <f aca="false">IF(AND(mthbeg&lt;=A230,mthend&gt;=A230),1,0)</f>
        <v>0</v>
      </c>
      <c r="AA230" s="5" t="n">
        <f aca="false">U230*Z230</f>
        <v>0</v>
      </c>
      <c r="AC230" s="115" t="n">
        <f aca="false">IF(G223=2,F230*(S230-Q230),F230*(Q230-S230))</f>
        <v>0</v>
      </c>
      <c r="AE230" s="116" t="n">
        <f aca="false">IF($G$3=1,F230*(R230-Q230),F230*(Q230-R230))</f>
        <v>0</v>
      </c>
      <c r="AG230" s="116" t="n">
        <f aca="false">AC230+AE230</f>
        <v>0</v>
      </c>
    </row>
    <row r="231" customFormat="false" ht="12" hidden="false" customHeight="true" outlineLevel="0" collapsed="false">
      <c r="A231" s="120" t="n">
        <f aca="false">EDATE(A230,1)</f>
        <v>44013</v>
      </c>
      <c r="B231" s="121" t="e">
        <f aca="false">VLOOKUP(A231,'Inputs-Summary'!$A$32:$B$41,2,FALSE())</f>
        <v>#N/A</v>
      </c>
      <c r="C231" s="122"/>
      <c r="D231" s="123" t="e">
        <f aca="false">B231+C231</f>
        <v>#N/A</v>
      </c>
      <c r="E231" s="111" t="n">
        <f aca="false">IF(Z231=0,0,IF(AND(Z231=1,$H$3=1),D231*U231,IF($H$3=2,D231,"N/A")))</f>
        <v>0</v>
      </c>
      <c r="F231" s="111" t="n">
        <f aca="false">E231*Y231</f>
        <v>0</v>
      </c>
      <c r="G231" s="124" t="n">
        <f aca="false">VLOOKUP($A231,Table,MATCH(G$4,Curves,0))</f>
        <v>3</v>
      </c>
      <c r="H231" s="125" t="n">
        <f aca="false">G231+$H$7</f>
        <v>3</v>
      </c>
      <c r="I231" s="124" t="n">
        <f aca="false">H231</f>
        <v>3</v>
      </c>
      <c r="J231" s="124" t="n">
        <f aca="false">VLOOKUP($A231,Table,MATCH(J$4,Curves,0))</f>
        <v>4</v>
      </c>
      <c r="K231" s="125" t="n">
        <f aca="false">J231+$K$7</f>
        <v>4</v>
      </c>
      <c r="L231" s="126" t="n">
        <f aca="false">K231</f>
        <v>4</v>
      </c>
      <c r="M231" s="124" t="n">
        <f aca="false">VLOOKUP($A231,Table,MATCH(M$4,Curves,0))</f>
        <v>4</v>
      </c>
      <c r="N231" s="125" t="n">
        <f aca="false">M231+$N$7</f>
        <v>4</v>
      </c>
      <c r="O231" s="126" t="n">
        <f aca="false">0.07</f>
        <v>0.07</v>
      </c>
      <c r="P231" s="114"/>
      <c r="Q231" s="126" t="n">
        <f aca="false">M231+J231+G231</f>
        <v>11</v>
      </c>
      <c r="R231" s="126" t="n">
        <f aca="false">N231+K231+H231</f>
        <v>11</v>
      </c>
      <c r="S231" s="126" t="n">
        <f aca="false">O231+L231+I231</f>
        <v>7.07</v>
      </c>
      <c r="T231" s="127"/>
      <c r="U231" s="5" t="n">
        <f aca="false">A232-A231</f>
        <v>31</v>
      </c>
      <c r="V231" s="128" t="n">
        <f aca="false">CHOOSE(F$3,A232+24,A231)</f>
        <v>44013</v>
      </c>
      <c r="W231" s="5" t="n">
        <f aca="false">V231-C$3</f>
        <v>6782</v>
      </c>
      <c r="X231" s="124" t="n">
        <f aca="false">VLOOKUP($A231,Table,MATCH(X$4,Curves,0))</f>
        <v>2</v>
      </c>
      <c r="Y231" s="129" t="n">
        <f aca="false">1/(1+CHOOSE(F$3,(X232+($K$3/10000))/2,(X231+($K$3/10000))/2))^(2*W231/365.25)</f>
        <v>6.62044898995009E-012</v>
      </c>
      <c r="Z231" s="5" t="n">
        <f aca="false">IF(AND(mthbeg&lt;=A231,mthend&gt;=A231),1,0)</f>
        <v>0</v>
      </c>
      <c r="AA231" s="5" t="n">
        <f aca="false">U231*Z231</f>
        <v>0</v>
      </c>
      <c r="AC231" s="115" t="n">
        <f aca="false">IF(G224=2,F231*(S231-Q231),F231*(Q231-S231))</f>
        <v>0</v>
      </c>
      <c r="AE231" s="116" t="n">
        <f aca="false">IF($G$3=1,F231*(R231-Q231),F231*(Q231-R231))</f>
        <v>0</v>
      </c>
      <c r="AG231" s="116" t="n">
        <f aca="false">AC231+AE231</f>
        <v>0</v>
      </c>
    </row>
    <row r="232" customFormat="false" ht="12" hidden="false" customHeight="true" outlineLevel="0" collapsed="false">
      <c r="A232" s="120" t="n">
        <f aca="false">EDATE(A231,1)</f>
        <v>44044</v>
      </c>
      <c r="B232" s="121" t="e">
        <f aca="false">VLOOKUP(A232,'Inputs-Summary'!$A$32:$B$41,2,FALSE())</f>
        <v>#N/A</v>
      </c>
      <c r="C232" s="122"/>
      <c r="D232" s="123" t="e">
        <f aca="false">B232+C232</f>
        <v>#N/A</v>
      </c>
      <c r="E232" s="111" t="n">
        <f aca="false">IF(Z232=0,0,IF(AND(Z232=1,$H$3=1),D232*U232,IF($H$3=2,D232,"N/A")))</f>
        <v>0</v>
      </c>
      <c r="F232" s="111" t="n">
        <f aca="false">E232*Y232</f>
        <v>0</v>
      </c>
      <c r="G232" s="124" t="n">
        <f aca="false">VLOOKUP($A232,Table,MATCH(G$4,Curves,0))</f>
        <v>3</v>
      </c>
      <c r="H232" s="125" t="n">
        <f aca="false">G232+$H$7</f>
        <v>3</v>
      </c>
      <c r="I232" s="124" t="n">
        <f aca="false">H232</f>
        <v>3</v>
      </c>
      <c r="J232" s="124" t="n">
        <f aca="false">VLOOKUP($A232,Table,MATCH(J$4,Curves,0))</f>
        <v>4</v>
      </c>
      <c r="K232" s="125" t="n">
        <f aca="false">J232+$K$7</f>
        <v>4</v>
      </c>
      <c r="L232" s="126" t="n">
        <f aca="false">K232</f>
        <v>4</v>
      </c>
      <c r="M232" s="124" t="n">
        <f aca="false">VLOOKUP($A232,Table,MATCH(M$4,Curves,0))</f>
        <v>4</v>
      </c>
      <c r="N232" s="125" t="n">
        <f aca="false">M232+$N$7</f>
        <v>4</v>
      </c>
      <c r="O232" s="126" t="n">
        <f aca="false">0.07</f>
        <v>0.07</v>
      </c>
      <c r="P232" s="114"/>
      <c r="Q232" s="126" t="n">
        <f aca="false">M232+J232+G232</f>
        <v>11</v>
      </c>
      <c r="R232" s="126" t="n">
        <f aca="false">N232+K232+H232</f>
        <v>11</v>
      </c>
      <c r="S232" s="126" t="n">
        <f aca="false">O232+L232+I232</f>
        <v>7.07</v>
      </c>
      <c r="T232" s="127"/>
      <c r="U232" s="5" t="n">
        <f aca="false">A233-A232</f>
        <v>31</v>
      </c>
      <c r="V232" s="128" t="n">
        <f aca="false">CHOOSE(F$3,A233+24,A232)</f>
        <v>44044</v>
      </c>
      <c r="W232" s="5" t="n">
        <f aca="false">V232-C$3</f>
        <v>6813</v>
      </c>
      <c r="X232" s="124" t="n">
        <f aca="false">VLOOKUP($A232,Table,MATCH(X$4,Curves,0))</f>
        <v>2</v>
      </c>
      <c r="Y232" s="129" t="n">
        <f aca="false">1/(1+CHOOSE(F$3,(X233+($K$3/10000))/2,(X232+($K$3/10000))/2))^(2*W232/365.25)</f>
        <v>5.88557069524062E-012</v>
      </c>
      <c r="Z232" s="5" t="n">
        <f aca="false">IF(AND(mthbeg&lt;=A232,mthend&gt;=A232),1,0)</f>
        <v>0</v>
      </c>
      <c r="AA232" s="5" t="n">
        <f aca="false">U232*Z232</f>
        <v>0</v>
      </c>
      <c r="AC232" s="115" t="n">
        <f aca="false">IF(G225=2,F232*(S232-Q232),F232*(Q232-S232))</f>
        <v>0</v>
      </c>
      <c r="AE232" s="116" t="n">
        <f aca="false">IF($G$3=1,F232*(R232-Q232),F232*(Q232-R232))</f>
        <v>0</v>
      </c>
      <c r="AG232" s="116" t="n">
        <f aca="false">AC232+AE232</f>
        <v>0</v>
      </c>
    </row>
    <row r="233" customFormat="false" ht="12" hidden="false" customHeight="true" outlineLevel="0" collapsed="false">
      <c r="A233" s="120" t="n">
        <f aca="false">EDATE(A232,1)</f>
        <v>44075</v>
      </c>
      <c r="B233" s="121" t="e">
        <f aca="false">VLOOKUP(A233,'Inputs-Summary'!$A$32:$B$41,2,FALSE())</f>
        <v>#N/A</v>
      </c>
      <c r="C233" s="122"/>
      <c r="D233" s="123" t="e">
        <f aca="false">B233+C233</f>
        <v>#N/A</v>
      </c>
      <c r="E233" s="111" t="n">
        <f aca="false">IF(Z233=0,0,IF(AND(Z233=1,$H$3=1),D233*U233,IF($H$3=2,D233,"N/A")))</f>
        <v>0</v>
      </c>
      <c r="F233" s="111" t="n">
        <f aca="false">E233*Y233</f>
        <v>0</v>
      </c>
      <c r="G233" s="124" t="n">
        <f aca="false">VLOOKUP($A233,Table,MATCH(G$4,Curves,0))</f>
        <v>3</v>
      </c>
      <c r="H233" s="125" t="n">
        <f aca="false">G233+$H$7</f>
        <v>3</v>
      </c>
      <c r="I233" s="124" t="n">
        <f aca="false">H233</f>
        <v>3</v>
      </c>
      <c r="J233" s="124" t="n">
        <f aca="false">VLOOKUP($A233,Table,MATCH(J$4,Curves,0))</f>
        <v>4</v>
      </c>
      <c r="K233" s="125" t="n">
        <f aca="false">J233+$K$7</f>
        <v>4</v>
      </c>
      <c r="L233" s="126" t="n">
        <f aca="false">K233</f>
        <v>4</v>
      </c>
      <c r="M233" s="124" t="n">
        <f aca="false">VLOOKUP($A233,Table,MATCH(M$4,Curves,0))</f>
        <v>4</v>
      </c>
      <c r="N233" s="125" t="n">
        <f aca="false">M233+$N$7</f>
        <v>4</v>
      </c>
      <c r="O233" s="126" t="n">
        <f aca="false">0.07</f>
        <v>0.07</v>
      </c>
      <c r="P233" s="114"/>
      <c r="Q233" s="126" t="n">
        <f aca="false">M233+J233+G233</f>
        <v>11</v>
      </c>
      <c r="R233" s="126" t="n">
        <f aca="false">N233+K233+H233</f>
        <v>11</v>
      </c>
      <c r="S233" s="126" t="n">
        <f aca="false">O233+L233+I233</f>
        <v>7.07</v>
      </c>
      <c r="T233" s="127"/>
      <c r="U233" s="5" t="n">
        <f aca="false">A234-A233</f>
        <v>30</v>
      </c>
      <c r="V233" s="128" t="n">
        <f aca="false">CHOOSE(F$3,A234+24,A233)</f>
        <v>44075</v>
      </c>
      <c r="W233" s="5" t="n">
        <f aca="false">V233-C$3</f>
        <v>6844</v>
      </c>
      <c r="X233" s="124" t="n">
        <f aca="false">VLOOKUP($A233,Table,MATCH(X$4,Curves,0))</f>
        <v>2</v>
      </c>
      <c r="Y233" s="129" t="n">
        <f aca="false">1/(1+CHOOSE(F$3,(X234+($K$3/10000))/2,(X233+($K$3/10000))/2))^(2*W233/365.25)</f>
        <v>5.23226482996228E-012</v>
      </c>
      <c r="Z233" s="5" t="n">
        <f aca="false">IF(AND(mthbeg&lt;=A233,mthend&gt;=A233),1,0)</f>
        <v>0</v>
      </c>
      <c r="AA233" s="5" t="n">
        <f aca="false">U233*Z233</f>
        <v>0</v>
      </c>
      <c r="AC233" s="115" t="n">
        <f aca="false">IF(G226=2,F233*(S233-Q233),F233*(Q233-S233))</f>
        <v>0</v>
      </c>
      <c r="AE233" s="116" t="n">
        <f aca="false">IF($G$3=1,F233*(R233-Q233),F233*(Q233-R233))</f>
        <v>0</v>
      </c>
      <c r="AG233" s="116" t="n">
        <f aca="false">AC233+AE233</f>
        <v>0</v>
      </c>
    </row>
    <row r="234" customFormat="false" ht="12" hidden="false" customHeight="true" outlineLevel="0" collapsed="false">
      <c r="A234" s="120" t="n">
        <f aca="false">EDATE(A233,1)</f>
        <v>44105</v>
      </c>
      <c r="B234" s="121" t="e">
        <f aca="false">VLOOKUP(A234,'Inputs-Summary'!$A$32:$B$41,2,FALSE())</f>
        <v>#N/A</v>
      </c>
      <c r="C234" s="122"/>
      <c r="D234" s="123" t="e">
        <f aca="false">B234+C234</f>
        <v>#N/A</v>
      </c>
      <c r="E234" s="111" t="n">
        <f aca="false">IF(Z234=0,0,IF(AND(Z234=1,$H$3=1),D234*U234,IF($H$3=2,D234,"N/A")))</f>
        <v>0</v>
      </c>
      <c r="F234" s="111" t="n">
        <f aca="false">E234*Y234</f>
        <v>0</v>
      </c>
      <c r="G234" s="124" t="n">
        <f aca="false">VLOOKUP($A234,Table,MATCH(G$4,Curves,0))</f>
        <v>3</v>
      </c>
      <c r="H234" s="125" t="n">
        <f aca="false">G234+$H$7</f>
        <v>3</v>
      </c>
      <c r="I234" s="124" t="n">
        <f aca="false">H234</f>
        <v>3</v>
      </c>
      <c r="J234" s="124" t="n">
        <f aca="false">VLOOKUP($A234,Table,MATCH(J$4,Curves,0))</f>
        <v>4</v>
      </c>
      <c r="K234" s="125" t="n">
        <f aca="false">J234+$K$7</f>
        <v>4</v>
      </c>
      <c r="L234" s="126" t="n">
        <f aca="false">K234</f>
        <v>4</v>
      </c>
      <c r="M234" s="124" t="n">
        <f aca="false">VLOOKUP($A234,Table,MATCH(M$4,Curves,0))</f>
        <v>4</v>
      </c>
      <c r="N234" s="125" t="n">
        <f aca="false">M234+$N$7</f>
        <v>4</v>
      </c>
      <c r="O234" s="126" t="n">
        <f aca="false">0.07</f>
        <v>0.07</v>
      </c>
      <c r="P234" s="114"/>
      <c r="Q234" s="126" t="n">
        <f aca="false">M234+J234+G234</f>
        <v>11</v>
      </c>
      <c r="R234" s="126" t="n">
        <f aca="false">N234+K234+H234</f>
        <v>11</v>
      </c>
      <c r="S234" s="126" t="n">
        <f aca="false">O234+L234+I234</f>
        <v>7.07</v>
      </c>
      <c r="T234" s="127"/>
      <c r="U234" s="5" t="n">
        <f aca="false">A235-A234</f>
        <v>31</v>
      </c>
      <c r="V234" s="128" t="n">
        <f aca="false">CHOOSE(F$3,A235+24,A234)</f>
        <v>44105</v>
      </c>
      <c r="W234" s="5" t="n">
        <f aca="false">V234-C$3</f>
        <v>6874</v>
      </c>
      <c r="X234" s="124" t="n">
        <f aca="false">VLOOKUP($A234,Table,MATCH(X$4,Curves,0))</f>
        <v>2</v>
      </c>
      <c r="Y234" s="129" t="n">
        <f aca="false">1/(1+CHOOSE(F$3,(X235+($K$3/10000))/2,(X234+($K$3/10000))/2))^(2*W234/365.25)</f>
        <v>4.66916482327328E-012</v>
      </c>
      <c r="Z234" s="5" t="n">
        <f aca="false">IF(AND(mthbeg&lt;=A234,mthend&gt;=A234),1,0)</f>
        <v>0</v>
      </c>
      <c r="AA234" s="5" t="n">
        <f aca="false">U234*Z234</f>
        <v>0</v>
      </c>
      <c r="AC234" s="115" t="n">
        <f aca="false">IF(G227=2,F234*(S234-Q234),F234*(Q234-S234))</f>
        <v>0</v>
      </c>
      <c r="AE234" s="116" t="n">
        <f aca="false">IF($G$3=1,F234*(R234-Q234),F234*(Q234-R234))</f>
        <v>0</v>
      </c>
      <c r="AG234" s="116" t="n">
        <f aca="false">AC234+AE234</f>
        <v>0</v>
      </c>
    </row>
    <row r="235" customFormat="false" ht="12" hidden="false" customHeight="true" outlineLevel="0" collapsed="false">
      <c r="A235" s="120" t="n">
        <f aca="false">EDATE(A234,1)</f>
        <v>44136</v>
      </c>
      <c r="B235" s="121" t="e">
        <f aca="false">VLOOKUP(A235,'Inputs-Summary'!$A$32:$B$41,2,FALSE())</f>
        <v>#N/A</v>
      </c>
      <c r="C235" s="122"/>
      <c r="D235" s="123" t="e">
        <f aca="false">B235+C235</f>
        <v>#N/A</v>
      </c>
      <c r="E235" s="111" t="n">
        <f aca="false">IF(Z235=0,0,IF(AND(Z235=1,$H$3=1),D235*U235,IF($H$3=2,D235,"N/A")))</f>
        <v>0</v>
      </c>
      <c r="F235" s="111" t="n">
        <f aca="false">E235*Y235</f>
        <v>0</v>
      </c>
      <c r="G235" s="124" t="n">
        <f aca="false">VLOOKUP($A235,Table,MATCH(G$4,Curves,0))</f>
        <v>3</v>
      </c>
      <c r="H235" s="125" t="n">
        <f aca="false">G235+$H$7</f>
        <v>3</v>
      </c>
      <c r="I235" s="124" t="n">
        <f aca="false">H235</f>
        <v>3</v>
      </c>
      <c r="J235" s="124" t="n">
        <f aca="false">VLOOKUP($A235,Table,MATCH(J$4,Curves,0))</f>
        <v>4</v>
      </c>
      <c r="K235" s="125" t="n">
        <f aca="false">J235+$K$7</f>
        <v>4</v>
      </c>
      <c r="L235" s="126" t="n">
        <f aca="false">K235</f>
        <v>4</v>
      </c>
      <c r="M235" s="124" t="n">
        <f aca="false">VLOOKUP($A235,Table,MATCH(M$4,Curves,0))</f>
        <v>4</v>
      </c>
      <c r="N235" s="125" t="n">
        <f aca="false">M235+$N$7</f>
        <v>4</v>
      </c>
      <c r="O235" s="126" t="n">
        <f aca="false">0.07</f>
        <v>0.07</v>
      </c>
      <c r="P235" s="114"/>
      <c r="Q235" s="126" t="n">
        <f aca="false">M235+J235+G235</f>
        <v>11</v>
      </c>
      <c r="R235" s="126" t="n">
        <f aca="false">N235+K235+H235</f>
        <v>11</v>
      </c>
      <c r="S235" s="126" t="n">
        <f aca="false">O235+L235+I235</f>
        <v>7.07</v>
      </c>
      <c r="T235" s="127"/>
      <c r="U235" s="5" t="n">
        <f aca="false">A236-A235</f>
        <v>30</v>
      </c>
      <c r="V235" s="128" t="n">
        <f aca="false">CHOOSE(F$3,A236+24,A235)</f>
        <v>44136</v>
      </c>
      <c r="W235" s="5" t="n">
        <f aca="false">V235-C$3</f>
        <v>6905</v>
      </c>
      <c r="X235" s="124" t="n">
        <f aca="false">VLOOKUP($A235,Table,MATCH(X$4,Curves,0))</f>
        <v>2</v>
      </c>
      <c r="Y235" s="129" t="n">
        <f aca="false">1/(1+CHOOSE(F$3,(X236+($K$3/10000))/2,(X235+($K$3/10000))/2))^(2*W235/365.25)</f>
        <v>4.15088156359509E-012</v>
      </c>
      <c r="Z235" s="5" t="n">
        <f aca="false">IF(AND(mthbeg&lt;=A235,mthend&gt;=A235),1,0)</f>
        <v>0</v>
      </c>
      <c r="AA235" s="5" t="n">
        <f aca="false">U235*Z235</f>
        <v>0</v>
      </c>
      <c r="AC235" s="115" t="n">
        <f aca="false">IF(G228=2,F235*(S235-Q235),F235*(Q235-S235))</f>
        <v>0</v>
      </c>
      <c r="AE235" s="116" t="n">
        <f aca="false">IF($G$3=1,F235*(R235-Q235),F235*(Q235-R235))</f>
        <v>0</v>
      </c>
      <c r="AG235" s="116" t="n">
        <f aca="false">AC235+AE235</f>
        <v>0</v>
      </c>
    </row>
    <row r="236" customFormat="false" ht="12" hidden="false" customHeight="true" outlineLevel="0" collapsed="false">
      <c r="A236" s="120" t="n">
        <f aca="false">EDATE(A235,1)</f>
        <v>44166</v>
      </c>
      <c r="B236" s="121" t="e">
        <f aca="false">VLOOKUP(A236,'Inputs-Summary'!$A$32:$B$41,2,FALSE())</f>
        <v>#N/A</v>
      </c>
      <c r="C236" s="122"/>
      <c r="D236" s="123" t="e">
        <f aca="false">B236+C236</f>
        <v>#N/A</v>
      </c>
      <c r="E236" s="111" t="n">
        <f aca="false">IF(Z236=0,0,IF(AND(Z236=1,$H$3=1),D236*U236,IF($H$3=2,D236,"N/A")))</f>
        <v>0</v>
      </c>
      <c r="F236" s="111" t="n">
        <f aca="false">E236*Y236</f>
        <v>0</v>
      </c>
      <c r="G236" s="124" t="n">
        <f aca="false">VLOOKUP($A236,Table,MATCH(G$4,Curves,0))</f>
        <v>3</v>
      </c>
      <c r="H236" s="125" t="n">
        <f aca="false">G236+$H$7</f>
        <v>3</v>
      </c>
      <c r="I236" s="124" t="n">
        <f aca="false">H236</f>
        <v>3</v>
      </c>
      <c r="J236" s="124" t="n">
        <f aca="false">VLOOKUP($A236,Table,MATCH(J$4,Curves,0))</f>
        <v>4</v>
      </c>
      <c r="K236" s="125" t="n">
        <f aca="false">J236+$K$7</f>
        <v>4</v>
      </c>
      <c r="L236" s="126" t="n">
        <f aca="false">K236</f>
        <v>4</v>
      </c>
      <c r="M236" s="124" t="n">
        <f aca="false">VLOOKUP($A236,Table,MATCH(M$4,Curves,0))</f>
        <v>4</v>
      </c>
      <c r="N236" s="125" t="n">
        <f aca="false">M236+$N$7</f>
        <v>4</v>
      </c>
      <c r="O236" s="126" t="n">
        <f aca="false">0.07</f>
        <v>0.07</v>
      </c>
      <c r="P236" s="114"/>
      <c r="Q236" s="126" t="n">
        <f aca="false">M236+J236+G236</f>
        <v>11</v>
      </c>
      <c r="R236" s="126" t="n">
        <f aca="false">N236+K236+H236</f>
        <v>11</v>
      </c>
      <c r="S236" s="126" t="n">
        <f aca="false">O236+L236+I236</f>
        <v>7.07</v>
      </c>
      <c r="T236" s="127"/>
      <c r="U236" s="5" t="n">
        <f aca="false">A237-A236</f>
        <v>31</v>
      </c>
      <c r="V236" s="128" t="n">
        <f aca="false">CHOOSE(F$3,A237+24,A236)</f>
        <v>44166</v>
      </c>
      <c r="W236" s="5" t="n">
        <f aca="false">V236-C$3</f>
        <v>6935</v>
      </c>
      <c r="X236" s="124" t="n">
        <f aca="false">VLOOKUP($A236,Table,MATCH(X$4,Curves,0))</f>
        <v>2</v>
      </c>
      <c r="Y236" s="129" t="n">
        <f aca="false">1/(1+CHOOSE(F$3,(X237+($K$3/10000))/2,(X236+($K$3/10000))/2))^(2*W236/365.25)</f>
        <v>3.70416078164214E-012</v>
      </c>
      <c r="Z236" s="5" t="n">
        <f aca="false">IF(AND(mthbeg&lt;=A236,mthend&gt;=A236),1,0)</f>
        <v>0</v>
      </c>
      <c r="AA236" s="5" t="n">
        <f aca="false">U236*Z236</f>
        <v>0</v>
      </c>
      <c r="AC236" s="115" t="n">
        <f aca="false">IF(G229=2,F236*(S236-Q236),F236*(Q236-S236))</f>
        <v>0</v>
      </c>
      <c r="AE236" s="116" t="n">
        <f aca="false">IF($G$3=1,F236*(R236-Q236),F236*(Q236-R236))</f>
        <v>0</v>
      </c>
      <c r="AG236" s="116" t="n">
        <f aca="false">AC236+AE236</f>
        <v>0</v>
      </c>
    </row>
    <row r="237" customFormat="false" ht="12" hidden="false" customHeight="true" outlineLevel="0" collapsed="false">
      <c r="A237" s="120" t="n">
        <f aca="false">EDATE(A236,1)</f>
        <v>44197</v>
      </c>
      <c r="B237" s="121" t="e">
        <f aca="false">VLOOKUP(A237,'Inputs-Summary'!$A$32:$B$41,2,FALSE())</f>
        <v>#N/A</v>
      </c>
      <c r="C237" s="122"/>
      <c r="D237" s="123" t="e">
        <f aca="false">B237+C237</f>
        <v>#N/A</v>
      </c>
      <c r="E237" s="111" t="n">
        <f aca="false">IF(Z237=0,0,IF(AND(Z237=1,$H$3=1),D237*U237,IF($H$3=2,D237,"N/A")))</f>
        <v>0</v>
      </c>
      <c r="F237" s="111" t="n">
        <f aca="false">E237*Y237</f>
        <v>0</v>
      </c>
      <c r="G237" s="124" t="n">
        <f aca="false">VLOOKUP($A237,Table,MATCH(G$4,Curves,0))</f>
        <v>3</v>
      </c>
      <c r="H237" s="125" t="n">
        <f aca="false">G237+$H$7</f>
        <v>3</v>
      </c>
      <c r="I237" s="124" t="n">
        <f aca="false">H237</f>
        <v>3</v>
      </c>
      <c r="J237" s="124" t="n">
        <f aca="false">VLOOKUP($A237,Table,MATCH(J$4,Curves,0))</f>
        <v>4</v>
      </c>
      <c r="K237" s="125" t="n">
        <f aca="false">J237+$K$7</f>
        <v>4</v>
      </c>
      <c r="L237" s="126" t="n">
        <f aca="false">K237</f>
        <v>4</v>
      </c>
      <c r="M237" s="124" t="n">
        <f aca="false">VLOOKUP($A237,Table,MATCH(M$4,Curves,0))</f>
        <v>4</v>
      </c>
      <c r="N237" s="125" t="n">
        <f aca="false">M237+$N$7</f>
        <v>4</v>
      </c>
      <c r="O237" s="126" t="n">
        <f aca="false">0.07</f>
        <v>0.07</v>
      </c>
      <c r="P237" s="114"/>
      <c r="Q237" s="126" t="n">
        <f aca="false">M237+J237+G237</f>
        <v>11</v>
      </c>
      <c r="R237" s="126" t="n">
        <f aca="false">N237+K237+H237</f>
        <v>11</v>
      </c>
      <c r="S237" s="126" t="n">
        <f aca="false">O237+L237+I237</f>
        <v>7.07</v>
      </c>
      <c r="T237" s="127"/>
      <c r="U237" s="5" t="n">
        <f aca="false">A238-A237</f>
        <v>31</v>
      </c>
      <c r="V237" s="128" t="n">
        <f aca="false">CHOOSE(F$3,A238+24,A237)</f>
        <v>44197</v>
      </c>
      <c r="W237" s="5" t="n">
        <f aca="false">V237-C$3</f>
        <v>6966</v>
      </c>
      <c r="X237" s="124" t="n">
        <f aca="false">VLOOKUP($A237,Table,MATCH(X$4,Curves,0))</f>
        <v>2</v>
      </c>
      <c r="Y237" s="129" t="n">
        <f aca="false">1/(1+CHOOSE(F$3,(X238+($K$3/10000))/2,(X237+($K$3/10000))/2))^(2*W237/365.25)</f>
        <v>3.29299420326127E-012</v>
      </c>
      <c r="Z237" s="5" t="n">
        <f aca="false">IF(AND(mthbeg&lt;=A237,mthend&gt;=A237),1,0)</f>
        <v>0</v>
      </c>
      <c r="AA237" s="5" t="n">
        <f aca="false">U237*Z237</f>
        <v>0</v>
      </c>
      <c r="AC237" s="115" t="n">
        <f aca="false">IF(G230=2,F237*(S237-Q237),F237*(Q237-S237))</f>
        <v>0</v>
      </c>
      <c r="AE237" s="116" t="n">
        <f aca="false">IF($G$3=1,F237*(R237-Q237),F237*(Q237-R237))</f>
        <v>0</v>
      </c>
      <c r="AG237" s="116" t="n">
        <f aca="false">AC237+AE237</f>
        <v>0</v>
      </c>
    </row>
    <row r="238" customFormat="false" ht="12" hidden="false" customHeight="true" outlineLevel="0" collapsed="false">
      <c r="A238" s="120" t="n">
        <f aca="false">EDATE(A237,1)</f>
        <v>44228</v>
      </c>
      <c r="B238" s="121" t="e">
        <f aca="false">VLOOKUP(A238,'Inputs-Summary'!$A$32:$B$41,2,FALSE())</f>
        <v>#N/A</v>
      </c>
      <c r="C238" s="122"/>
      <c r="D238" s="123" t="e">
        <f aca="false">B238+C238</f>
        <v>#N/A</v>
      </c>
      <c r="E238" s="111" t="n">
        <f aca="false">IF(Z238=0,0,IF(AND(Z238=1,$H$3=1),D238*U238,IF($H$3=2,D238,"N/A")))</f>
        <v>0</v>
      </c>
      <c r="F238" s="111" t="n">
        <f aca="false">E238*Y238</f>
        <v>0</v>
      </c>
      <c r="G238" s="124" t="n">
        <f aca="false">VLOOKUP($A238,Table,MATCH(G$4,Curves,0))</f>
        <v>3</v>
      </c>
      <c r="H238" s="125" t="n">
        <f aca="false">G238+$H$7</f>
        <v>3</v>
      </c>
      <c r="I238" s="124" t="n">
        <f aca="false">H238</f>
        <v>3</v>
      </c>
      <c r="J238" s="124" t="n">
        <f aca="false">VLOOKUP($A238,Table,MATCH(J$4,Curves,0))</f>
        <v>4</v>
      </c>
      <c r="K238" s="125" t="n">
        <f aca="false">J238+$K$7</f>
        <v>4</v>
      </c>
      <c r="L238" s="126" t="n">
        <f aca="false">K238</f>
        <v>4</v>
      </c>
      <c r="M238" s="124" t="n">
        <f aca="false">VLOOKUP($A238,Table,MATCH(M$4,Curves,0))</f>
        <v>4</v>
      </c>
      <c r="N238" s="125" t="n">
        <f aca="false">M238+$N$7</f>
        <v>4</v>
      </c>
      <c r="O238" s="126" t="n">
        <f aca="false">0.07</f>
        <v>0.07</v>
      </c>
      <c r="P238" s="114"/>
      <c r="Q238" s="126" t="n">
        <f aca="false">M238+J238+G238</f>
        <v>11</v>
      </c>
      <c r="R238" s="126" t="n">
        <f aca="false">N238+K238+H238</f>
        <v>11</v>
      </c>
      <c r="S238" s="126" t="n">
        <f aca="false">O238+L238+I238</f>
        <v>7.07</v>
      </c>
      <c r="T238" s="127"/>
      <c r="U238" s="5" t="n">
        <f aca="false">A239-A238</f>
        <v>28</v>
      </c>
      <c r="V238" s="128" t="n">
        <f aca="false">CHOOSE(F$3,A239+24,A238)</f>
        <v>44228</v>
      </c>
      <c r="W238" s="5" t="n">
        <f aca="false">V238-C$3</f>
        <v>6997</v>
      </c>
      <c r="X238" s="124" t="n">
        <f aca="false">VLOOKUP($A238,Table,MATCH(X$4,Curves,0))</f>
        <v>2</v>
      </c>
      <c r="Y238" s="129" t="n">
        <f aca="false">1/(1+CHOOSE(F$3,(X239+($K$3/10000))/2,(X238+($K$3/10000))/2))^(2*W238/365.25)</f>
        <v>2.92746764029638E-012</v>
      </c>
      <c r="Z238" s="5" t="n">
        <f aca="false">IF(AND(mthbeg&lt;=A238,mthend&gt;=A238),1,0)</f>
        <v>0</v>
      </c>
      <c r="AA238" s="5" t="n">
        <f aca="false">U238*Z238</f>
        <v>0</v>
      </c>
      <c r="AC238" s="115" t="n">
        <f aca="false">IF(G231=2,F238*(S238-Q238),F238*(Q238-S238))</f>
        <v>0</v>
      </c>
      <c r="AE238" s="116" t="n">
        <f aca="false">IF($G$3=1,F238*(R238-Q238),F238*(Q238-R238))</f>
        <v>0</v>
      </c>
      <c r="AG238" s="116" t="n">
        <f aca="false">AC238+AE238</f>
        <v>0</v>
      </c>
    </row>
    <row r="239" customFormat="false" ht="12" hidden="false" customHeight="true" outlineLevel="0" collapsed="false">
      <c r="A239" s="120" t="n">
        <f aca="false">EDATE(A238,1)</f>
        <v>44256</v>
      </c>
      <c r="B239" s="121" t="e">
        <f aca="false">VLOOKUP(A239,'Inputs-Summary'!$A$32:$B$41,2,FALSE())</f>
        <v>#N/A</v>
      </c>
      <c r="C239" s="122"/>
      <c r="D239" s="123" t="e">
        <f aca="false">B239+C239</f>
        <v>#N/A</v>
      </c>
      <c r="E239" s="111" t="n">
        <f aca="false">IF(Z239=0,0,IF(AND(Z239=1,$H$3=1),D239*U239,IF($H$3=2,D239,"N/A")))</f>
        <v>0</v>
      </c>
      <c r="F239" s="111" t="n">
        <f aca="false">E239*Y239</f>
        <v>0</v>
      </c>
      <c r="G239" s="124" t="n">
        <f aca="false">VLOOKUP($A239,Table,MATCH(G$4,Curves,0))</f>
        <v>3</v>
      </c>
      <c r="H239" s="125" t="n">
        <f aca="false">G239+$H$7</f>
        <v>3</v>
      </c>
      <c r="I239" s="124" t="n">
        <f aca="false">H239</f>
        <v>3</v>
      </c>
      <c r="J239" s="124" t="n">
        <f aca="false">VLOOKUP($A239,Table,MATCH(J$4,Curves,0))</f>
        <v>4</v>
      </c>
      <c r="K239" s="125" t="n">
        <f aca="false">J239+$K$7</f>
        <v>4</v>
      </c>
      <c r="L239" s="126" t="n">
        <f aca="false">K239</f>
        <v>4</v>
      </c>
      <c r="M239" s="124" t="n">
        <f aca="false">VLOOKUP($A239,Table,MATCH(M$4,Curves,0))</f>
        <v>4</v>
      </c>
      <c r="N239" s="125" t="n">
        <f aca="false">M239+$N$7</f>
        <v>4</v>
      </c>
      <c r="O239" s="126" t="n">
        <f aca="false">0.07</f>
        <v>0.07</v>
      </c>
      <c r="P239" s="114"/>
      <c r="Q239" s="126" t="n">
        <f aca="false">M239+J239+G239</f>
        <v>11</v>
      </c>
      <c r="R239" s="126" t="n">
        <f aca="false">N239+K239+H239</f>
        <v>11</v>
      </c>
      <c r="S239" s="126" t="n">
        <f aca="false">O239+L239+I239</f>
        <v>7.07</v>
      </c>
      <c r="T239" s="127"/>
      <c r="U239" s="5" t="n">
        <f aca="false">A240-A239</f>
        <v>31</v>
      </c>
      <c r="V239" s="128" t="n">
        <f aca="false">CHOOSE(F$3,A240+24,A239)</f>
        <v>44256</v>
      </c>
      <c r="W239" s="5" t="n">
        <f aca="false">V239-C$3</f>
        <v>7025</v>
      </c>
      <c r="X239" s="124" t="n">
        <f aca="false">VLOOKUP($A239,Table,MATCH(X$4,Curves,0))</f>
        <v>2</v>
      </c>
      <c r="Y239" s="129" t="n">
        <f aca="false">1/(1+CHOOSE(F$3,(X240+($K$3/10000))/2,(X239+($K$3/10000))/2))^(2*W239/365.25)</f>
        <v>2.63231762325765E-012</v>
      </c>
      <c r="Z239" s="5" t="n">
        <f aca="false">IF(AND(mthbeg&lt;=A239,mthend&gt;=A239),1,0)</f>
        <v>0</v>
      </c>
      <c r="AA239" s="5" t="n">
        <f aca="false">U239*Z239</f>
        <v>0</v>
      </c>
      <c r="AC239" s="115" t="n">
        <f aca="false">IF(G232=2,F239*(S239-Q239),F239*(Q239-S239))</f>
        <v>0</v>
      </c>
      <c r="AE239" s="116" t="n">
        <f aca="false">IF($G$3=1,F239*(R239-Q239),F239*(Q239-R239))</f>
        <v>0</v>
      </c>
      <c r="AG239" s="116" t="n">
        <f aca="false">AC239+AE239</f>
        <v>0</v>
      </c>
    </row>
    <row r="240" customFormat="false" ht="12" hidden="false" customHeight="true" outlineLevel="0" collapsed="false">
      <c r="A240" s="120" t="n">
        <f aca="false">EDATE(A239,1)</f>
        <v>44287</v>
      </c>
      <c r="B240" s="121" t="e">
        <f aca="false">VLOOKUP(A240,'Inputs-Summary'!$A$32:$B$41,2,FALSE())</f>
        <v>#N/A</v>
      </c>
      <c r="C240" s="122"/>
      <c r="D240" s="123" t="e">
        <f aca="false">B240+C240</f>
        <v>#N/A</v>
      </c>
      <c r="E240" s="111" t="n">
        <f aca="false">IF(Z240=0,0,IF(AND(Z240=1,$H$3=1),D240*U240,IF($H$3=2,D240,"N/A")))</f>
        <v>0</v>
      </c>
      <c r="F240" s="111" t="n">
        <f aca="false">E240*Y240</f>
        <v>0</v>
      </c>
      <c r="G240" s="124" t="n">
        <f aca="false">VLOOKUP($A240,Table,MATCH(G$4,Curves,0))</f>
        <v>3</v>
      </c>
      <c r="H240" s="125" t="n">
        <f aca="false">G240+$H$7</f>
        <v>3</v>
      </c>
      <c r="I240" s="124" t="n">
        <f aca="false">H240</f>
        <v>3</v>
      </c>
      <c r="J240" s="124" t="n">
        <f aca="false">VLOOKUP($A240,Table,MATCH(J$4,Curves,0))</f>
        <v>4</v>
      </c>
      <c r="K240" s="125" t="n">
        <f aca="false">J240+$K$7</f>
        <v>4</v>
      </c>
      <c r="L240" s="126" t="n">
        <f aca="false">K240</f>
        <v>4</v>
      </c>
      <c r="M240" s="124" t="n">
        <f aca="false">VLOOKUP($A240,Table,MATCH(M$4,Curves,0))</f>
        <v>4</v>
      </c>
      <c r="N240" s="125" t="n">
        <f aca="false">M240+$N$7</f>
        <v>4</v>
      </c>
      <c r="O240" s="126" t="n">
        <f aca="false">0.07</f>
        <v>0.07</v>
      </c>
      <c r="P240" s="114"/>
      <c r="Q240" s="126" t="n">
        <f aca="false">M240+J240+G240</f>
        <v>11</v>
      </c>
      <c r="R240" s="126" t="n">
        <f aca="false">N240+K240+H240</f>
        <v>11</v>
      </c>
      <c r="S240" s="126" t="n">
        <f aca="false">O240+L240+I240</f>
        <v>7.07</v>
      </c>
      <c r="T240" s="127"/>
      <c r="U240" s="5" t="n">
        <f aca="false">A241-A240</f>
        <v>30</v>
      </c>
      <c r="V240" s="128" t="n">
        <f aca="false">CHOOSE(F$3,A241+24,A240)</f>
        <v>44287</v>
      </c>
      <c r="W240" s="5" t="n">
        <f aca="false">V240-C$3</f>
        <v>7056</v>
      </c>
      <c r="X240" s="124" t="n">
        <f aca="false">VLOOKUP($A240,Table,MATCH(X$4,Curves,0))</f>
        <v>2</v>
      </c>
      <c r="Y240" s="129" t="n">
        <f aca="false">1/(1+CHOOSE(F$3,(X241+($K$3/10000))/2,(X240+($K$3/10000))/2))^(2*W240/365.25)</f>
        <v>2.3401270046078E-012</v>
      </c>
      <c r="Z240" s="5" t="n">
        <f aca="false">IF(AND(mthbeg&lt;=A240,mthend&gt;=A240),1,0)</f>
        <v>0</v>
      </c>
      <c r="AA240" s="5" t="n">
        <f aca="false">U240*Z240</f>
        <v>0</v>
      </c>
      <c r="AC240" s="115" t="n">
        <f aca="false">IF(G233=2,F240*(S240-Q240),F240*(Q240-S240))</f>
        <v>0</v>
      </c>
      <c r="AE240" s="116" t="n">
        <f aca="false">IF($G$3=1,F240*(R240-Q240),F240*(Q240-R240))</f>
        <v>0</v>
      </c>
      <c r="AG240" s="116" t="n">
        <f aca="false">AC240+AE240</f>
        <v>0</v>
      </c>
    </row>
    <row r="241" customFormat="false" ht="12" hidden="false" customHeight="true" outlineLevel="0" collapsed="false">
      <c r="A241" s="120" t="n">
        <f aca="false">EDATE(A240,1)</f>
        <v>44317</v>
      </c>
      <c r="B241" s="121" t="e">
        <f aca="false">VLOOKUP(A241,'Inputs-Summary'!$A$32:$B$41,2,FALSE())</f>
        <v>#N/A</v>
      </c>
      <c r="C241" s="122"/>
      <c r="D241" s="123" t="e">
        <f aca="false">B241+C241</f>
        <v>#N/A</v>
      </c>
      <c r="E241" s="111" t="n">
        <f aca="false">IF(Z241=0,0,IF(AND(Z241=1,$H$3=1),D241*U241,IF($H$3=2,D241,"N/A")))</f>
        <v>0</v>
      </c>
      <c r="F241" s="111" t="n">
        <f aca="false">E241*Y241</f>
        <v>0</v>
      </c>
      <c r="G241" s="124" t="n">
        <f aca="false">VLOOKUP($A241,Table,MATCH(G$4,Curves,0))</f>
        <v>3</v>
      </c>
      <c r="H241" s="125" t="n">
        <f aca="false">G241+$H$7</f>
        <v>3</v>
      </c>
      <c r="I241" s="124" t="n">
        <f aca="false">H241</f>
        <v>3</v>
      </c>
      <c r="J241" s="124" t="n">
        <f aca="false">VLOOKUP($A241,Table,MATCH(J$4,Curves,0))</f>
        <v>4</v>
      </c>
      <c r="K241" s="125" t="n">
        <f aca="false">J241+$K$7</f>
        <v>4</v>
      </c>
      <c r="L241" s="126" t="n">
        <f aca="false">K241</f>
        <v>4</v>
      </c>
      <c r="M241" s="124" t="n">
        <f aca="false">VLOOKUP($A241,Table,MATCH(M$4,Curves,0))</f>
        <v>4</v>
      </c>
      <c r="N241" s="125" t="n">
        <f aca="false">M241+$N$7</f>
        <v>4</v>
      </c>
      <c r="O241" s="126" t="n">
        <f aca="false">0.07</f>
        <v>0.07</v>
      </c>
      <c r="P241" s="114"/>
      <c r="Q241" s="126" t="n">
        <f aca="false">M241+J241+G241</f>
        <v>11</v>
      </c>
      <c r="R241" s="126" t="n">
        <f aca="false">N241+K241+H241</f>
        <v>11</v>
      </c>
      <c r="S241" s="126" t="n">
        <f aca="false">O241+L241+I241</f>
        <v>7.07</v>
      </c>
      <c r="T241" s="127"/>
      <c r="U241" s="5" t="n">
        <f aca="false">A242-A241</f>
        <v>31</v>
      </c>
      <c r="V241" s="128" t="n">
        <f aca="false">CHOOSE(F$3,A242+24,A241)</f>
        <v>44317</v>
      </c>
      <c r="W241" s="5" t="n">
        <f aca="false">V241-C$3</f>
        <v>7086</v>
      </c>
      <c r="X241" s="124" t="n">
        <f aca="false">VLOOKUP($A241,Table,MATCH(X$4,Curves,0))</f>
        <v>2</v>
      </c>
      <c r="Y241" s="129" t="n">
        <f aca="false">1/(1+CHOOSE(F$3,(X242+($K$3/10000))/2,(X241+($K$3/10000))/2))^(2*W241/365.25)</f>
        <v>2.08828089689516E-012</v>
      </c>
      <c r="Z241" s="5" t="n">
        <f aca="false">IF(AND(mthbeg&lt;=A241,mthend&gt;=A241),1,0)</f>
        <v>0</v>
      </c>
      <c r="AA241" s="5" t="n">
        <f aca="false">U241*Z241</f>
        <v>0</v>
      </c>
      <c r="AC241" s="115" t="n">
        <f aca="false">IF(G234=2,F241*(S241-Q241),F241*(Q241-S241))</f>
        <v>0</v>
      </c>
      <c r="AE241" s="116" t="n">
        <f aca="false">IF($G$3=1,F241*(R241-Q241),F241*(Q241-R241))</f>
        <v>0</v>
      </c>
      <c r="AG241" s="116" t="n">
        <f aca="false">AC241+AE241</f>
        <v>0</v>
      </c>
    </row>
    <row r="242" customFormat="false" ht="12" hidden="false" customHeight="true" outlineLevel="0" collapsed="false">
      <c r="A242" s="120" t="n">
        <f aca="false">EDATE(A241,1)</f>
        <v>44348</v>
      </c>
      <c r="B242" s="121" t="e">
        <f aca="false">VLOOKUP(A242,'Inputs-Summary'!$A$32:$B$41,2,FALSE())</f>
        <v>#N/A</v>
      </c>
      <c r="C242" s="122"/>
      <c r="D242" s="123" t="e">
        <f aca="false">B242+C242</f>
        <v>#N/A</v>
      </c>
      <c r="E242" s="111" t="n">
        <f aca="false">IF(Z242=0,0,IF(AND(Z242=1,$H$3=1),D242*U242,IF($H$3=2,D242,"N/A")))</f>
        <v>0</v>
      </c>
      <c r="F242" s="111" t="n">
        <f aca="false">E242*Y242</f>
        <v>0</v>
      </c>
      <c r="G242" s="124" t="n">
        <f aca="false">VLOOKUP($A242,Table,MATCH(G$4,Curves,0))</f>
        <v>3</v>
      </c>
      <c r="H242" s="125" t="n">
        <f aca="false">G242+$H$7</f>
        <v>3</v>
      </c>
      <c r="I242" s="124" t="n">
        <f aca="false">H242</f>
        <v>3</v>
      </c>
      <c r="J242" s="124" t="n">
        <f aca="false">VLOOKUP($A242,Table,MATCH(J$4,Curves,0))</f>
        <v>4</v>
      </c>
      <c r="K242" s="125" t="n">
        <f aca="false">J242+$K$7</f>
        <v>4</v>
      </c>
      <c r="L242" s="126" t="n">
        <f aca="false">K242</f>
        <v>4</v>
      </c>
      <c r="M242" s="124" t="n">
        <f aca="false">VLOOKUP($A242,Table,MATCH(M$4,Curves,0))</f>
        <v>4</v>
      </c>
      <c r="N242" s="125" t="n">
        <f aca="false">M242+$N$7</f>
        <v>4</v>
      </c>
      <c r="O242" s="126" t="n">
        <f aca="false">0.07</f>
        <v>0.07</v>
      </c>
      <c r="P242" s="114"/>
      <c r="Q242" s="126" t="n">
        <f aca="false">M242+J242+G242</f>
        <v>11</v>
      </c>
      <c r="R242" s="126" t="n">
        <f aca="false">N242+K242+H242</f>
        <v>11</v>
      </c>
      <c r="S242" s="126" t="n">
        <f aca="false">O242+L242+I242</f>
        <v>7.07</v>
      </c>
      <c r="T242" s="127"/>
      <c r="U242" s="5" t="n">
        <f aca="false">A243-A242</f>
        <v>30</v>
      </c>
      <c r="V242" s="128" t="n">
        <f aca="false">CHOOSE(F$3,A243+24,A242)</f>
        <v>44348</v>
      </c>
      <c r="W242" s="5" t="n">
        <f aca="false">V242-C$3</f>
        <v>7117</v>
      </c>
      <c r="X242" s="124" t="n">
        <f aca="false">VLOOKUP($A242,Table,MATCH(X$4,Curves,0))</f>
        <v>2</v>
      </c>
      <c r="Y242" s="129" t="n">
        <f aca="false">1/(1+CHOOSE(F$3,(X243+($K$3/10000))/2,(X242+($K$3/10000))/2))^(2*W242/365.25)</f>
        <v>1.85647904981284E-012</v>
      </c>
      <c r="Z242" s="5" t="n">
        <f aca="false">IF(AND(mthbeg&lt;=A242,mthend&gt;=A242),1,0)</f>
        <v>0</v>
      </c>
      <c r="AA242" s="5" t="n">
        <f aca="false">U242*Z242</f>
        <v>0</v>
      </c>
      <c r="AC242" s="115" t="n">
        <f aca="false">IF(G235=2,F242*(S242-Q242),F242*(Q242-S242))</f>
        <v>0</v>
      </c>
      <c r="AE242" s="116" t="n">
        <f aca="false">IF($G$3=1,F242*(R242-Q242),F242*(Q242-R242))</f>
        <v>0</v>
      </c>
      <c r="AG242" s="116" t="n">
        <f aca="false">AC242+AE242</f>
        <v>0</v>
      </c>
    </row>
    <row r="243" customFormat="false" ht="12" hidden="false" customHeight="true" outlineLevel="0" collapsed="false">
      <c r="A243" s="120" t="n">
        <f aca="false">EDATE(A242,1)</f>
        <v>44378</v>
      </c>
      <c r="B243" s="121" t="e">
        <f aca="false">VLOOKUP(A243,'Inputs-Summary'!$A$32:$B$41,2,FALSE())</f>
        <v>#N/A</v>
      </c>
      <c r="C243" s="122"/>
      <c r="D243" s="123" t="e">
        <f aca="false">B243+C243</f>
        <v>#N/A</v>
      </c>
      <c r="E243" s="111" t="n">
        <f aca="false">IF(Z243=0,0,IF(AND(Z243=1,$H$3=1),D243*U243,IF($H$3=2,D243,"N/A")))</f>
        <v>0</v>
      </c>
      <c r="F243" s="111" t="n">
        <f aca="false">E243*Y243</f>
        <v>0</v>
      </c>
      <c r="G243" s="124" t="n">
        <f aca="false">VLOOKUP($A243,Table,MATCH(G$4,Curves,0))</f>
        <v>3</v>
      </c>
      <c r="H243" s="125" t="n">
        <f aca="false">G243+$H$7</f>
        <v>3</v>
      </c>
      <c r="I243" s="124" t="n">
        <f aca="false">H243</f>
        <v>3</v>
      </c>
      <c r="J243" s="124" t="n">
        <f aca="false">VLOOKUP($A243,Table,MATCH(J$4,Curves,0))</f>
        <v>4</v>
      </c>
      <c r="K243" s="125" t="n">
        <f aca="false">J243+$K$7</f>
        <v>4</v>
      </c>
      <c r="L243" s="126" t="n">
        <f aca="false">K243</f>
        <v>4</v>
      </c>
      <c r="M243" s="124" t="n">
        <f aca="false">VLOOKUP($A243,Table,MATCH(M$4,Curves,0))</f>
        <v>4</v>
      </c>
      <c r="N243" s="125" t="n">
        <f aca="false">M243+$N$7</f>
        <v>4</v>
      </c>
      <c r="O243" s="126" t="n">
        <f aca="false">0.07</f>
        <v>0.07</v>
      </c>
      <c r="P243" s="114"/>
      <c r="Q243" s="126" t="n">
        <f aca="false">M243+J243+G243</f>
        <v>11</v>
      </c>
      <c r="R243" s="126" t="n">
        <f aca="false">N243+K243+H243</f>
        <v>11</v>
      </c>
      <c r="S243" s="126" t="n">
        <f aca="false">O243+L243+I243</f>
        <v>7.07</v>
      </c>
      <c r="T243" s="127"/>
      <c r="U243" s="5" t="n">
        <f aca="false">A244-A243</f>
        <v>31</v>
      </c>
      <c r="V243" s="128" t="n">
        <f aca="false">CHOOSE(F$3,A244+24,A243)</f>
        <v>44378</v>
      </c>
      <c r="W243" s="5" t="n">
        <f aca="false">V243-C$3</f>
        <v>7147</v>
      </c>
      <c r="X243" s="124" t="n">
        <f aca="false">VLOOKUP($A243,Table,MATCH(X$4,Curves,0))</f>
        <v>2</v>
      </c>
      <c r="Y243" s="129" t="n">
        <f aca="false">1/(1+CHOOSE(F$3,(X244+($K$3/10000))/2,(X243+($K$3/10000))/2))^(2*W243/365.25)</f>
        <v>1.65668347383563E-012</v>
      </c>
      <c r="Z243" s="5" t="n">
        <f aca="false">IF(AND(mthbeg&lt;=A243,mthend&gt;=A243),1,0)</f>
        <v>0</v>
      </c>
      <c r="AA243" s="5" t="n">
        <f aca="false">U243*Z243</f>
        <v>0</v>
      </c>
      <c r="AC243" s="115" t="n">
        <f aca="false">IF(G236=2,F243*(S243-Q243),F243*(Q243-S243))</f>
        <v>0</v>
      </c>
      <c r="AE243" s="116" t="n">
        <f aca="false">IF($G$3=1,F243*(R243-Q243),F243*(Q243-R243))</f>
        <v>0</v>
      </c>
      <c r="AG243" s="116" t="n">
        <f aca="false">AC243+AE243</f>
        <v>0</v>
      </c>
    </row>
    <row r="244" customFormat="false" ht="12" hidden="false" customHeight="true" outlineLevel="0" collapsed="false">
      <c r="A244" s="120" t="n">
        <f aca="false">EDATE(A243,1)</f>
        <v>44409</v>
      </c>
      <c r="B244" s="121" t="e">
        <f aca="false">VLOOKUP(A244,'Inputs-Summary'!$A$32:$B$41,2,FALSE())</f>
        <v>#N/A</v>
      </c>
      <c r="C244" s="122"/>
      <c r="D244" s="123" t="e">
        <f aca="false">B244+C244</f>
        <v>#N/A</v>
      </c>
      <c r="E244" s="111" t="n">
        <f aca="false">IF(Z244=0,0,IF(AND(Z244=1,$H$3=1),D244*U244,IF($H$3=2,D244,"N/A")))</f>
        <v>0</v>
      </c>
      <c r="F244" s="111" t="n">
        <f aca="false">E244*Y244</f>
        <v>0</v>
      </c>
      <c r="G244" s="124" t="n">
        <f aca="false">VLOOKUP($A244,Table,MATCH(G$4,Curves,0))</f>
        <v>3</v>
      </c>
      <c r="H244" s="125" t="n">
        <f aca="false">G244+$H$7</f>
        <v>3</v>
      </c>
      <c r="I244" s="124" t="n">
        <f aca="false">H244</f>
        <v>3</v>
      </c>
      <c r="J244" s="124" t="n">
        <f aca="false">VLOOKUP($A244,Table,MATCH(J$4,Curves,0))</f>
        <v>4</v>
      </c>
      <c r="K244" s="125" t="n">
        <f aca="false">J244+$K$7</f>
        <v>4</v>
      </c>
      <c r="L244" s="126" t="n">
        <f aca="false">K244</f>
        <v>4</v>
      </c>
      <c r="M244" s="124" t="n">
        <f aca="false">VLOOKUP($A244,Table,MATCH(M$4,Curves,0))</f>
        <v>4</v>
      </c>
      <c r="N244" s="125" t="n">
        <f aca="false">M244+$N$7</f>
        <v>4</v>
      </c>
      <c r="O244" s="126" t="n">
        <f aca="false">0.07</f>
        <v>0.07</v>
      </c>
      <c r="P244" s="114"/>
      <c r="Q244" s="126" t="n">
        <f aca="false">M244+J244+G244</f>
        <v>11</v>
      </c>
      <c r="R244" s="126" t="n">
        <f aca="false">N244+K244+H244</f>
        <v>11</v>
      </c>
      <c r="S244" s="126" t="n">
        <f aca="false">O244+L244+I244</f>
        <v>7.07</v>
      </c>
      <c r="T244" s="127"/>
      <c r="U244" s="5" t="n">
        <f aca="false">A245-A244</f>
        <v>31</v>
      </c>
      <c r="V244" s="128" t="n">
        <f aca="false">CHOOSE(F$3,A245+24,A244)</f>
        <v>44409</v>
      </c>
      <c r="W244" s="5" t="n">
        <f aca="false">V244-C$3</f>
        <v>7178</v>
      </c>
      <c r="X244" s="124" t="n">
        <f aca="false">VLOOKUP($A244,Table,MATCH(X$4,Curves,0))</f>
        <v>2</v>
      </c>
      <c r="Y244" s="129" t="n">
        <f aca="false">1/(1+CHOOSE(F$3,(X245+($K$3/10000))/2,(X244+($K$3/10000))/2))^(2*W244/365.25)</f>
        <v>1.47278949202657E-012</v>
      </c>
      <c r="Z244" s="5" t="n">
        <f aca="false">IF(AND(mthbeg&lt;=A244,mthend&gt;=A244),1,0)</f>
        <v>0</v>
      </c>
      <c r="AA244" s="5" t="n">
        <f aca="false">U244*Z244</f>
        <v>0</v>
      </c>
      <c r="AC244" s="115" t="n">
        <f aca="false">IF(G237=2,F244*(S244-Q244),F244*(Q244-S244))</f>
        <v>0</v>
      </c>
      <c r="AE244" s="116" t="n">
        <f aca="false">IF($G$3=1,F244*(R244-Q244),F244*(Q244-R244))</f>
        <v>0</v>
      </c>
      <c r="AG244" s="116" t="n">
        <f aca="false">AC244+AE244</f>
        <v>0</v>
      </c>
    </row>
    <row r="245" customFormat="false" ht="12" hidden="false" customHeight="true" outlineLevel="0" collapsed="false">
      <c r="A245" s="120" t="n">
        <f aca="false">EDATE(A244,1)</f>
        <v>44440</v>
      </c>
      <c r="B245" s="121" t="e">
        <f aca="false">VLOOKUP(A245,'Inputs-Summary'!$A$32:$B$41,2,FALSE())</f>
        <v>#N/A</v>
      </c>
      <c r="C245" s="122"/>
      <c r="D245" s="123" t="e">
        <f aca="false">B245+C245</f>
        <v>#N/A</v>
      </c>
      <c r="E245" s="111" t="n">
        <f aca="false">IF(Z245=0,0,IF(AND(Z245=1,$H$3=1),D245*U245,IF($H$3=2,D245,"N/A")))</f>
        <v>0</v>
      </c>
      <c r="F245" s="111" t="n">
        <f aca="false">E245*Y245</f>
        <v>0</v>
      </c>
      <c r="G245" s="124" t="n">
        <f aca="false">VLOOKUP($A245,Table,MATCH(G$4,Curves,0))</f>
        <v>3</v>
      </c>
      <c r="H245" s="125" t="n">
        <f aca="false">G245+$H$7</f>
        <v>3</v>
      </c>
      <c r="I245" s="124" t="n">
        <f aca="false">H245</f>
        <v>3</v>
      </c>
      <c r="J245" s="124" t="n">
        <f aca="false">VLOOKUP($A245,Table,MATCH(J$4,Curves,0))</f>
        <v>4</v>
      </c>
      <c r="K245" s="125" t="n">
        <f aca="false">J245+$K$7</f>
        <v>4</v>
      </c>
      <c r="L245" s="126" t="n">
        <f aca="false">K245</f>
        <v>4</v>
      </c>
      <c r="M245" s="124" t="n">
        <f aca="false">VLOOKUP($A245,Table,MATCH(M$4,Curves,0))</f>
        <v>4</v>
      </c>
      <c r="N245" s="125" t="n">
        <f aca="false">M245+$N$7</f>
        <v>4</v>
      </c>
      <c r="O245" s="126" t="n">
        <f aca="false">0.07</f>
        <v>0.07</v>
      </c>
      <c r="P245" s="114"/>
      <c r="Q245" s="126" t="n">
        <f aca="false">M245+J245+G245</f>
        <v>11</v>
      </c>
      <c r="R245" s="126" t="n">
        <f aca="false">N245+K245+H245</f>
        <v>11</v>
      </c>
      <c r="S245" s="126" t="n">
        <f aca="false">O245+L245+I245</f>
        <v>7.07</v>
      </c>
      <c r="T245" s="127"/>
      <c r="U245" s="5" t="n">
        <f aca="false">A246-A245</f>
        <v>30</v>
      </c>
      <c r="V245" s="128" t="n">
        <f aca="false">CHOOSE(F$3,A246+24,A245)</f>
        <v>44440</v>
      </c>
      <c r="W245" s="5" t="n">
        <f aca="false">V245-C$3</f>
        <v>7209</v>
      </c>
      <c r="X245" s="124" t="n">
        <f aca="false">VLOOKUP($A245,Table,MATCH(X$4,Curves,0))</f>
        <v>2</v>
      </c>
      <c r="Y245" s="129" t="n">
        <f aca="false">1/(1+CHOOSE(F$3,(X246+($K$3/10000))/2,(X245+($K$3/10000))/2))^(2*W245/365.25)</f>
        <v>1.3093079771007E-012</v>
      </c>
      <c r="Z245" s="5" t="n">
        <f aca="false">IF(AND(mthbeg&lt;=A245,mthend&gt;=A245),1,0)</f>
        <v>0</v>
      </c>
      <c r="AA245" s="5" t="n">
        <f aca="false">U245*Z245</f>
        <v>0</v>
      </c>
      <c r="AC245" s="115" t="n">
        <f aca="false">IF(G238=2,F245*(S245-Q245),F245*(Q245-S245))</f>
        <v>0</v>
      </c>
      <c r="AE245" s="116" t="n">
        <f aca="false">IF($G$3=1,F245*(R245-Q245),F245*(Q245-R245))</f>
        <v>0</v>
      </c>
      <c r="AG245" s="116" t="n">
        <f aca="false">AC245+AE245</f>
        <v>0</v>
      </c>
    </row>
    <row r="246" customFormat="false" ht="12" hidden="false" customHeight="true" outlineLevel="0" collapsed="false">
      <c r="A246" s="120" t="n">
        <f aca="false">EDATE(A245,1)</f>
        <v>44470</v>
      </c>
      <c r="B246" s="121" t="e">
        <f aca="false">VLOOKUP(A246,'Inputs-Summary'!$A$32:$B$41,2,FALSE())</f>
        <v>#N/A</v>
      </c>
      <c r="C246" s="122"/>
      <c r="D246" s="123" t="e">
        <f aca="false">B246+C246</f>
        <v>#N/A</v>
      </c>
      <c r="E246" s="111" t="n">
        <f aca="false">IF(Z246=0,0,IF(AND(Z246=1,$H$3=1),D246*U246,IF($H$3=2,D246,"N/A")))</f>
        <v>0</v>
      </c>
      <c r="F246" s="111" t="n">
        <f aca="false">E246*Y246</f>
        <v>0</v>
      </c>
      <c r="G246" s="124" t="n">
        <f aca="false">VLOOKUP($A246,Table,MATCH(G$4,Curves,0))</f>
        <v>3</v>
      </c>
      <c r="H246" s="125" t="n">
        <f aca="false">G246+$H$7</f>
        <v>3</v>
      </c>
      <c r="I246" s="124" t="n">
        <f aca="false">H246</f>
        <v>3</v>
      </c>
      <c r="J246" s="124" t="n">
        <f aca="false">VLOOKUP($A246,Table,MATCH(J$4,Curves,0))</f>
        <v>4</v>
      </c>
      <c r="K246" s="125" t="n">
        <f aca="false">J246+$K$7</f>
        <v>4</v>
      </c>
      <c r="L246" s="126" t="n">
        <f aca="false">K246</f>
        <v>4</v>
      </c>
      <c r="M246" s="124" t="n">
        <f aca="false">VLOOKUP($A246,Table,MATCH(M$4,Curves,0))</f>
        <v>4</v>
      </c>
      <c r="N246" s="125" t="n">
        <f aca="false">M246+$N$7</f>
        <v>4</v>
      </c>
      <c r="O246" s="126" t="n">
        <f aca="false">0.07</f>
        <v>0.07</v>
      </c>
      <c r="P246" s="114"/>
      <c r="Q246" s="126" t="n">
        <f aca="false">M246+J246+G246</f>
        <v>11</v>
      </c>
      <c r="R246" s="126" t="n">
        <f aca="false">N246+K246+H246</f>
        <v>11</v>
      </c>
      <c r="S246" s="126" t="n">
        <f aca="false">O246+L246+I246</f>
        <v>7.07</v>
      </c>
      <c r="T246" s="127"/>
      <c r="U246" s="5" t="n">
        <f aca="false">A247-A246</f>
        <v>31</v>
      </c>
      <c r="V246" s="128" t="n">
        <f aca="false">CHOOSE(F$3,A247+24,A246)</f>
        <v>44470</v>
      </c>
      <c r="W246" s="5" t="n">
        <f aca="false">V246-C$3</f>
        <v>7239</v>
      </c>
      <c r="X246" s="124" t="n">
        <f aca="false">VLOOKUP($A246,Table,MATCH(X$4,Curves,0))</f>
        <v>2</v>
      </c>
      <c r="Y246" s="129" t="n">
        <f aca="false">1/(1+CHOOSE(F$3,(X247+($K$3/10000))/2,(X246+($K$3/10000))/2))^(2*W246/365.25)</f>
        <v>1.16839933531303E-012</v>
      </c>
      <c r="Z246" s="5" t="n">
        <f aca="false">IF(AND(mthbeg&lt;=A246,mthend&gt;=A246),1,0)</f>
        <v>0</v>
      </c>
      <c r="AA246" s="5" t="n">
        <f aca="false">U246*Z246</f>
        <v>0</v>
      </c>
      <c r="AC246" s="115" t="n">
        <f aca="false">IF(G239=2,F246*(S246-Q246),F246*(Q246-S246))</f>
        <v>0</v>
      </c>
      <c r="AE246" s="116" t="n">
        <f aca="false">IF($G$3=1,F246*(R246-Q246),F246*(Q246-R246))</f>
        <v>0</v>
      </c>
      <c r="AG246" s="116" t="n">
        <f aca="false">AC246+AE246</f>
        <v>0</v>
      </c>
    </row>
    <row r="247" customFormat="false" ht="12" hidden="false" customHeight="true" outlineLevel="0" collapsed="false">
      <c r="A247" s="120" t="n">
        <f aca="false">EDATE(A246,1)</f>
        <v>44501</v>
      </c>
      <c r="B247" s="121" t="e">
        <f aca="false">VLOOKUP(A247,'Inputs-Summary'!$A$32:$B$41,2,FALSE())</f>
        <v>#N/A</v>
      </c>
      <c r="C247" s="122"/>
      <c r="D247" s="123" t="e">
        <f aca="false">B247+C247</f>
        <v>#N/A</v>
      </c>
      <c r="E247" s="111" t="n">
        <f aca="false">IF(Z247=0,0,IF(AND(Z247=1,$H$3=1),D247*U247,IF($H$3=2,D247,"N/A")))</f>
        <v>0</v>
      </c>
      <c r="F247" s="111" t="n">
        <f aca="false">E247*Y247</f>
        <v>0</v>
      </c>
      <c r="G247" s="124" t="n">
        <f aca="false">VLOOKUP($A247,Table,MATCH(G$4,Curves,0))</f>
        <v>3</v>
      </c>
      <c r="H247" s="125" t="n">
        <f aca="false">G247+$H$7</f>
        <v>3</v>
      </c>
      <c r="I247" s="124" t="n">
        <f aca="false">H247</f>
        <v>3</v>
      </c>
      <c r="J247" s="124" t="n">
        <f aca="false">VLOOKUP($A247,Table,MATCH(J$4,Curves,0))</f>
        <v>4</v>
      </c>
      <c r="K247" s="125" t="n">
        <f aca="false">J247+$K$7</f>
        <v>4</v>
      </c>
      <c r="L247" s="126" t="n">
        <f aca="false">K247</f>
        <v>4</v>
      </c>
      <c r="M247" s="124" t="n">
        <f aca="false">VLOOKUP($A247,Table,MATCH(M$4,Curves,0))</f>
        <v>4</v>
      </c>
      <c r="N247" s="125" t="n">
        <f aca="false">M247+$N$7</f>
        <v>4</v>
      </c>
      <c r="O247" s="126" t="n">
        <f aca="false">0.07</f>
        <v>0.07</v>
      </c>
      <c r="P247" s="114"/>
      <c r="Q247" s="126" t="n">
        <f aca="false">M247+J247+G247</f>
        <v>11</v>
      </c>
      <c r="R247" s="126" t="n">
        <f aca="false">N247+K247+H247</f>
        <v>11</v>
      </c>
      <c r="S247" s="126" t="n">
        <f aca="false">O247+L247+I247</f>
        <v>7.07</v>
      </c>
      <c r="T247" s="127"/>
      <c r="U247" s="5" t="n">
        <f aca="false">A248-A247</f>
        <v>30</v>
      </c>
      <c r="V247" s="128" t="n">
        <f aca="false">CHOOSE(F$3,A248+24,A247)</f>
        <v>44501</v>
      </c>
      <c r="W247" s="5" t="n">
        <f aca="false">V247-C$3</f>
        <v>7270</v>
      </c>
      <c r="X247" s="124" t="n">
        <f aca="false">VLOOKUP($A247,Table,MATCH(X$4,Curves,0))</f>
        <v>2</v>
      </c>
      <c r="Y247" s="129" t="n">
        <f aca="false">1/(1+CHOOSE(F$3,(X248+($K$3/10000))/2,(X247+($K$3/10000))/2))^(2*W247/365.25)</f>
        <v>1.03870551660407E-012</v>
      </c>
      <c r="Z247" s="5" t="n">
        <f aca="false">IF(AND(mthbeg&lt;=A247,mthend&gt;=A247),1,0)</f>
        <v>0</v>
      </c>
      <c r="AA247" s="5" t="n">
        <f aca="false">U247*Z247</f>
        <v>0</v>
      </c>
      <c r="AC247" s="115" t="n">
        <f aca="false">IF(G240=2,F247*(S247-Q247),F247*(Q247-S247))</f>
        <v>0</v>
      </c>
      <c r="AE247" s="116" t="n">
        <f aca="false">IF($G$3=1,F247*(R247-Q247),F247*(Q247-R247))</f>
        <v>0</v>
      </c>
      <c r="AG247" s="116" t="n">
        <f aca="false">AC247+AE247</f>
        <v>0</v>
      </c>
    </row>
    <row r="248" customFormat="false" ht="12" hidden="false" customHeight="true" outlineLevel="0" collapsed="false">
      <c r="A248" s="120" t="n">
        <f aca="false">EDATE(A247,1)</f>
        <v>44531</v>
      </c>
      <c r="B248" s="121" t="e">
        <f aca="false">VLOOKUP(A248,'Inputs-Summary'!$A$32:$B$41,2,FALSE())</f>
        <v>#N/A</v>
      </c>
      <c r="C248" s="122"/>
      <c r="D248" s="123" t="e">
        <f aca="false">B248+C248</f>
        <v>#N/A</v>
      </c>
      <c r="E248" s="111" t="n">
        <f aca="false">IF(Z248=0,0,IF(AND(Z248=1,$H$3=1),D248*U248,IF($H$3=2,D248,"N/A")))</f>
        <v>0</v>
      </c>
      <c r="F248" s="111" t="n">
        <f aca="false">E248*Y248</f>
        <v>0</v>
      </c>
      <c r="G248" s="124" t="n">
        <f aca="false">VLOOKUP($A248,Table,MATCH(G$4,Curves,0))</f>
        <v>3</v>
      </c>
      <c r="H248" s="125" t="n">
        <f aca="false">G248+$H$7</f>
        <v>3</v>
      </c>
      <c r="I248" s="124" t="n">
        <f aca="false">H248</f>
        <v>3</v>
      </c>
      <c r="J248" s="124" t="n">
        <f aca="false">VLOOKUP($A248,Table,MATCH(J$4,Curves,0))</f>
        <v>4</v>
      </c>
      <c r="K248" s="125" t="n">
        <f aca="false">J248+$K$7</f>
        <v>4</v>
      </c>
      <c r="L248" s="126" t="n">
        <f aca="false">K248</f>
        <v>4</v>
      </c>
      <c r="M248" s="124" t="n">
        <f aca="false">VLOOKUP($A248,Table,MATCH(M$4,Curves,0))</f>
        <v>4</v>
      </c>
      <c r="N248" s="125" t="n">
        <f aca="false">M248+$N$7</f>
        <v>4</v>
      </c>
      <c r="O248" s="126" t="n">
        <f aca="false">0.07</f>
        <v>0.07</v>
      </c>
      <c r="P248" s="114"/>
      <c r="Q248" s="126" t="n">
        <f aca="false">M248+J248+G248</f>
        <v>11</v>
      </c>
      <c r="R248" s="126" t="n">
        <f aca="false">N248+K248+H248</f>
        <v>11</v>
      </c>
      <c r="S248" s="126" t="n">
        <f aca="false">O248+L248+I248</f>
        <v>7.07</v>
      </c>
      <c r="T248" s="127"/>
      <c r="U248" s="5" t="n">
        <f aca="false">A249-A248</f>
        <v>31</v>
      </c>
      <c r="V248" s="128" t="n">
        <f aca="false">CHOOSE(F$3,A249+24,A248)</f>
        <v>44531</v>
      </c>
      <c r="W248" s="5" t="n">
        <f aca="false">V248-C$3</f>
        <v>7300</v>
      </c>
      <c r="X248" s="124" t="n">
        <f aca="false">VLOOKUP($A248,Table,MATCH(X$4,Curves,0))</f>
        <v>2</v>
      </c>
      <c r="Y248" s="129" t="n">
        <f aca="false">1/(1+CHOOSE(F$3,(X249+($K$3/10000))/2,(X248+($K$3/10000))/2))^(2*W248/365.25)</f>
        <v>9.26919301197255E-013</v>
      </c>
      <c r="Z248" s="5" t="n">
        <f aca="false">IF(AND(mthbeg&lt;=A248,mthend&gt;=A248),1,0)</f>
        <v>0</v>
      </c>
      <c r="AA248" s="5" t="n">
        <f aca="false">U248*Z248</f>
        <v>0</v>
      </c>
      <c r="AC248" s="115" t="n">
        <f aca="false">IF(G241=2,F248*(S248-Q248),F248*(Q248-S248))</f>
        <v>0</v>
      </c>
      <c r="AE248" s="116" t="n">
        <f aca="false">IF($G$3=1,F248*(R248-Q248),F248*(Q248-R248))</f>
        <v>0</v>
      </c>
      <c r="AG248" s="116" t="n">
        <f aca="false">AC248+AE248</f>
        <v>0</v>
      </c>
    </row>
    <row r="249" customFormat="false" ht="12" hidden="false" customHeight="true" outlineLevel="0" collapsed="false">
      <c r="A249" s="120" t="n">
        <f aca="false">EDATE(A248,1)</f>
        <v>44562</v>
      </c>
      <c r="B249" s="121" t="e">
        <f aca="false">VLOOKUP(A249,'Inputs-Summary'!$A$32:$B$41,2,FALSE())</f>
        <v>#N/A</v>
      </c>
      <c r="C249" s="122"/>
      <c r="D249" s="123" t="e">
        <f aca="false">B249+C249</f>
        <v>#N/A</v>
      </c>
      <c r="E249" s="111" t="n">
        <f aca="false">IF(Z249=0,0,IF(AND(Z249=1,$H$3=1),D249*U249,IF($H$3=2,D249,"N/A")))</f>
        <v>0</v>
      </c>
      <c r="F249" s="111" t="n">
        <f aca="false">E249*Y249</f>
        <v>0</v>
      </c>
      <c r="G249" s="124" t="n">
        <f aca="false">VLOOKUP($A249,Table,MATCH(G$4,Curves,0))</f>
        <v>3</v>
      </c>
      <c r="H249" s="125" t="n">
        <f aca="false">G249+$H$7</f>
        <v>3</v>
      </c>
      <c r="I249" s="124" t="n">
        <f aca="false">H249</f>
        <v>3</v>
      </c>
      <c r="J249" s="124" t="n">
        <f aca="false">VLOOKUP($A249,Table,MATCH(J$4,Curves,0))</f>
        <v>4</v>
      </c>
      <c r="K249" s="125" t="n">
        <f aca="false">J249+$K$7</f>
        <v>4</v>
      </c>
      <c r="L249" s="126" t="n">
        <f aca="false">K249</f>
        <v>4</v>
      </c>
      <c r="M249" s="124" t="n">
        <f aca="false">VLOOKUP($A249,Table,MATCH(M$4,Curves,0))</f>
        <v>4</v>
      </c>
      <c r="N249" s="125" t="n">
        <f aca="false">M249+$N$7</f>
        <v>4</v>
      </c>
      <c r="O249" s="126" t="n">
        <f aca="false">0.07</f>
        <v>0.07</v>
      </c>
      <c r="P249" s="114"/>
      <c r="Q249" s="126" t="n">
        <f aca="false">M249+J249+G249</f>
        <v>11</v>
      </c>
      <c r="R249" s="126" t="n">
        <f aca="false">N249+K249+H249</f>
        <v>11</v>
      </c>
      <c r="S249" s="126" t="n">
        <f aca="false">O249+L249+I249</f>
        <v>7.07</v>
      </c>
      <c r="T249" s="127"/>
      <c r="U249" s="5" t="n">
        <f aca="false">A250-A249</f>
        <v>31</v>
      </c>
      <c r="V249" s="128" t="n">
        <f aca="false">CHOOSE(F$3,A250+24,A249)</f>
        <v>44562</v>
      </c>
      <c r="W249" s="5" t="n">
        <f aca="false">V249-C$3</f>
        <v>7331</v>
      </c>
      <c r="X249" s="124" t="n">
        <f aca="false">VLOOKUP($A249,Table,MATCH(X$4,Curves,0))</f>
        <v>2</v>
      </c>
      <c r="Y249" s="129" t="n">
        <f aca="false">1/(1+CHOOSE(F$3,(X250+($K$3/10000))/2,(X249+($K$3/10000))/2))^(2*W249/365.25)</f>
        <v>8.2403007473676E-013</v>
      </c>
      <c r="Z249" s="5" t="n">
        <f aca="false">IF(AND(mthbeg&lt;=A249,mthend&gt;=A249),1,0)</f>
        <v>0</v>
      </c>
      <c r="AA249" s="5" t="n">
        <f aca="false">U249*Z249</f>
        <v>0</v>
      </c>
      <c r="AC249" s="115" t="n">
        <f aca="false">IF(G242=2,F249*(S249-Q249),F249*(Q249-S249))</f>
        <v>0</v>
      </c>
      <c r="AE249" s="116" t="n">
        <f aca="false">IF($G$3=1,F249*(R249-Q249),F249*(Q249-R249))</f>
        <v>0</v>
      </c>
      <c r="AG249" s="116" t="n">
        <f aca="false">AC249+AE249</f>
        <v>0</v>
      </c>
    </row>
    <row r="250" customFormat="false" ht="12" hidden="false" customHeight="true" outlineLevel="0" collapsed="false">
      <c r="A250" s="120" t="n">
        <f aca="false">EDATE(A249,1)</f>
        <v>44593</v>
      </c>
      <c r="B250" s="121" t="e">
        <f aca="false">VLOOKUP(A250,'Inputs-Summary'!$A$32:$B$41,2,FALSE())</f>
        <v>#N/A</v>
      </c>
      <c r="C250" s="122"/>
      <c r="D250" s="123" t="e">
        <f aca="false">B250+C250</f>
        <v>#N/A</v>
      </c>
      <c r="E250" s="111" t="n">
        <f aca="false">IF(Z250=0,0,IF(AND(Z250=1,$H$3=1),D250*U250,IF($H$3=2,D250,"N/A")))</f>
        <v>0</v>
      </c>
      <c r="F250" s="111" t="n">
        <f aca="false">E250*Y250</f>
        <v>0</v>
      </c>
      <c r="G250" s="124" t="n">
        <f aca="false">VLOOKUP($A250,Table,MATCH(G$4,Curves,0))</f>
        <v>3</v>
      </c>
      <c r="H250" s="125" t="n">
        <f aca="false">G250+$H$7</f>
        <v>3</v>
      </c>
      <c r="I250" s="124" t="n">
        <f aca="false">H250</f>
        <v>3</v>
      </c>
      <c r="J250" s="124" t="n">
        <f aca="false">VLOOKUP($A250,Table,MATCH(J$4,Curves,0))</f>
        <v>4</v>
      </c>
      <c r="K250" s="125" t="n">
        <f aca="false">J250+$K$7</f>
        <v>4</v>
      </c>
      <c r="L250" s="126" t="n">
        <f aca="false">K250</f>
        <v>4</v>
      </c>
      <c r="M250" s="124" t="n">
        <f aca="false">VLOOKUP($A250,Table,MATCH(M$4,Curves,0))</f>
        <v>4</v>
      </c>
      <c r="N250" s="125" t="n">
        <f aca="false">M250+$N$7</f>
        <v>4</v>
      </c>
      <c r="O250" s="126" t="n">
        <f aca="false">0.07</f>
        <v>0.07</v>
      </c>
      <c r="P250" s="114"/>
      <c r="Q250" s="126" t="n">
        <f aca="false">M250+J250+G250</f>
        <v>11</v>
      </c>
      <c r="R250" s="126" t="n">
        <f aca="false">N250+K250+H250</f>
        <v>11</v>
      </c>
      <c r="S250" s="126" t="n">
        <f aca="false">O250+L250+I250</f>
        <v>7.07</v>
      </c>
      <c r="T250" s="127"/>
      <c r="U250" s="5" t="n">
        <f aca="false">A251-A250</f>
        <v>28</v>
      </c>
      <c r="V250" s="128" t="n">
        <f aca="false">CHOOSE(F$3,A251+24,A250)</f>
        <v>44593</v>
      </c>
      <c r="W250" s="5" t="n">
        <f aca="false">V250-C$3</f>
        <v>7362</v>
      </c>
      <c r="X250" s="124" t="n">
        <f aca="false">VLOOKUP($A250,Table,MATCH(X$4,Curves,0))</f>
        <v>2</v>
      </c>
      <c r="Y250" s="129" t="n">
        <f aca="false">1/(1+CHOOSE(F$3,(X251+($K$3/10000))/2,(X250+($K$3/10000))/2))^(2*W250/365.25)</f>
        <v>7.32561683841956E-013</v>
      </c>
      <c r="Z250" s="5" t="n">
        <f aca="false">IF(AND(mthbeg&lt;=A250,mthend&gt;=A250),1,0)</f>
        <v>0</v>
      </c>
      <c r="AA250" s="5" t="n">
        <f aca="false">U250*Z250</f>
        <v>0</v>
      </c>
      <c r="AC250" s="115" t="n">
        <f aca="false">IF(G243=2,F250*(S250-Q250),F250*(Q250-S250))</f>
        <v>0</v>
      </c>
      <c r="AE250" s="116" t="n">
        <f aca="false">IF($G$3=1,F250*(R250-Q250),F250*(Q250-R250))</f>
        <v>0</v>
      </c>
      <c r="AG250" s="116" t="n">
        <f aca="false">AC250+AE250</f>
        <v>0</v>
      </c>
    </row>
    <row r="251" customFormat="false" ht="12" hidden="false" customHeight="true" outlineLevel="0" collapsed="false">
      <c r="A251" s="120" t="n">
        <f aca="false">EDATE(A250,1)</f>
        <v>44621</v>
      </c>
      <c r="B251" s="121" t="e">
        <f aca="false">VLOOKUP(A251,'Inputs-Summary'!$A$32:$B$41,2,FALSE())</f>
        <v>#N/A</v>
      </c>
      <c r="C251" s="122"/>
      <c r="D251" s="123" t="e">
        <f aca="false">B251+C251</f>
        <v>#N/A</v>
      </c>
      <c r="E251" s="111" t="n">
        <f aca="false">IF(Z251=0,0,IF(AND(Z251=1,$H$3=1),D251*U251,IF($H$3=2,D251,"N/A")))</f>
        <v>0</v>
      </c>
      <c r="F251" s="111" t="n">
        <f aca="false">E251*Y251</f>
        <v>0</v>
      </c>
      <c r="G251" s="124" t="n">
        <f aca="false">VLOOKUP($A251,Table,MATCH(G$4,Curves,0))</f>
        <v>3</v>
      </c>
      <c r="H251" s="125" t="n">
        <f aca="false">G251+$H$7</f>
        <v>3</v>
      </c>
      <c r="I251" s="124" t="n">
        <f aca="false">H251</f>
        <v>3</v>
      </c>
      <c r="J251" s="124" t="n">
        <f aca="false">VLOOKUP($A251,Table,MATCH(J$4,Curves,0))</f>
        <v>4</v>
      </c>
      <c r="K251" s="125" t="n">
        <f aca="false">J251+$K$7</f>
        <v>4</v>
      </c>
      <c r="L251" s="126" t="n">
        <f aca="false">K251</f>
        <v>4</v>
      </c>
      <c r="M251" s="124" t="n">
        <f aca="false">VLOOKUP($A251,Table,MATCH(M$4,Curves,0))</f>
        <v>4</v>
      </c>
      <c r="N251" s="125" t="n">
        <f aca="false">M251+$N$7</f>
        <v>4</v>
      </c>
      <c r="O251" s="126" t="n">
        <f aca="false">0.07</f>
        <v>0.07</v>
      </c>
      <c r="P251" s="114"/>
      <c r="Q251" s="126" t="n">
        <f aca="false">M251+J251+G251</f>
        <v>11</v>
      </c>
      <c r="R251" s="126" t="n">
        <f aca="false">N251+K251+H251</f>
        <v>11</v>
      </c>
      <c r="S251" s="126" t="n">
        <f aca="false">O251+L251+I251</f>
        <v>7.07</v>
      </c>
      <c r="T251" s="127"/>
      <c r="U251" s="5" t="n">
        <f aca="false">A252-A251</f>
        <v>31</v>
      </c>
      <c r="V251" s="128" t="n">
        <f aca="false">CHOOSE(F$3,A252+24,A251)</f>
        <v>44621</v>
      </c>
      <c r="W251" s="5" t="n">
        <f aca="false">V251-C$3</f>
        <v>7390</v>
      </c>
      <c r="X251" s="124" t="n">
        <f aca="false">VLOOKUP($A251,Table,MATCH(X$4,Curves,0))</f>
        <v>2</v>
      </c>
      <c r="Y251" s="129" t="n">
        <f aca="false">1/(1+CHOOSE(F$3,(X252+($K$3/10000))/2,(X251+($K$3/10000))/2))^(2*W251/365.25)</f>
        <v>6.58704131843196E-013</v>
      </c>
      <c r="Z251" s="5" t="n">
        <f aca="false">IF(AND(mthbeg&lt;=A251,mthend&gt;=A251),1,0)</f>
        <v>0</v>
      </c>
      <c r="AA251" s="5" t="n">
        <f aca="false">U251*Z251</f>
        <v>0</v>
      </c>
      <c r="AC251" s="115" t="n">
        <f aca="false">IF(G244=2,F251*(S251-Q251),F251*(Q251-S251))</f>
        <v>0</v>
      </c>
      <c r="AE251" s="116" t="n">
        <f aca="false">IF($G$3=1,F251*(R251-Q251),F251*(Q251-R251))</f>
        <v>0</v>
      </c>
      <c r="AG251" s="116" t="n">
        <f aca="false">AC251+AE251</f>
        <v>0</v>
      </c>
    </row>
    <row r="252" customFormat="false" ht="12" hidden="false" customHeight="true" outlineLevel="0" collapsed="false">
      <c r="A252" s="120" t="n">
        <f aca="false">EDATE(A251,1)</f>
        <v>44652</v>
      </c>
      <c r="B252" s="121" t="e">
        <f aca="false">VLOOKUP(A252,'Inputs-Summary'!$A$32:$B$41,2,FALSE())</f>
        <v>#N/A</v>
      </c>
      <c r="C252" s="122"/>
      <c r="D252" s="123" t="e">
        <f aca="false">B252+C252</f>
        <v>#N/A</v>
      </c>
      <c r="E252" s="111" t="n">
        <f aca="false">IF(Z252=0,0,IF(AND(Z252=1,$H$3=1),D252*U252,IF($H$3=2,D252,"N/A")))</f>
        <v>0</v>
      </c>
      <c r="F252" s="111" t="n">
        <f aca="false">E252*Y252</f>
        <v>0</v>
      </c>
      <c r="G252" s="124" t="n">
        <f aca="false">VLOOKUP($A252,Table,MATCH(G$4,Curves,0))</f>
        <v>3</v>
      </c>
      <c r="H252" s="125" t="n">
        <f aca="false">G252+$H$7</f>
        <v>3</v>
      </c>
      <c r="I252" s="124" t="n">
        <f aca="false">H252</f>
        <v>3</v>
      </c>
      <c r="J252" s="124" t="n">
        <f aca="false">VLOOKUP($A252,Table,MATCH(J$4,Curves,0))</f>
        <v>4</v>
      </c>
      <c r="K252" s="125" t="n">
        <f aca="false">J252+$K$7</f>
        <v>4</v>
      </c>
      <c r="L252" s="126" t="n">
        <f aca="false">K252</f>
        <v>4</v>
      </c>
      <c r="M252" s="124" t="n">
        <f aca="false">VLOOKUP($A252,Table,MATCH(M$4,Curves,0))</f>
        <v>4</v>
      </c>
      <c r="N252" s="125" t="n">
        <f aca="false">M252+$N$7</f>
        <v>4</v>
      </c>
      <c r="O252" s="126" t="n">
        <f aca="false">0.07</f>
        <v>0.07</v>
      </c>
      <c r="P252" s="114"/>
      <c r="Q252" s="126" t="n">
        <f aca="false">M252+J252+G252</f>
        <v>11</v>
      </c>
      <c r="R252" s="126" t="n">
        <f aca="false">N252+K252+H252</f>
        <v>11</v>
      </c>
      <c r="S252" s="126" t="n">
        <f aca="false">O252+L252+I252</f>
        <v>7.07</v>
      </c>
      <c r="T252" s="127"/>
      <c r="U252" s="5" t="n">
        <f aca="false">A253-A252</f>
        <v>30</v>
      </c>
      <c r="V252" s="128" t="n">
        <f aca="false">CHOOSE(F$3,A253+24,A252)</f>
        <v>44652</v>
      </c>
      <c r="W252" s="5" t="n">
        <f aca="false">V252-C$3</f>
        <v>7421</v>
      </c>
      <c r="X252" s="124" t="n">
        <f aca="false">VLOOKUP($A252,Table,MATCH(X$4,Curves,0))</f>
        <v>2</v>
      </c>
      <c r="Y252" s="129" t="n">
        <f aca="false">1/(1+CHOOSE(F$3,(X253+($K$3/10000))/2,(X252+($K$3/10000))/2))^(2*W252/365.25)</f>
        <v>5.85587131793527E-013</v>
      </c>
      <c r="Z252" s="5" t="n">
        <f aca="false">IF(AND(mthbeg&lt;=A252,mthend&gt;=A252),1,0)</f>
        <v>0</v>
      </c>
      <c r="AA252" s="5" t="n">
        <f aca="false">U252*Z252</f>
        <v>0</v>
      </c>
      <c r="AC252" s="115" t="n">
        <f aca="false">IF(G245=2,F252*(S252-Q252),F252*(Q252-S252))</f>
        <v>0</v>
      </c>
      <c r="AE252" s="116" t="n">
        <f aca="false">IF($G$3=1,F252*(R252-Q252),F252*(Q252-R252))</f>
        <v>0</v>
      </c>
      <c r="AG252" s="116" t="n">
        <f aca="false">AC252+AE252</f>
        <v>0</v>
      </c>
    </row>
    <row r="253" customFormat="false" ht="12" hidden="false" customHeight="true" outlineLevel="0" collapsed="false">
      <c r="A253" s="120" t="n">
        <f aca="false">EDATE(A252,1)</f>
        <v>44682</v>
      </c>
      <c r="B253" s="121" t="e">
        <f aca="false">VLOOKUP(A253,'Inputs-Summary'!$A$32:$B$41,2,FALSE())</f>
        <v>#N/A</v>
      </c>
      <c r="C253" s="122"/>
      <c r="D253" s="123" t="e">
        <f aca="false">B253+C253</f>
        <v>#N/A</v>
      </c>
      <c r="E253" s="111" t="n">
        <f aca="false">IF(Z253=0,0,IF(AND(Z253=1,$H$3=1),D253*U253,IF($H$3=2,D253,"N/A")))</f>
        <v>0</v>
      </c>
      <c r="F253" s="111" t="n">
        <f aca="false">E253*Y253</f>
        <v>0</v>
      </c>
      <c r="G253" s="124" t="n">
        <f aca="false">VLOOKUP($A253,Table,MATCH(G$4,Curves,0))</f>
        <v>3</v>
      </c>
      <c r="H253" s="125" t="n">
        <f aca="false">G253+$H$7</f>
        <v>3</v>
      </c>
      <c r="I253" s="124" t="n">
        <f aca="false">H253</f>
        <v>3</v>
      </c>
      <c r="J253" s="124" t="n">
        <f aca="false">VLOOKUP($A253,Table,MATCH(J$4,Curves,0))</f>
        <v>4</v>
      </c>
      <c r="K253" s="125" t="n">
        <f aca="false">J253+$K$7</f>
        <v>4</v>
      </c>
      <c r="L253" s="126" t="n">
        <f aca="false">K253</f>
        <v>4</v>
      </c>
      <c r="M253" s="124" t="n">
        <f aca="false">VLOOKUP($A253,Table,MATCH(M$4,Curves,0))</f>
        <v>4</v>
      </c>
      <c r="N253" s="125" t="n">
        <f aca="false">M253+$N$7</f>
        <v>4</v>
      </c>
      <c r="O253" s="126" t="n">
        <f aca="false">0.07</f>
        <v>0.07</v>
      </c>
      <c r="P253" s="114"/>
      <c r="Q253" s="126" t="n">
        <f aca="false">M253+J253+G253</f>
        <v>11</v>
      </c>
      <c r="R253" s="126" t="n">
        <f aca="false">N253+K253+H253</f>
        <v>11</v>
      </c>
      <c r="S253" s="126" t="n">
        <f aca="false">O253+L253+I253</f>
        <v>7.07</v>
      </c>
      <c r="T253" s="127"/>
      <c r="U253" s="5" t="n">
        <f aca="false">A254-A253</f>
        <v>31</v>
      </c>
      <c r="V253" s="128" t="n">
        <f aca="false">CHOOSE(F$3,A254+24,A253)</f>
        <v>44682</v>
      </c>
      <c r="W253" s="5" t="n">
        <f aca="false">V253-C$3</f>
        <v>7451</v>
      </c>
      <c r="X253" s="124" t="n">
        <f aca="false">VLOOKUP($A253,Table,MATCH(X$4,Curves,0))</f>
        <v>2</v>
      </c>
      <c r="Y253" s="129" t="n">
        <f aca="false">1/(1+CHOOSE(F$3,(X254+($K$3/10000))/2,(X253+($K$3/10000))/2))^(2*W253/365.25)</f>
        <v>5.22565834411623E-013</v>
      </c>
      <c r="Z253" s="5" t="n">
        <f aca="false">IF(AND(mthbeg&lt;=A253,mthend&gt;=A253),1,0)</f>
        <v>0</v>
      </c>
      <c r="AA253" s="5" t="n">
        <f aca="false">U253*Z253</f>
        <v>0</v>
      </c>
      <c r="AC253" s="115" t="n">
        <f aca="false">IF(G246=2,F253*(S253-Q253),F253*(Q253-S253))</f>
        <v>0</v>
      </c>
      <c r="AE253" s="116" t="n">
        <f aca="false">IF($G$3=1,F253*(R253-Q253),F253*(Q253-R253))</f>
        <v>0</v>
      </c>
      <c r="AG253" s="116" t="n">
        <f aca="false">AC253+AE253</f>
        <v>0</v>
      </c>
    </row>
    <row r="254" customFormat="false" ht="12" hidden="false" customHeight="true" outlineLevel="0" collapsed="false">
      <c r="A254" s="120" t="n">
        <f aca="false">EDATE(A253,1)</f>
        <v>44713</v>
      </c>
      <c r="B254" s="121" t="e">
        <f aca="false">VLOOKUP(A254,'Inputs-Summary'!$A$32:$B$41,2,FALSE())</f>
        <v>#N/A</v>
      </c>
      <c r="C254" s="122"/>
      <c r="D254" s="123" t="e">
        <f aca="false">B254+C254</f>
        <v>#N/A</v>
      </c>
      <c r="E254" s="111" t="n">
        <f aca="false">IF(Z254=0,0,IF(AND(Z254=1,$H$3=1),D254*U254,IF($H$3=2,D254,"N/A")))</f>
        <v>0</v>
      </c>
      <c r="F254" s="111" t="n">
        <f aca="false">E254*Y254</f>
        <v>0</v>
      </c>
      <c r="G254" s="124" t="n">
        <f aca="false">VLOOKUP($A254,Table,MATCH(G$4,Curves,0))</f>
        <v>3</v>
      </c>
      <c r="H254" s="125" t="n">
        <f aca="false">G254+$H$7</f>
        <v>3</v>
      </c>
      <c r="I254" s="124" t="n">
        <f aca="false">H254</f>
        <v>3</v>
      </c>
      <c r="J254" s="124" t="n">
        <f aca="false">VLOOKUP($A254,Table,MATCH(J$4,Curves,0))</f>
        <v>4</v>
      </c>
      <c r="K254" s="125" t="n">
        <f aca="false">J254+$K$7</f>
        <v>4</v>
      </c>
      <c r="L254" s="126" t="n">
        <f aca="false">K254</f>
        <v>4</v>
      </c>
      <c r="M254" s="124" t="n">
        <f aca="false">VLOOKUP($A254,Table,MATCH(M$4,Curves,0))</f>
        <v>4</v>
      </c>
      <c r="N254" s="125" t="n">
        <f aca="false">M254+$N$7</f>
        <v>4</v>
      </c>
      <c r="O254" s="126" t="n">
        <f aca="false">0.07</f>
        <v>0.07</v>
      </c>
      <c r="P254" s="114"/>
      <c r="Q254" s="126" t="n">
        <f aca="false">M254+J254+G254</f>
        <v>11</v>
      </c>
      <c r="R254" s="126" t="n">
        <f aca="false">N254+K254+H254</f>
        <v>11</v>
      </c>
      <c r="S254" s="126" t="n">
        <f aca="false">O254+L254+I254</f>
        <v>7.07</v>
      </c>
      <c r="T254" s="127"/>
      <c r="U254" s="5" t="n">
        <f aca="false">A255-A254</f>
        <v>30</v>
      </c>
      <c r="V254" s="128" t="n">
        <f aca="false">CHOOSE(F$3,A255+24,A254)</f>
        <v>44713</v>
      </c>
      <c r="W254" s="5" t="n">
        <f aca="false">V254-C$3</f>
        <v>7482</v>
      </c>
      <c r="X254" s="124" t="n">
        <f aca="false">VLOOKUP($A254,Table,MATCH(X$4,Curves,0))</f>
        <v>2</v>
      </c>
      <c r="Y254" s="129" t="n">
        <f aca="false">1/(1+CHOOSE(F$3,(X255+($K$3/10000))/2,(X254+($K$3/10000))/2))^(2*W254/365.25)</f>
        <v>4.64560359277113E-013</v>
      </c>
      <c r="Z254" s="5" t="n">
        <f aca="false">IF(AND(mthbeg&lt;=A254,mthend&gt;=A254),1,0)</f>
        <v>0</v>
      </c>
      <c r="AA254" s="5" t="n">
        <f aca="false">U254*Z254</f>
        <v>0</v>
      </c>
      <c r="AC254" s="115" t="n">
        <f aca="false">IF(G247=2,F254*(S254-Q254),F254*(Q254-S254))</f>
        <v>0</v>
      </c>
      <c r="AE254" s="116" t="n">
        <f aca="false">IF($G$3=1,F254*(R254-Q254),F254*(Q254-R254))</f>
        <v>0</v>
      </c>
      <c r="AG254" s="116" t="n">
        <f aca="false">AC254+AE254</f>
        <v>0</v>
      </c>
    </row>
    <row r="255" customFormat="false" ht="12" hidden="false" customHeight="true" outlineLevel="0" collapsed="false">
      <c r="A255" s="120" t="n">
        <f aca="false">EDATE(A254,1)</f>
        <v>44743</v>
      </c>
      <c r="B255" s="121" t="e">
        <f aca="false">VLOOKUP(A255,'Inputs-Summary'!$A$32:$B$41,2,FALSE())</f>
        <v>#N/A</v>
      </c>
      <c r="C255" s="122"/>
      <c r="D255" s="123" t="e">
        <f aca="false">B255+C255</f>
        <v>#N/A</v>
      </c>
      <c r="E255" s="111" t="n">
        <f aca="false">IF(Z255=0,0,IF(AND(Z255=1,$H$3=1),D255*U255,IF($H$3=2,D255,"N/A")))</f>
        <v>0</v>
      </c>
      <c r="F255" s="111" t="n">
        <f aca="false">E255*Y255</f>
        <v>0</v>
      </c>
      <c r="G255" s="124" t="n">
        <f aca="false">VLOOKUP($A255,Table,MATCH(G$4,Curves,0))</f>
        <v>3</v>
      </c>
      <c r="H255" s="125" t="n">
        <f aca="false">G255+$H$7</f>
        <v>3</v>
      </c>
      <c r="I255" s="124" t="n">
        <f aca="false">H255</f>
        <v>3</v>
      </c>
      <c r="J255" s="124" t="n">
        <f aca="false">VLOOKUP($A255,Table,MATCH(J$4,Curves,0))</f>
        <v>4</v>
      </c>
      <c r="K255" s="125" t="n">
        <f aca="false">J255+$K$7</f>
        <v>4</v>
      </c>
      <c r="L255" s="126" t="n">
        <f aca="false">K255</f>
        <v>4</v>
      </c>
      <c r="M255" s="124" t="n">
        <f aca="false">VLOOKUP($A255,Table,MATCH(M$4,Curves,0))</f>
        <v>4</v>
      </c>
      <c r="N255" s="125" t="n">
        <f aca="false">M255+$N$7</f>
        <v>4</v>
      </c>
      <c r="O255" s="126" t="n">
        <f aca="false">0.07</f>
        <v>0.07</v>
      </c>
      <c r="P255" s="114"/>
      <c r="Q255" s="126" t="n">
        <f aca="false">M255+J255+G255</f>
        <v>11</v>
      </c>
      <c r="R255" s="126" t="n">
        <f aca="false">N255+K255+H255</f>
        <v>11</v>
      </c>
      <c r="S255" s="126" t="n">
        <f aca="false">O255+L255+I255</f>
        <v>7.07</v>
      </c>
      <c r="T255" s="127"/>
      <c r="U255" s="5" t="n">
        <f aca="false">A256-A255</f>
        <v>31</v>
      </c>
      <c r="V255" s="128" t="n">
        <f aca="false">CHOOSE(F$3,A256+24,A255)</f>
        <v>44743</v>
      </c>
      <c r="W255" s="5" t="n">
        <f aca="false">V255-C$3</f>
        <v>7512</v>
      </c>
      <c r="X255" s="124" t="n">
        <f aca="false">VLOOKUP($A255,Table,MATCH(X$4,Curves,0))</f>
        <v>2</v>
      </c>
      <c r="Y255" s="129" t="n">
        <f aca="false">1/(1+CHOOSE(F$3,(X256+($K$3/10000))/2,(X255+($K$3/10000))/2))^(2*W255/365.25)</f>
        <v>4.14564047943943E-013</v>
      </c>
      <c r="Z255" s="5" t="n">
        <f aca="false">IF(AND(mthbeg&lt;=A255,mthend&gt;=A255),1,0)</f>
        <v>0</v>
      </c>
      <c r="AA255" s="5" t="n">
        <f aca="false">U255*Z255</f>
        <v>0</v>
      </c>
      <c r="AC255" s="115" t="n">
        <f aca="false">IF(G248=2,F255*(S255-Q255),F255*(Q255-S255))</f>
        <v>0</v>
      </c>
      <c r="AE255" s="116" t="n">
        <f aca="false">IF($G$3=1,F255*(R255-Q255),F255*(Q255-R255))</f>
        <v>0</v>
      </c>
      <c r="AG255" s="116" t="n">
        <f aca="false">AC255+AE255</f>
        <v>0</v>
      </c>
    </row>
    <row r="256" customFormat="false" ht="12" hidden="false" customHeight="true" outlineLevel="0" collapsed="false">
      <c r="A256" s="120" t="n">
        <f aca="false">EDATE(A255,1)</f>
        <v>44774</v>
      </c>
      <c r="B256" s="121" t="e">
        <f aca="false">VLOOKUP(A256,'Inputs-Summary'!$A$32:$B$41,2,FALSE())</f>
        <v>#N/A</v>
      </c>
      <c r="C256" s="122"/>
      <c r="D256" s="123" t="e">
        <f aca="false">B256+C256</f>
        <v>#N/A</v>
      </c>
      <c r="E256" s="111" t="n">
        <f aca="false">IF(Z256=0,0,IF(AND(Z256=1,$H$3=1),D256*U256,IF($H$3=2,D256,"N/A")))</f>
        <v>0</v>
      </c>
      <c r="F256" s="111" t="n">
        <f aca="false">E256*Y256</f>
        <v>0</v>
      </c>
      <c r="G256" s="124" t="n">
        <f aca="false">VLOOKUP($A256,Table,MATCH(G$4,Curves,0))</f>
        <v>3</v>
      </c>
      <c r="H256" s="125" t="n">
        <f aca="false">G256+$H$7</f>
        <v>3</v>
      </c>
      <c r="I256" s="124" t="n">
        <f aca="false">H256</f>
        <v>3</v>
      </c>
      <c r="J256" s="124" t="n">
        <f aca="false">VLOOKUP($A256,Table,MATCH(J$4,Curves,0))</f>
        <v>4</v>
      </c>
      <c r="K256" s="125" t="n">
        <f aca="false">J256+$K$7</f>
        <v>4</v>
      </c>
      <c r="L256" s="126" t="n">
        <f aca="false">K256</f>
        <v>4</v>
      </c>
      <c r="M256" s="124" t="n">
        <f aca="false">VLOOKUP($A256,Table,MATCH(M$4,Curves,0))</f>
        <v>4</v>
      </c>
      <c r="N256" s="125" t="n">
        <f aca="false">M256+$N$7</f>
        <v>4</v>
      </c>
      <c r="O256" s="126" t="n">
        <f aca="false">0.07</f>
        <v>0.07</v>
      </c>
      <c r="P256" s="114"/>
      <c r="Q256" s="126" t="n">
        <f aca="false">M256+J256+G256</f>
        <v>11</v>
      </c>
      <c r="R256" s="126" t="n">
        <f aca="false">N256+K256+H256</f>
        <v>11</v>
      </c>
      <c r="S256" s="126" t="n">
        <f aca="false">O256+L256+I256</f>
        <v>7.07</v>
      </c>
      <c r="T256" s="127"/>
      <c r="U256" s="5" t="n">
        <f aca="false">A257-A256</f>
        <v>31</v>
      </c>
      <c r="V256" s="128" t="n">
        <f aca="false">CHOOSE(F$3,A257+24,A256)</f>
        <v>44774</v>
      </c>
      <c r="W256" s="5" t="n">
        <f aca="false">V256-C$3</f>
        <v>7543</v>
      </c>
      <c r="X256" s="124" t="n">
        <f aca="false">VLOOKUP($A256,Table,MATCH(X$4,Curves,0))</f>
        <v>2</v>
      </c>
      <c r="Y256" s="129" t="n">
        <f aca="false">1/(1+CHOOSE(F$3,(X257+($K$3/10000))/2,(X256+($K$3/10000))/2))^(2*W256/365.25)</f>
        <v>3.685469090666E-013</v>
      </c>
      <c r="Z256" s="5" t="n">
        <f aca="false">IF(AND(mthbeg&lt;=A256,mthend&gt;=A256),1,0)</f>
        <v>0</v>
      </c>
      <c r="AA256" s="5" t="n">
        <f aca="false">U256*Z256</f>
        <v>0</v>
      </c>
      <c r="AC256" s="115" t="n">
        <f aca="false">IF(G249=2,F256*(S256-Q256),F256*(Q256-S256))</f>
        <v>0</v>
      </c>
      <c r="AE256" s="116" t="n">
        <f aca="false">IF($G$3=1,F256*(R256-Q256),F256*(Q256-R256))</f>
        <v>0</v>
      </c>
      <c r="AG256" s="116" t="n">
        <f aca="false">AC256+AE256</f>
        <v>0</v>
      </c>
    </row>
    <row r="257" customFormat="false" ht="12" hidden="false" customHeight="true" outlineLevel="0" collapsed="false">
      <c r="A257" s="120" t="n">
        <f aca="false">EDATE(A256,1)</f>
        <v>44805</v>
      </c>
      <c r="B257" s="121" t="e">
        <f aca="false">VLOOKUP(A257,'Inputs-Summary'!$A$32:$B$41,2,FALSE())</f>
        <v>#N/A</v>
      </c>
      <c r="C257" s="122"/>
      <c r="D257" s="123" t="e">
        <f aca="false">B257+C257</f>
        <v>#N/A</v>
      </c>
      <c r="E257" s="111" t="n">
        <f aca="false">IF(Z257=0,0,IF(AND(Z257=1,$H$3=1),D257*U257,IF($H$3=2,D257,"N/A")))</f>
        <v>0</v>
      </c>
      <c r="F257" s="111" t="n">
        <f aca="false">E257*Y257</f>
        <v>0</v>
      </c>
      <c r="G257" s="124" t="n">
        <f aca="false">VLOOKUP($A257,Table,MATCH(G$4,Curves,0))</f>
        <v>3</v>
      </c>
      <c r="H257" s="125" t="n">
        <f aca="false">G257+$H$7</f>
        <v>3</v>
      </c>
      <c r="I257" s="124" t="n">
        <f aca="false">H257</f>
        <v>3</v>
      </c>
      <c r="J257" s="124" t="n">
        <f aca="false">VLOOKUP($A257,Table,MATCH(J$4,Curves,0))</f>
        <v>4</v>
      </c>
      <c r="K257" s="125" t="n">
        <f aca="false">J257+$K$7</f>
        <v>4</v>
      </c>
      <c r="L257" s="126" t="n">
        <f aca="false">K257</f>
        <v>4</v>
      </c>
      <c r="M257" s="124" t="n">
        <f aca="false">VLOOKUP($A257,Table,MATCH(M$4,Curves,0))</f>
        <v>4</v>
      </c>
      <c r="N257" s="125" t="n">
        <f aca="false">M257+$N$7</f>
        <v>4</v>
      </c>
      <c r="O257" s="126" t="n">
        <f aca="false">0.07</f>
        <v>0.07</v>
      </c>
      <c r="P257" s="114"/>
      <c r="Q257" s="126" t="n">
        <f aca="false">M257+J257+G257</f>
        <v>11</v>
      </c>
      <c r="R257" s="126" t="n">
        <f aca="false">N257+K257+H257</f>
        <v>11</v>
      </c>
      <c r="S257" s="126" t="n">
        <f aca="false">O257+L257+I257</f>
        <v>7.07</v>
      </c>
      <c r="T257" s="127"/>
      <c r="U257" s="5" t="n">
        <f aca="false">A258-A257</f>
        <v>30</v>
      </c>
      <c r="V257" s="128" t="n">
        <f aca="false">CHOOSE(F$3,A258+24,A257)</f>
        <v>44805</v>
      </c>
      <c r="W257" s="5" t="n">
        <f aca="false">V257-C$3</f>
        <v>7574</v>
      </c>
      <c r="X257" s="124" t="n">
        <f aca="false">VLOOKUP($A257,Table,MATCH(X$4,Curves,0))</f>
        <v>2</v>
      </c>
      <c r="Y257" s="129" t="n">
        <f aca="false">1/(1+CHOOSE(F$3,(X258+($K$3/10000))/2,(X257+($K$3/10000))/2))^(2*W257/365.25)</f>
        <v>3.27637731385986E-013</v>
      </c>
      <c r="Z257" s="5" t="n">
        <f aca="false">IF(AND(mthbeg&lt;=A257,mthend&gt;=A257),1,0)</f>
        <v>0</v>
      </c>
      <c r="AA257" s="5" t="n">
        <f aca="false">U257*Z257</f>
        <v>0</v>
      </c>
      <c r="AC257" s="115" t="n">
        <f aca="false">IF(G250=2,F257*(S257-Q257),F257*(Q257-S257))</f>
        <v>0</v>
      </c>
      <c r="AE257" s="116" t="n">
        <f aca="false">IF($G$3=1,F257*(R257-Q257),F257*(Q257-R257))</f>
        <v>0</v>
      </c>
      <c r="AG257" s="116" t="n">
        <f aca="false">AC257+AE257</f>
        <v>0</v>
      </c>
    </row>
    <row r="258" customFormat="false" ht="12" hidden="false" customHeight="true" outlineLevel="0" collapsed="false">
      <c r="A258" s="120" t="n">
        <f aca="false">EDATE(A257,1)</f>
        <v>44835</v>
      </c>
      <c r="B258" s="121" t="e">
        <f aca="false">VLOOKUP(A258,'Inputs-Summary'!$A$32:$B$41,2,FALSE())</f>
        <v>#N/A</v>
      </c>
      <c r="C258" s="122"/>
      <c r="D258" s="123" t="e">
        <f aca="false">B258+C258</f>
        <v>#N/A</v>
      </c>
      <c r="E258" s="111" t="n">
        <f aca="false">IF(Z258=0,0,IF(AND(Z258=1,$H$3=1),D258*U258,IF($H$3=2,D258,"N/A")))</f>
        <v>0</v>
      </c>
      <c r="F258" s="111" t="n">
        <f aca="false">E258*Y258</f>
        <v>0</v>
      </c>
      <c r="G258" s="124" t="n">
        <f aca="false">VLOOKUP($A258,Table,MATCH(G$4,Curves,0))</f>
        <v>3</v>
      </c>
      <c r="H258" s="125" t="n">
        <f aca="false">G258+$H$7</f>
        <v>3</v>
      </c>
      <c r="I258" s="124" t="n">
        <f aca="false">H258</f>
        <v>3</v>
      </c>
      <c r="J258" s="124" t="n">
        <f aca="false">VLOOKUP($A258,Table,MATCH(J$4,Curves,0))</f>
        <v>4</v>
      </c>
      <c r="K258" s="125" t="n">
        <f aca="false">J258+$K$7</f>
        <v>4</v>
      </c>
      <c r="L258" s="126" t="n">
        <f aca="false">K258</f>
        <v>4</v>
      </c>
      <c r="M258" s="124" t="n">
        <f aca="false">VLOOKUP($A258,Table,MATCH(M$4,Curves,0))</f>
        <v>4</v>
      </c>
      <c r="N258" s="125" t="n">
        <f aca="false">M258+$N$7</f>
        <v>4</v>
      </c>
      <c r="O258" s="126" t="n">
        <f aca="false">0.07</f>
        <v>0.07</v>
      </c>
      <c r="P258" s="114"/>
      <c r="Q258" s="126" t="n">
        <f aca="false">M258+J258+G258</f>
        <v>11</v>
      </c>
      <c r="R258" s="126" t="n">
        <f aca="false">N258+K258+H258</f>
        <v>11</v>
      </c>
      <c r="S258" s="126" t="n">
        <f aca="false">O258+L258+I258</f>
        <v>7.07</v>
      </c>
      <c r="T258" s="127"/>
      <c r="U258" s="5" t="n">
        <f aca="false">A259-A258</f>
        <v>31</v>
      </c>
      <c r="V258" s="128" t="n">
        <f aca="false">CHOOSE(F$3,A259+24,A258)</f>
        <v>44835</v>
      </c>
      <c r="W258" s="5" t="n">
        <f aca="false">V258-C$3</f>
        <v>7604</v>
      </c>
      <c r="X258" s="124" t="n">
        <f aca="false">VLOOKUP($A258,Table,MATCH(X$4,Curves,0))</f>
        <v>2</v>
      </c>
      <c r="Y258" s="129" t="n">
        <f aca="false">1/(1+CHOOSE(F$3,(X259+($K$3/10000))/2,(X258+($K$3/10000))/2))^(2*W258/365.25)</f>
        <v>2.92377129193503E-013</v>
      </c>
      <c r="Z258" s="5" t="n">
        <f aca="false">IF(AND(mthbeg&lt;=A258,mthend&gt;=A258),1,0)</f>
        <v>0</v>
      </c>
      <c r="AA258" s="5" t="n">
        <f aca="false">U258*Z258</f>
        <v>0</v>
      </c>
      <c r="AC258" s="115" t="n">
        <f aca="false">IF(G251=2,F258*(S258-Q258),F258*(Q258-S258))</f>
        <v>0</v>
      </c>
      <c r="AE258" s="116" t="n">
        <f aca="false">IF($G$3=1,F258*(R258-Q258),F258*(Q258-R258))</f>
        <v>0</v>
      </c>
      <c r="AG258" s="116" t="n">
        <f aca="false">AC258+AE258</f>
        <v>0</v>
      </c>
    </row>
    <row r="259" customFormat="false" ht="12" hidden="false" customHeight="true" outlineLevel="0" collapsed="false">
      <c r="A259" s="120" t="n">
        <f aca="false">EDATE(A258,1)</f>
        <v>44866</v>
      </c>
      <c r="B259" s="121" t="e">
        <f aca="false">VLOOKUP(A259,'Inputs-Summary'!$A$32:$B$41,2,FALSE())</f>
        <v>#N/A</v>
      </c>
      <c r="C259" s="122"/>
      <c r="D259" s="123" t="e">
        <f aca="false">B259+C259</f>
        <v>#N/A</v>
      </c>
      <c r="E259" s="111" t="n">
        <f aca="false">IF(Z259=0,0,IF(AND(Z259=1,$H$3=1),D259*U259,IF($H$3=2,D259,"N/A")))</f>
        <v>0</v>
      </c>
      <c r="F259" s="111" t="n">
        <f aca="false">E259*Y259</f>
        <v>0</v>
      </c>
      <c r="G259" s="124" t="n">
        <f aca="false">VLOOKUP($A259,Table,MATCH(G$4,Curves,0))</f>
        <v>3</v>
      </c>
      <c r="H259" s="125" t="n">
        <f aca="false">G259+$H$7</f>
        <v>3</v>
      </c>
      <c r="I259" s="124" t="n">
        <f aca="false">H259</f>
        <v>3</v>
      </c>
      <c r="J259" s="124" t="n">
        <f aca="false">VLOOKUP($A259,Table,MATCH(J$4,Curves,0))</f>
        <v>4</v>
      </c>
      <c r="K259" s="125" t="n">
        <f aca="false">J259+$K$7</f>
        <v>4</v>
      </c>
      <c r="L259" s="126" t="n">
        <f aca="false">K259</f>
        <v>4</v>
      </c>
      <c r="M259" s="124" t="n">
        <f aca="false">VLOOKUP($A259,Table,MATCH(M$4,Curves,0))</f>
        <v>4</v>
      </c>
      <c r="N259" s="125" t="n">
        <f aca="false">M259+$N$7</f>
        <v>4</v>
      </c>
      <c r="O259" s="126" t="n">
        <f aca="false">0.07</f>
        <v>0.07</v>
      </c>
      <c r="P259" s="114"/>
      <c r="Q259" s="126" t="n">
        <f aca="false">M259+J259+G259</f>
        <v>11</v>
      </c>
      <c r="R259" s="126" t="n">
        <f aca="false">N259+K259+H259</f>
        <v>11</v>
      </c>
      <c r="S259" s="126" t="n">
        <f aca="false">O259+L259+I259</f>
        <v>7.07</v>
      </c>
      <c r="T259" s="127"/>
      <c r="U259" s="5" t="n">
        <f aca="false">A260-A259</f>
        <v>30</v>
      </c>
      <c r="V259" s="128" t="n">
        <f aca="false">CHOOSE(F$3,A260+24,A259)</f>
        <v>44866</v>
      </c>
      <c r="W259" s="5" t="n">
        <f aca="false">V259-C$3</f>
        <v>7635</v>
      </c>
      <c r="X259" s="124" t="n">
        <f aca="false">VLOOKUP($A259,Table,MATCH(X$4,Curves,0))</f>
        <v>2</v>
      </c>
      <c r="Y259" s="129" t="n">
        <f aca="false">1/(1+CHOOSE(F$3,(X260+($K$3/10000))/2,(X259+($K$3/10000))/2))^(2*W259/365.25)</f>
        <v>2.59922894376509E-013</v>
      </c>
      <c r="Z259" s="5" t="n">
        <f aca="false">IF(AND(mthbeg&lt;=A259,mthend&gt;=A259),1,0)</f>
        <v>0</v>
      </c>
      <c r="AA259" s="5" t="n">
        <f aca="false">U259*Z259</f>
        <v>0</v>
      </c>
      <c r="AC259" s="115" t="n">
        <f aca="false">IF(G252=2,F259*(S259-Q259),F259*(Q259-S259))</f>
        <v>0</v>
      </c>
      <c r="AE259" s="116" t="n">
        <f aca="false">IF($G$3=1,F259*(R259-Q259),F259*(Q259-R259))</f>
        <v>0</v>
      </c>
      <c r="AG259" s="116" t="n">
        <f aca="false">AC259+AE259</f>
        <v>0</v>
      </c>
    </row>
    <row r="260" customFormat="false" ht="12" hidden="false" customHeight="true" outlineLevel="0" collapsed="false">
      <c r="A260" s="120" t="n">
        <f aca="false">EDATE(A259,1)</f>
        <v>44896</v>
      </c>
      <c r="B260" s="121" t="e">
        <f aca="false">VLOOKUP(A260,'Inputs-Summary'!$A$32:$B$41,2,FALSE())</f>
        <v>#N/A</v>
      </c>
      <c r="C260" s="122"/>
      <c r="D260" s="123" t="e">
        <f aca="false">B260+C260</f>
        <v>#N/A</v>
      </c>
      <c r="E260" s="111" t="n">
        <f aca="false">IF(Z260=0,0,IF(AND(Z260=1,$H$3=1),D260*U260,IF($H$3=2,D260,"N/A")))</f>
        <v>0</v>
      </c>
      <c r="F260" s="111" t="n">
        <f aca="false">E260*Y260</f>
        <v>0</v>
      </c>
      <c r="G260" s="124" t="n">
        <f aca="false">VLOOKUP($A260,Table,MATCH(G$4,Curves,0))</f>
        <v>3</v>
      </c>
      <c r="H260" s="125" t="n">
        <f aca="false">G260+$H$7</f>
        <v>3</v>
      </c>
      <c r="I260" s="124" t="n">
        <f aca="false">H260</f>
        <v>3</v>
      </c>
      <c r="J260" s="124" t="n">
        <f aca="false">VLOOKUP($A260,Table,MATCH(J$4,Curves,0))</f>
        <v>4</v>
      </c>
      <c r="K260" s="125" t="n">
        <f aca="false">J260+$K$7</f>
        <v>4</v>
      </c>
      <c r="L260" s="126" t="n">
        <f aca="false">K260</f>
        <v>4</v>
      </c>
      <c r="M260" s="124" t="n">
        <f aca="false">VLOOKUP($A260,Table,MATCH(M$4,Curves,0))</f>
        <v>4</v>
      </c>
      <c r="N260" s="125" t="n">
        <f aca="false">M260+$N$7</f>
        <v>4</v>
      </c>
      <c r="O260" s="126" t="n">
        <f aca="false">0.07</f>
        <v>0.07</v>
      </c>
      <c r="P260" s="114"/>
      <c r="Q260" s="126" t="n">
        <f aca="false">M260+J260+G260</f>
        <v>11</v>
      </c>
      <c r="R260" s="126" t="n">
        <f aca="false">N260+K260+H260</f>
        <v>11</v>
      </c>
      <c r="S260" s="126" t="n">
        <f aca="false">O260+L260+I260</f>
        <v>7.07</v>
      </c>
      <c r="T260" s="127"/>
      <c r="U260" s="5" t="n">
        <f aca="false">A261-A260</f>
        <v>31</v>
      </c>
      <c r="V260" s="128" t="n">
        <f aca="false">CHOOSE(F$3,A261+24,A260)</f>
        <v>44896</v>
      </c>
      <c r="W260" s="5" t="n">
        <f aca="false">V260-C$3</f>
        <v>7665</v>
      </c>
      <c r="X260" s="124" t="n">
        <f aca="false">VLOOKUP($A260,Table,MATCH(X$4,Curves,0))</f>
        <v>2</v>
      </c>
      <c r="Y260" s="129" t="n">
        <f aca="false">1/(1+CHOOSE(F$3,(X261+($K$3/10000))/2,(X260+($K$3/10000))/2))^(2*W260/365.25)</f>
        <v>2.31949810383533E-013</v>
      </c>
      <c r="Z260" s="5" t="n">
        <f aca="false">IF(AND(mthbeg&lt;=A260,mthend&gt;=A260),1,0)</f>
        <v>0</v>
      </c>
      <c r="AA260" s="5" t="n">
        <f aca="false">U260*Z260</f>
        <v>0</v>
      </c>
      <c r="AC260" s="115" t="n">
        <f aca="false">IF(G253=2,F260*(S260-Q260),F260*(Q260-S260))</f>
        <v>0</v>
      </c>
      <c r="AE260" s="116" t="n">
        <f aca="false">IF($G$3=1,F260*(R260-Q260),F260*(Q260-R260))</f>
        <v>0</v>
      </c>
      <c r="AG260" s="116" t="n">
        <f aca="false">AC260+AE260</f>
        <v>0</v>
      </c>
    </row>
    <row r="261" customFormat="false" ht="12" hidden="false" customHeight="true" outlineLevel="0" collapsed="false">
      <c r="A261" s="120" t="n">
        <f aca="false">EDATE(A260,1)</f>
        <v>44927</v>
      </c>
      <c r="B261" s="121" t="e">
        <f aca="false">VLOOKUP(A261,'Inputs-Summary'!$A$32:$B$41,2,FALSE())</f>
        <v>#N/A</v>
      </c>
      <c r="C261" s="122"/>
      <c r="D261" s="123" t="e">
        <f aca="false">B261+C261</f>
        <v>#N/A</v>
      </c>
      <c r="E261" s="111" t="n">
        <f aca="false">IF(Z261=0,0,IF(AND(Z261=1,$H$3=1),D261*U261,IF($H$3=2,D261,"N/A")))</f>
        <v>0</v>
      </c>
      <c r="F261" s="111" t="n">
        <f aca="false">E261*Y261</f>
        <v>0</v>
      </c>
      <c r="G261" s="124" t="n">
        <f aca="false">VLOOKUP($A261,Table,MATCH(G$4,Curves,0))</f>
        <v>3</v>
      </c>
      <c r="H261" s="125" t="n">
        <f aca="false">G261+$H$7</f>
        <v>3</v>
      </c>
      <c r="I261" s="124" t="n">
        <f aca="false">H261</f>
        <v>3</v>
      </c>
      <c r="J261" s="124" t="n">
        <f aca="false">VLOOKUP($A261,Table,MATCH(J$4,Curves,0))</f>
        <v>4</v>
      </c>
      <c r="K261" s="125" t="n">
        <f aca="false">J261+$K$7</f>
        <v>4</v>
      </c>
      <c r="L261" s="126" t="n">
        <f aca="false">K261</f>
        <v>4</v>
      </c>
      <c r="M261" s="124" t="n">
        <f aca="false">VLOOKUP($A261,Table,MATCH(M$4,Curves,0))</f>
        <v>4</v>
      </c>
      <c r="N261" s="125" t="n">
        <f aca="false">M261+$N$7</f>
        <v>4</v>
      </c>
      <c r="O261" s="126" t="n">
        <f aca="false">0.07</f>
        <v>0.07</v>
      </c>
      <c r="P261" s="114"/>
      <c r="Q261" s="126" t="n">
        <f aca="false">M261+J261+G261</f>
        <v>11</v>
      </c>
      <c r="R261" s="126" t="n">
        <f aca="false">N261+K261+H261</f>
        <v>11</v>
      </c>
      <c r="S261" s="126" t="n">
        <f aca="false">O261+L261+I261</f>
        <v>7.07</v>
      </c>
      <c r="T261" s="127"/>
      <c r="U261" s="5" t="n">
        <f aca="false">A262-A261</f>
        <v>31</v>
      </c>
      <c r="V261" s="128" t="n">
        <f aca="false">CHOOSE(F$3,A262+24,A261)</f>
        <v>44927</v>
      </c>
      <c r="W261" s="5" t="n">
        <f aca="false">V261-C$3</f>
        <v>7696</v>
      </c>
      <c r="X261" s="124" t="n">
        <f aca="false">VLOOKUP($A261,Table,MATCH(X$4,Curves,0))</f>
        <v>2</v>
      </c>
      <c r="Y261" s="129" t="n">
        <f aca="false">1/(1+CHOOSE(F$3,(X262+($K$3/10000))/2,(X261+($K$3/10000))/2))^(2*W261/365.25)</f>
        <v>2.06203085143056E-013</v>
      </c>
      <c r="Z261" s="5" t="n">
        <f aca="false">IF(AND(mthbeg&lt;=A261,mthend&gt;=A261),1,0)</f>
        <v>0</v>
      </c>
      <c r="AA261" s="5" t="n">
        <f aca="false">U261*Z261</f>
        <v>0</v>
      </c>
      <c r="AC261" s="115" t="n">
        <f aca="false">IF(G254=2,F261*(S261-Q261),F261*(Q261-S261))</f>
        <v>0</v>
      </c>
      <c r="AE261" s="116" t="n">
        <f aca="false">IF($G$3=1,F261*(R261-Q261),F261*(Q261-R261))</f>
        <v>0</v>
      </c>
      <c r="AG261" s="116" t="n">
        <f aca="false">AC261+AE261</f>
        <v>0</v>
      </c>
    </row>
    <row r="262" customFormat="false" ht="12" hidden="false" customHeight="true" outlineLevel="0" collapsed="false">
      <c r="A262" s="120" t="n">
        <f aca="false">EDATE(A261,1)</f>
        <v>44958</v>
      </c>
      <c r="B262" s="121" t="e">
        <f aca="false">VLOOKUP(A262,'Inputs-Summary'!$A$32:$B$41,2,FALSE())</f>
        <v>#N/A</v>
      </c>
      <c r="C262" s="122"/>
      <c r="D262" s="123" t="e">
        <f aca="false">B262+C262</f>
        <v>#N/A</v>
      </c>
      <c r="E262" s="111" t="n">
        <f aca="false">IF(Z262=0,0,IF(AND(Z262=1,$H$3=1),D262*U262,IF($H$3=2,D262,"N/A")))</f>
        <v>0</v>
      </c>
      <c r="F262" s="111" t="n">
        <f aca="false">E262*Y262</f>
        <v>0</v>
      </c>
      <c r="G262" s="124" t="n">
        <f aca="false">VLOOKUP($A262,Table,MATCH(G$4,Curves,0))</f>
        <v>3</v>
      </c>
      <c r="H262" s="125" t="n">
        <f aca="false">G262+$H$7</f>
        <v>3</v>
      </c>
      <c r="I262" s="124" t="n">
        <f aca="false">H262</f>
        <v>3</v>
      </c>
      <c r="J262" s="124" t="n">
        <f aca="false">VLOOKUP($A262,Table,MATCH(J$4,Curves,0))</f>
        <v>4</v>
      </c>
      <c r="K262" s="125" t="n">
        <f aca="false">J262+$K$7</f>
        <v>4</v>
      </c>
      <c r="L262" s="126" t="n">
        <f aca="false">K262</f>
        <v>4</v>
      </c>
      <c r="M262" s="124" t="n">
        <f aca="false">VLOOKUP($A262,Table,MATCH(M$4,Curves,0))</f>
        <v>4</v>
      </c>
      <c r="N262" s="125" t="n">
        <f aca="false">M262+$N$7</f>
        <v>4</v>
      </c>
      <c r="O262" s="126" t="n">
        <f aca="false">0.07</f>
        <v>0.07</v>
      </c>
      <c r="P262" s="114"/>
      <c r="Q262" s="126" t="n">
        <f aca="false">M262+J262+G262</f>
        <v>11</v>
      </c>
      <c r="R262" s="126" t="n">
        <f aca="false">N262+K262+H262</f>
        <v>11</v>
      </c>
      <c r="S262" s="126" t="n">
        <f aca="false">O262+L262+I262</f>
        <v>7.07</v>
      </c>
      <c r="T262" s="127"/>
      <c r="U262" s="5" t="n">
        <f aca="false">A263-A262</f>
        <v>28</v>
      </c>
      <c r="V262" s="128" t="n">
        <f aca="false">CHOOSE(F$3,A263+24,A262)</f>
        <v>44958</v>
      </c>
      <c r="W262" s="5" t="n">
        <f aca="false">V262-C$3</f>
        <v>7727</v>
      </c>
      <c r="X262" s="124" t="n">
        <f aca="false">VLOOKUP($A262,Table,MATCH(X$4,Curves,0))</f>
        <v>2</v>
      </c>
      <c r="Y262" s="129" t="n">
        <f aca="false">1/(1+CHOOSE(F$3,(X263+($K$3/10000))/2,(X262+($K$3/10000))/2))^(2*W262/365.25)</f>
        <v>1.83314279292608E-013</v>
      </c>
      <c r="Z262" s="5" t="n">
        <f aca="false">IF(AND(mthbeg&lt;=A262,mthend&gt;=A262),1,0)</f>
        <v>0</v>
      </c>
      <c r="AA262" s="5" t="n">
        <f aca="false">U262*Z262</f>
        <v>0</v>
      </c>
      <c r="AC262" s="115" t="n">
        <f aca="false">IF(G255=2,F262*(S262-Q262),F262*(Q262-S262))</f>
        <v>0</v>
      </c>
      <c r="AE262" s="116" t="n">
        <f aca="false">IF($G$3=1,F262*(R262-Q262),F262*(Q262-R262))</f>
        <v>0</v>
      </c>
      <c r="AG262" s="116" t="n">
        <f aca="false">AC262+AE262</f>
        <v>0</v>
      </c>
    </row>
    <row r="263" customFormat="false" ht="12" hidden="false" customHeight="true" outlineLevel="0" collapsed="false">
      <c r="A263" s="120" t="n">
        <f aca="false">EDATE(A262,1)</f>
        <v>44986</v>
      </c>
      <c r="B263" s="121" t="e">
        <f aca="false">VLOOKUP(A263,'Inputs-Summary'!$A$32:$B$41,2,FALSE())</f>
        <v>#N/A</v>
      </c>
      <c r="C263" s="122"/>
      <c r="D263" s="123" t="e">
        <f aca="false">B263+C263</f>
        <v>#N/A</v>
      </c>
      <c r="E263" s="111" t="n">
        <f aca="false">IF(Z263=0,0,IF(AND(Z263=1,$H$3=1),D263*U263,IF($H$3=2,D263,"N/A")))</f>
        <v>0</v>
      </c>
      <c r="F263" s="111" t="n">
        <f aca="false">E263*Y263</f>
        <v>0</v>
      </c>
      <c r="G263" s="124" t="n">
        <f aca="false">VLOOKUP($A263,Table,MATCH(G$4,Curves,0))</f>
        <v>3</v>
      </c>
      <c r="H263" s="125" t="n">
        <f aca="false">G263+$H$7</f>
        <v>3</v>
      </c>
      <c r="I263" s="124" t="n">
        <f aca="false">H263</f>
        <v>3</v>
      </c>
      <c r="J263" s="124" t="n">
        <f aca="false">VLOOKUP($A263,Table,MATCH(J$4,Curves,0))</f>
        <v>4</v>
      </c>
      <c r="K263" s="125" t="n">
        <f aca="false">J263+$K$7</f>
        <v>4</v>
      </c>
      <c r="L263" s="126" t="n">
        <f aca="false">K263</f>
        <v>4</v>
      </c>
      <c r="M263" s="124" t="n">
        <f aca="false">VLOOKUP($A263,Table,MATCH(M$4,Curves,0))</f>
        <v>4</v>
      </c>
      <c r="N263" s="125" t="n">
        <f aca="false">M263+$N$7</f>
        <v>4</v>
      </c>
      <c r="O263" s="126" t="n">
        <f aca="false">0.07</f>
        <v>0.07</v>
      </c>
      <c r="P263" s="114"/>
      <c r="Q263" s="126" t="n">
        <f aca="false">M263+J263+G263</f>
        <v>11</v>
      </c>
      <c r="R263" s="126" t="n">
        <f aca="false">N263+K263+H263</f>
        <v>11</v>
      </c>
      <c r="S263" s="126" t="n">
        <f aca="false">O263+L263+I263</f>
        <v>7.07</v>
      </c>
      <c r="T263" s="127"/>
      <c r="U263" s="5" t="n">
        <f aca="false">A264-A263</f>
        <v>31</v>
      </c>
      <c r="V263" s="128" t="n">
        <f aca="false">CHOOSE(F$3,A264+24,A263)</f>
        <v>44986</v>
      </c>
      <c r="W263" s="5" t="n">
        <f aca="false">V263-C$3</f>
        <v>7755</v>
      </c>
      <c r="X263" s="124" t="n">
        <f aca="false">VLOOKUP($A263,Table,MATCH(X$4,Curves,0))</f>
        <v>2</v>
      </c>
      <c r="Y263" s="129" t="n">
        <f aca="false">1/(1+CHOOSE(F$3,(X264+($K$3/10000))/2,(X263+($K$3/10000))/2))^(2*W263/365.25)</f>
        <v>1.64832362733769E-013</v>
      </c>
      <c r="Z263" s="5" t="n">
        <f aca="false">IF(AND(mthbeg&lt;=A263,mthend&gt;=A263),1,0)</f>
        <v>0</v>
      </c>
      <c r="AA263" s="5" t="n">
        <f aca="false">U263*Z263</f>
        <v>0</v>
      </c>
      <c r="AC263" s="115" t="n">
        <f aca="false">IF(G256=2,F263*(S263-Q263),F263*(Q263-S263))</f>
        <v>0</v>
      </c>
      <c r="AE263" s="116" t="n">
        <f aca="false">IF($G$3=1,F263*(R263-Q263),F263*(Q263-R263))</f>
        <v>0</v>
      </c>
      <c r="AG263" s="116" t="n">
        <f aca="false">AC263+AE263</f>
        <v>0</v>
      </c>
    </row>
    <row r="264" customFormat="false" ht="12" hidden="false" customHeight="true" outlineLevel="0" collapsed="false">
      <c r="A264" s="120" t="n">
        <f aca="false">EDATE(A263,1)</f>
        <v>45017</v>
      </c>
      <c r="B264" s="121" t="e">
        <f aca="false">VLOOKUP(A264,'Inputs-Summary'!$A$32:$B$41,2,FALSE())</f>
        <v>#N/A</v>
      </c>
      <c r="C264" s="122"/>
      <c r="D264" s="123" t="e">
        <f aca="false">B264+C264</f>
        <v>#N/A</v>
      </c>
      <c r="E264" s="111" t="n">
        <f aca="false">IF(Z264=0,0,IF(AND(Z264=1,$H$3=1),D264*U264,IF($H$3=2,D264,"N/A")))</f>
        <v>0</v>
      </c>
      <c r="F264" s="111" t="n">
        <f aca="false">E264*Y264</f>
        <v>0</v>
      </c>
      <c r="G264" s="124" t="n">
        <f aca="false">VLOOKUP($A264,Table,MATCH(G$4,Curves,0))</f>
        <v>3</v>
      </c>
      <c r="H264" s="125" t="n">
        <f aca="false">G264+$H$7</f>
        <v>3</v>
      </c>
      <c r="I264" s="124" t="n">
        <f aca="false">H264</f>
        <v>3</v>
      </c>
      <c r="J264" s="124" t="n">
        <f aca="false">VLOOKUP($A264,Table,MATCH(J$4,Curves,0))</f>
        <v>4</v>
      </c>
      <c r="K264" s="125" t="n">
        <f aca="false">J264+$K$7</f>
        <v>4</v>
      </c>
      <c r="L264" s="126" t="n">
        <f aca="false">K264</f>
        <v>4</v>
      </c>
      <c r="M264" s="124" t="n">
        <f aca="false">VLOOKUP($A264,Table,MATCH(M$4,Curves,0))</f>
        <v>4</v>
      </c>
      <c r="N264" s="125" t="n">
        <f aca="false">M264+$N$7</f>
        <v>4</v>
      </c>
      <c r="O264" s="126" t="n">
        <f aca="false">0.07</f>
        <v>0.07</v>
      </c>
      <c r="P264" s="114"/>
      <c r="Q264" s="126" t="n">
        <f aca="false">M264+J264+G264</f>
        <v>11</v>
      </c>
      <c r="R264" s="126" t="n">
        <f aca="false">N264+K264+H264</f>
        <v>11</v>
      </c>
      <c r="S264" s="126" t="n">
        <f aca="false">O264+L264+I264</f>
        <v>7.07</v>
      </c>
      <c r="T264" s="127"/>
      <c r="U264" s="5" t="n">
        <f aca="false">A265-A264</f>
        <v>30</v>
      </c>
      <c r="V264" s="128" t="n">
        <f aca="false">CHOOSE(F$3,A265+24,A264)</f>
        <v>45017</v>
      </c>
      <c r="W264" s="5" t="n">
        <f aca="false">V264-C$3</f>
        <v>7786</v>
      </c>
      <c r="X264" s="124" t="n">
        <f aca="false">VLOOKUP($A264,Table,MATCH(X$4,Curves,0))</f>
        <v>2</v>
      </c>
      <c r="Y264" s="129" t="n">
        <f aca="false">1/(1+CHOOSE(F$3,(X265+($K$3/10000))/2,(X264+($K$3/10000))/2))^(2*W264/365.25)</f>
        <v>1.4653575991686E-013</v>
      </c>
      <c r="Z264" s="5" t="n">
        <f aca="false">IF(AND(mthbeg&lt;=A264,mthend&gt;=A264),1,0)</f>
        <v>0</v>
      </c>
      <c r="AA264" s="5" t="n">
        <f aca="false">U264*Z264</f>
        <v>0</v>
      </c>
      <c r="AC264" s="115" t="n">
        <f aca="false">IF(G257=2,F264*(S264-Q264),F264*(Q264-S264))</f>
        <v>0</v>
      </c>
      <c r="AE264" s="116" t="n">
        <f aca="false">IF($G$3=1,F264*(R264-Q264),F264*(Q264-R264))</f>
        <v>0</v>
      </c>
      <c r="AG264" s="116" t="n">
        <f aca="false">AC264+AE264</f>
        <v>0</v>
      </c>
    </row>
    <row r="265" customFormat="false" ht="12" hidden="false" customHeight="true" outlineLevel="0" collapsed="false">
      <c r="A265" s="120" t="n">
        <f aca="false">EDATE(A264,1)</f>
        <v>45047</v>
      </c>
      <c r="B265" s="121" t="e">
        <f aca="false">VLOOKUP(A265,'Inputs-Summary'!$A$32:$B$41,2,FALSE())</f>
        <v>#N/A</v>
      </c>
      <c r="C265" s="122"/>
      <c r="D265" s="123" t="e">
        <f aca="false">B265+C265</f>
        <v>#N/A</v>
      </c>
      <c r="E265" s="111" t="n">
        <f aca="false">IF(Z265=0,0,IF(AND(Z265=1,$H$3=1),D265*U265,IF($H$3=2,D265,"N/A")))</f>
        <v>0</v>
      </c>
      <c r="F265" s="111" t="n">
        <f aca="false">E265*Y265</f>
        <v>0</v>
      </c>
      <c r="G265" s="124" t="n">
        <f aca="false">VLOOKUP($A265,Table,MATCH(G$4,Curves,0))</f>
        <v>3</v>
      </c>
      <c r="H265" s="125" t="n">
        <f aca="false">G265+$H$7</f>
        <v>3</v>
      </c>
      <c r="I265" s="124" t="n">
        <f aca="false">H265</f>
        <v>3</v>
      </c>
      <c r="J265" s="124" t="n">
        <f aca="false">VLOOKUP($A265,Table,MATCH(J$4,Curves,0))</f>
        <v>4</v>
      </c>
      <c r="K265" s="125" t="n">
        <f aca="false">J265+$K$7</f>
        <v>4</v>
      </c>
      <c r="L265" s="126" t="n">
        <f aca="false">K265</f>
        <v>4</v>
      </c>
      <c r="M265" s="124" t="n">
        <f aca="false">VLOOKUP($A265,Table,MATCH(M$4,Curves,0))</f>
        <v>4</v>
      </c>
      <c r="N265" s="125" t="n">
        <f aca="false">M265+$N$7</f>
        <v>4</v>
      </c>
      <c r="O265" s="126" t="n">
        <f aca="false">0.07</f>
        <v>0.07</v>
      </c>
      <c r="P265" s="114"/>
      <c r="Q265" s="126" t="n">
        <f aca="false">M265+J265+G265</f>
        <v>11</v>
      </c>
      <c r="R265" s="126" t="n">
        <f aca="false">N265+K265+H265</f>
        <v>11</v>
      </c>
      <c r="S265" s="126" t="n">
        <f aca="false">O265+L265+I265</f>
        <v>7.07</v>
      </c>
      <c r="T265" s="127"/>
      <c r="U265" s="5" t="n">
        <f aca="false">A266-A265</f>
        <v>31</v>
      </c>
      <c r="V265" s="128" t="n">
        <f aca="false">CHOOSE(F$3,A266+24,A265)</f>
        <v>45047</v>
      </c>
      <c r="W265" s="5" t="n">
        <f aca="false">V265-C$3</f>
        <v>7816</v>
      </c>
      <c r="X265" s="124" t="n">
        <f aca="false">VLOOKUP($A265,Table,MATCH(X$4,Curves,0))</f>
        <v>2</v>
      </c>
      <c r="Y265" s="129" t="n">
        <f aca="false">1/(1+CHOOSE(F$3,(X266+($K$3/10000))/2,(X265+($K$3/10000))/2))^(2*W265/365.25)</f>
        <v>1.3076547877267E-013</v>
      </c>
      <c r="Z265" s="5" t="n">
        <f aca="false">IF(AND(mthbeg&lt;=A265,mthend&gt;=A265),1,0)</f>
        <v>0</v>
      </c>
      <c r="AA265" s="5" t="n">
        <f aca="false">U265*Z265</f>
        <v>0</v>
      </c>
      <c r="AC265" s="115" t="n">
        <f aca="false">IF(G258=2,F265*(S265-Q265),F265*(Q265-S265))</f>
        <v>0</v>
      </c>
      <c r="AE265" s="116" t="n">
        <f aca="false">IF($G$3=1,F265*(R265-Q265),F265*(Q265-R265))</f>
        <v>0</v>
      </c>
      <c r="AG265" s="116" t="n">
        <f aca="false">AC265+AE265</f>
        <v>0</v>
      </c>
    </row>
    <row r="266" customFormat="false" ht="12" hidden="false" customHeight="true" outlineLevel="0" collapsed="false">
      <c r="A266" s="120" t="n">
        <f aca="false">EDATE(A265,1)</f>
        <v>45078</v>
      </c>
      <c r="B266" s="121" t="e">
        <f aca="false">VLOOKUP(A266,'Inputs-Summary'!$A$32:$B$41,2,FALSE())</f>
        <v>#N/A</v>
      </c>
      <c r="C266" s="122"/>
      <c r="D266" s="123" t="e">
        <f aca="false">B266+C266</f>
        <v>#N/A</v>
      </c>
      <c r="E266" s="111" t="n">
        <f aca="false">IF(Z266=0,0,IF(AND(Z266=1,$H$3=1),D266*U266,IF($H$3=2,D266,"N/A")))</f>
        <v>0</v>
      </c>
      <c r="F266" s="111" t="n">
        <f aca="false">E266*Y266</f>
        <v>0</v>
      </c>
      <c r="G266" s="124" t="n">
        <f aca="false">VLOOKUP($A266,Table,MATCH(G$4,Curves,0))</f>
        <v>3</v>
      </c>
      <c r="H266" s="125" t="n">
        <f aca="false">G266+$H$7</f>
        <v>3</v>
      </c>
      <c r="I266" s="124" t="n">
        <f aca="false">H266</f>
        <v>3</v>
      </c>
      <c r="J266" s="124" t="n">
        <f aca="false">VLOOKUP($A266,Table,MATCH(J$4,Curves,0))</f>
        <v>4</v>
      </c>
      <c r="K266" s="125" t="n">
        <f aca="false">J266+$K$7</f>
        <v>4</v>
      </c>
      <c r="L266" s="126" t="n">
        <f aca="false">K266</f>
        <v>4</v>
      </c>
      <c r="M266" s="124" t="n">
        <f aca="false">VLOOKUP($A266,Table,MATCH(M$4,Curves,0))</f>
        <v>4</v>
      </c>
      <c r="N266" s="125" t="n">
        <f aca="false">M266+$N$7</f>
        <v>4</v>
      </c>
      <c r="O266" s="126" t="n">
        <f aca="false">0.07</f>
        <v>0.07</v>
      </c>
      <c r="P266" s="114"/>
      <c r="Q266" s="126" t="n">
        <f aca="false">M266+J266+G266</f>
        <v>11</v>
      </c>
      <c r="R266" s="126" t="n">
        <f aca="false">N266+K266+H266</f>
        <v>11</v>
      </c>
      <c r="S266" s="126" t="n">
        <f aca="false">O266+L266+I266</f>
        <v>7.07</v>
      </c>
      <c r="T266" s="127"/>
      <c r="U266" s="5" t="n">
        <f aca="false">A267-A266</f>
        <v>30</v>
      </c>
      <c r="V266" s="128" t="n">
        <f aca="false">CHOOSE(F$3,A267+24,A266)</f>
        <v>45078</v>
      </c>
      <c r="W266" s="5" t="n">
        <f aca="false">V266-C$3</f>
        <v>7847</v>
      </c>
      <c r="X266" s="124" t="n">
        <f aca="false">VLOOKUP($A266,Table,MATCH(X$4,Curves,0))</f>
        <v>2</v>
      </c>
      <c r="Y266" s="129" t="n">
        <f aca="false">1/(1+CHOOSE(F$3,(X267+($K$3/10000))/2,(X266+($K$3/10000))/2))^(2*W266/365.25)</f>
        <v>1.16250343591778E-013</v>
      </c>
      <c r="Z266" s="5" t="n">
        <f aca="false">IF(AND(mthbeg&lt;=A266,mthend&gt;=A266),1,0)</f>
        <v>0</v>
      </c>
      <c r="AA266" s="5" t="n">
        <f aca="false">U266*Z266</f>
        <v>0</v>
      </c>
      <c r="AC266" s="115" t="n">
        <f aca="false">IF(G259=2,F266*(S266-Q266),F266*(Q266-S266))</f>
        <v>0</v>
      </c>
      <c r="AE266" s="116" t="n">
        <f aca="false">IF($G$3=1,F266*(R266-Q266),F266*(Q266-R266))</f>
        <v>0</v>
      </c>
      <c r="AG266" s="116" t="n">
        <f aca="false">AC266+AE266</f>
        <v>0</v>
      </c>
    </row>
    <row r="267" customFormat="false" ht="12" hidden="false" customHeight="true" outlineLevel="0" collapsed="false">
      <c r="A267" s="120" t="n">
        <f aca="false">EDATE(A266,1)</f>
        <v>45108</v>
      </c>
      <c r="B267" s="121" t="e">
        <f aca="false">VLOOKUP(A267,'Inputs-Summary'!$A$32:$B$41,2,FALSE())</f>
        <v>#N/A</v>
      </c>
      <c r="C267" s="122"/>
      <c r="D267" s="123" t="e">
        <f aca="false">B267+C267</f>
        <v>#N/A</v>
      </c>
      <c r="E267" s="111" t="n">
        <f aca="false">IF(Z267=0,0,IF(AND(Z267=1,$H$3=1),D267*U267,IF($H$3=2,D267,"N/A")))</f>
        <v>0</v>
      </c>
      <c r="F267" s="111" t="n">
        <f aca="false">E267*Y267</f>
        <v>0</v>
      </c>
      <c r="G267" s="124" t="n">
        <f aca="false">VLOOKUP($A267,Table,MATCH(G$4,Curves,0))</f>
        <v>3</v>
      </c>
      <c r="H267" s="125" t="n">
        <f aca="false">G267+$H$7</f>
        <v>3</v>
      </c>
      <c r="I267" s="124" t="n">
        <f aca="false">H267</f>
        <v>3</v>
      </c>
      <c r="J267" s="124" t="n">
        <f aca="false">VLOOKUP($A267,Table,MATCH(J$4,Curves,0))</f>
        <v>4</v>
      </c>
      <c r="K267" s="125" t="n">
        <f aca="false">J267+$K$7</f>
        <v>4</v>
      </c>
      <c r="L267" s="126" t="n">
        <f aca="false">K267</f>
        <v>4</v>
      </c>
      <c r="M267" s="124" t="n">
        <f aca="false">VLOOKUP($A267,Table,MATCH(M$4,Curves,0))</f>
        <v>4</v>
      </c>
      <c r="N267" s="125" t="n">
        <f aca="false">M267+$N$7</f>
        <v>4</v>
      </c>
      <c r="O267" s="126" t="n">
        <f aca="false">0.07</f>
        <v>0.07</v>
      </c>
      <c r="P267" s="114"/>
      <c r="Q267" s="126" t="n">
        <f aca="false">M267+J267+G267</f>
        <v>11</v>
      </c>
      <c r="R267" s="126" t="n">
        <f aca="false">N267+K267+H267</f>
        <v>11</v>
      </c>
      <c r="S267" s="126" t="n">
        <f aca="false">O267+L267+I267</f>
        <v>7.07</v>
      </c>
      <c r="T267" s="127"/>
      <c r="U267" s="5" t="n">
        <f aca="false">A268-A267</f>
        <v>31</v>
      </c>
      <c r="V267" s="128" t="n">
        <f aca="false">CHOOSE(F$3,A268+24,A267)</f>
        <v>45108</v>
      </c>
      <c r="W267" s="5" t="n">
        <f aca="false">V267-C$3</f>
        <v>7877</v>
      </c>
      <c r="X267" s="124" t="n">
        <f aca="false">VLOOKUP($A267,Table,MATCH(X$4,Curves,0))</f>
        <v>2</v>
      </c>
      <c r="Y267" s="129" t="n">
        <f aca="false">1/(1+CHOOSE(F$3,(X268+($K$3/10000))/2,(X267+($K$3/10000))/2))^(2*W267/365.25)</f>
        <v>1.03739400170246E-013</v>
      </c>
      <c r="Z267" s="5" t="n">
        <f aca="false">IF(AND(mthbeg&lt;=A267,mthend&gt;=A267),1,0)</f>
        <v>0</v>
      </c>
      <c r="AA267" s="5" t="n">
        <f aca="false">U267*Z267</f>
        <v>0</v>
      </c>
      <c r="AC267" s="115" t="n">
        <f aca="false">IF(G260=2,F267*(S267-Q267),F267*(Q267-S267))</f>
        <v>0</v>
      </c>
      <c r="AE267" s="116" t="n">
        <f aca="false">IF($G$3=1,F267*(R267-Q267),F267*(Q267-R267))</f>
        <v>0</v>
      </c>
      <c r="AG267" s="116" t="n">
        <f aca="false">AC267+AE267</f>
        <v>0</v>
      </c>
    </row>
    <row r="268" customFormat="false" ht="12" hidden="false" customHeight="true" outlineLevel="0" collapsed="false">
      <c r="A268" s="120" t="n">
        <f aca="false">EDATE(A267,1)</f>
        <v>45139</v>
      </c>
      <c r="B268" s="121" t="e">
        <f aca="false">VLOOKUP(A268,'Inputs-Summary'!$A$32:$B$41,2,FALSE())</f>
        <v>#N/A</v>
      </c>
      <c r="C268" s="122"/>
      <c r="D268" s="123" t="e">
        <f aca="false">B268+C268</f>
        <v>#N/A</v>
      </c>
      <c r="E268" s="111" t="n">
        <f aca="false">IF(Z268=0,0,IF(AND(Z268=1,$H$3=1),D268*U268,IF($H$3=2,D268,"N/A")))</f>
        <v>0</v>
      </c>
      <c r="F268" s="111" t="n">
        <f aca="false">E268*Y268</f>
        <v>0</v>
      </c>
      <c r="G268" s="124" t="n">
        <f aca="false">VLOOKUP($A268,Table,MATCH(G$4,Curves,0))</f>
        <v>3</v>
      </c>
      <c r="H268" s="125" t="n">
        <f aca="false">G268+$H$7</f>
        <v>3</v>
      </c>
      <c r="I268" s="124" t="n">
        <f aca="false">H268</f>
        <v>3</v>
      </c>
      <c r="J268" s="124" t="n">
        <f aca="false">VLOOKUP($A268,Table,MATCH(J$4,Curves,0))</f>
        <v>4</v>
      </c>
      <c r="K268" s="125" t="n">
        <f aca="false">J268+$K$7</f>
        <v>4</v>
      </c>
      <c r="L268" s="126" t="n">
        <f aca="false">K268</f>
        <v>4</v>
      </c>
      <c r="M268" s="124" t="n">
        <f aca="false">VLOOKUP($A268,Table,MATCH(M$4,Curves,0))</f>
        <v>4</v>
      </c>
      <c r="N268" s="125" t="n">
        <f aca="false">M268+$N$7</f>
        <v>4</v>
      </c>
      <c r="O268" s="126" t="n">
        <f aca="false">0.07</f>
        <v>0.07</v>
      </c>
      <c r="P268" s="114"/>
      <c r="Q268" s="126" t="n">
        <f aca="false">M268+J268+G268</f>
        <v>11</v>
      </c>
      <c r="R268" s="126" t="n">
        <f aca="false">N268+K268+H268</f>
        <v>11</v>
      </c>
      <c r="S268" s="126" t="n">
        <f aca="false">O268+L268+I268</f>
        <v>7.07</v>
      </c>
      <c r="T268" s="127"/>
      <c r="U268" s="5" t="n">
        <f aca="false">A269-A268</f>
        <v>31</v>
      </c>
      <c r="V268" s="128" t="n">
        <f aca="false">CHOOSE(F$3,A269+24,A268)</f>
        <v>45139</v>
      </c>
      <c r="W268" s="5" t="n">
        <f aca="false">V268-C$3</f>
        <v>7908</v>
      </c>
      <c r="X268" s="124" t="n">
        <f aca="false">VLOOKUP($A268,Table,MATCH(X$4,Curves,0))</f>
        <v>2</v>
      </c>
      <c r="Y268" s="129" t="n">
        <f aca="false">1/(1+CHOOSE(F$3,(X269+($K$3/10000))/2,(X268+($K$3/10000))/2))^(2*W268/365.25)</f>
        <v>9.22241942367787E-014</v>
      </c>
      <c r="Z268" s="5" t="n">
        <f aca="false">IF(AND(mthbeg&lt;=A268,mthend&gt;=A268),1,0)</f>
        <v>0</v>
      </c>
      <c r="AA268" s="5" t="n">
        <f aca="false">U268*Z268</f>
        <v>0</v>
      </c>
      <c r="AC268" s="115" t="n">
        <f aca="false">IF(G261=2,F268*(S268-Q268),F268*(Q268-S268))</f>
        <v>0</v>
      </c>
      <c r="AE268" s="116" t="n">
        <f aca="false">IF($G$3=1,F268*(R268-Q268),F268*(Q268-R268))</f>
        <v>0</v>
      </c>
      <c r="AG268" s="116" t="n">
        <f aca="false">AC268+AE268</f>
        <v>0</v>
      </c>
    </row>
    <row r="269" customFormat="false" ht="12" hidden="false" customHeight="true" outlineLevel="0" collapsed="false">
      <c r="A269" s="120" t="n">
        <f aca="false">EDATE(A268,1)</f>
        <v>45170</v>
      </c>
      <c r="B269" s="121" t="e">
        <f aca="false">VLOOKUP(A269,'Inputs-Summary'!$A$32:$B$41,2,FALSE())</f>
        <v>#N/A</v>
      </c>
      <c r="C269" s="122"/>
      <c r="D269" s="123" t="e">
        <f aca="false">B269+C269</f>
        <v>#N/A</v>
      </c>
      <c r="E269" s="111" t="n">
        <f aca="false">IF(Z269=0,0,IF(AND(Z269=1,$H$3=1),D269*U269,IF($H$3=2,D269,"N/A")))</f>
        <v>0</v>
      </c>
      <c r="F269" s="111" t="n">
        <f aca="false">E269*Y269</f>
        <v>0</v>
      </c>
      <c r="G269" s="124" t="n">
        <f aca="false">VLOOKUP($A269,Table,MATCH(G$4,Curves,0))</f>
        <v>3</v>
      </c>
      <c r="H269" s="125" t="n">
        <f aca="false">G269+$H$7</f>
        <v>3</v>
      </c>
      <c r="I269" s="124" t="n">
        <f aca="false">H269</f>
        <v>3</v>
      </c>
      <c r="J269" s="124" t="n">
        <f aca="false">VLOOKUP($A269,Table,MATCH(J$4,Curves,0))</f>
        <v>4</v>
      </c>
      <c r="K269" s="125" t="n">
        <f aca="false">J269+$K$7</f>
        <v>4</v>
      </c>
      <c r="L269" s="126" t="n">
        <f aca="false">K269</f>
        <v>4</v>
      </c>
      <c r="M269" s="124" t="n">
        <f aca="false">VLOOKUP($A269,Table,MATCH(M$4,Curves,0))</f>
        <v>4</v>
      </c>
      <c r="N269" s="125" t="n">
        <f aca="false">M269+$N$7</f>
        <v>4</v>
      </c>
      <c r="O269" s="126" t="n">
        <f aca="false">0.07</f>
        <v>0.07</v>
      </c>
      <c r="P269" s="114"/>
      <c r="Q269" s="126" t="n">
        <f aca="false">M269+J269+G269</f>
        <v>11</v>
      </c>
      <c r="R269" s="126" t="n">
        <f aca="false">N269+K269+H269</f>
        <v>11</v>
      </c>
      <c r="S269" s="126" t="n">
        <f aca="false">O269+L269+I269</f>
        <v>7.07</v>
      </c>
      <c r="T269" s="127"/>
      <c r="U269" s="5" t="n">
        <f aca="false">A270-A269</f>
        <v>30</v>
      </c>
      <c r="V269" s="128" t="n">
        <f aca="false">CHOOSE(F$3,A270+24,A269)</f>
        <v>45170</v>
      </c>
      <c r="W269" s="5" t="n">
        <f aca="false">V269-C$3</f>
        <v>7939</v>
      </c>
      <c r="X269" s="124" t="n">
        <f aca="false">VLOOKUP($A269,Table,MATCH(X$4,Curves,0))</f>
        <v>2</v>
      </c>
      <c r="Y269" s="129" t="n">
        <f aca="false">1/(1+CHOOSE(F$3,(X270+($K$3/10000))/2,(X269+($K$3/10000))/2))^(2*W269/365.25)</f>
        <v>8.19871908712125E-014</v>
      </c>
      <c r="Z269" s="5" t="n">
        <f aca="false">IF(AND(mthbeg&lt;=A269,mthend&gt;=A269),1,0)</f>
        <v>0</v>
      </c>
      <c r="AA269" s="5" t="n">
        <f aca="false">U269*Z269</f>
        <v>0</v>
      </c>
      <c r="AC269" s="115" t="n">
        <f aca="false">IF(G262=2,F269*(S269-Q269),F269*(Q269-S269))</f>
        <v>0</v>
      </c>
      <c r="AE269" s="116" t="n">
        <f aca="false">IF($G$3=1,F269*(R269-Q269),F269*(Q269-R269))</f>
        <v>0</v>
      </c>
      <c r="AG269" s="116" t="n">
        <f aca="false">AC269+AE269</f>
        <v>0</v>
      </c>
    </row>
    <row r="270" customFormat="false" ht="12" hidden="false" customHeight="true" outlineLevel="0" collapsed="false">
      <c r="A270" s="120" t="n">
        <f aca="false">EDATE(A269,1)</f>
        <v>45200</v>
      </c>
      <c r="B270" s="121" t="e">
        <f aca="false">VLOOKUP(A270,'Inputs-Summary'!$A$32:$B$41,2,FALSE())</f>
        <v>#N/A</v>
      </c>
      <c r="C270" s="122"/>
      <c r="D270" s="123" t="e">
        <f aca="false">B270+C270</f>
        <v>#N/A</v>
      </c>
      <c r="E270" s="111" t="n">
        <f aca="false">IF(Z270=0,0,IF(AND(Z270=1,$H$3=1),D270*U270,IF($H$3=2,D270,"N/A")))</f>
        <v>0</v>
      </c>
      <c r="F270" s="111" t="n">
        <f aca="false">E270*Y270</f>
        <v>0</v>
      </c>
      <c r="G270" s="124" t="n">
        <f aca="false">VLOOKUP($A270,Table,MATCH(G$4,Curves,0))</f>
        <v>3</v>
      </c>
      <c r="H270" s="125" t="n">
        <f aca="false">G270+$H$7</f>
        <v>3</v>
      </c>
      <c r="I270" s="124" t="n">
        <f aca="false">H270</f>
        <v>3</v>
      </c>
      <c r="J270" s="124" t="n">
        <f aca="false">VLOOKUP($A270,Table,MATCH(J$4,Curves,0))</f>
        <v>4</v>
      </c>
      <c r="K270" s="125" t="n">
        <f aca="false">J270+$K$7</f>
        <v>4</v>
      </c>
      <c r="L270" s="126" t="n">
        <f aca="false">K270</f>
        <v>4</v>
      </c>
      <c r="M270" s="124" t="n">
        <f aca="false">VLOOKUP($A270,Table,MATCH(M$4,Curves,0))</f>
        <v>4</v>
      </c>
      <c r="N270" s="125" t="n">
        <f aca="false">M270+$N$7</f>
        <v>4</v>
      </c>
      <c r="O270" s="126" t="n">
        <f aca="false">0.07</f>
        <v>0.07</v>
      </c>
      <c r="P270" s="114"/>
      <c r="Q270" s="126" t="n">
        <f aca="false">M270+J270+G270</f>
        <v>11</v>
      </c>
      <c r="R270" s="126" t="n">
        <f aca="false">N270+K270+H270</f>
        <v>11</v>
      </c>
      <c r="S270" s="126" t="n">
        <f aca="false">O270+L270+I270</f>
        <v>7.07</v>
      </c>
      <c r="T270" s="127"/>
      <c r="U270" s="5" t="n">
        <f aca="false">A271-A270</f>
        <v>31</v>
      </c>
      <c r="V270" s="128" t="n">
        <f aca="false">CHOOSE(F$3,A271+24,A270)</f>
        <v>45200</v>
      </c>
      <c r="W270" s="5" t="n">
        <f aca="false">V270-C$3</f>
        <v>7969</v>
      </c>
      <c r="X270" s="124" t="n">
        <f aca="false">VLOOKUP($A270,Table,MATCH(X$4,Curves,0))</f>
        <v>2</v>
      </c>
      <c r="Y270" s="129" t="n">
        <f aca="false">1/(1+CHOOSE(F$3,(X271+($K$3/10000))/2,(X270+($K$3/10000))/2))^(2*W270/365.25)</f>
        <v>7.31636719499951E-014</v>
      </c>
      <c r="Z270" s="5" t="n">
        <f aca="false">IF(AND(mthbeg&lt;=A270,mthend&gt;=A270),1,0)</f>
        <v>0</v>
      </c>
      <c r="AA270" s="5" t="n">
        <f aca="false">U270*Z270</f>
        <v>0</v>
      </c>
      <c r="AC270" s="115" t="n">
        <f aca="false">IF(G263=2,F270*(S270-Q270),F270*(Q270-S270))</f>
        <v>0</v>
      </c>
      <c r="AE270" s="116" t="n">
        <f aca="false">IF($G$3=1,F270*(R270-Q270),F270*(Q270-R270))</f>
        <v>0</v>
      </c>
      <c r="AG270" s="116" t="n">
        <f aca="false">AC270+AE270</f>
        <v>0</v>
      </c>
    </row>
    <row r="271" customFormat="false" ht="12" hidden="false" customHeight="true" outlineLevel="0" collapsed="false">
      <c r="A271" s="120" t="n">
        <f aca="false">EDATE(A270,1)</f>
        <v>45231</v>
      </c>
      <c r="B271" s="121" t="e">
        <f aca="false">VLOOKUP(A271,'Inputs-Summary'!$A$32:$B$41,2,FALSE())</f>
        <v>#N/A</v>
      </c>
      <c r="C271" s="122"/>
      <c r="D271" s="123" t="e">
        <f aca="false">B271+C271</f>
        <v>#N/A</v>
      </c>
      <c r="E271" s="111" t="n">
        <f aca="false">IF(Z271=0,0,IF(AND(Z271=1,$H$3=1),D271*U271,IF($H$3=2,D271,"N/A")))</f>
        <v>0</v>
      </c>
      <c r="F271" s="111" t="n">
        <f aca="false">E271*Y271</f>
        <v>0</v>
      </c>
      <c r="G271" s="124" t="n">
        <f aca="false">VLOOKUP($A271,Table,MATCH(G$4,Curves,0))</f>
        <v>3</v>
      </c>
      <c r="H271" s="125" t="n">
        <f aca="false">G271+$H$7</f>
        <v>3</v>
      </c>
      <c r="I271" s="124" t="n">
        <f aca="false">H271</f>
        <v>3</v>
      </c>
      <c r="J271" s="124" t="n">
        <f aca="false">VLOOKUP($A271,Table,MATCH(J$4,Curves,0))</f>
        <v>4</v>
      </c>
      <c r="K271" s="125" t="n">
        <f aca="false">J271+$K$7</f>
        <v>4</v>
      </c>
      <c r="L271" s="126" t="n">
        <f aca="false">K271</f>
        <v>4</v>
      </c>
      <c r="M271" s="124" t="n">
        <f aca="false">VLOOKUP($A271,Table,MATCH(M$4,Curves,0))</f>
        <v>4</v>
      </c>
      <c r="N271" s="125" t="n">
        <f aca="false">M271+$N$7</f>
        <v>4</v>
      </c>
      <c r="O271" s="126" t="n">
        <f aca="false">0.07</f>
        <v>0.07</v>
      </c>
      <c r="P271" s="114"/>
      <c r="Q271" s="126" t="n">
        <f aca="false">M271+J271+G271</f>
        <v>11</v>
      </c>
      <c r="R271" s="126" t="n">
        <f aca="false">N271+K271+H271</f>
        <v>11</v>
      </c>
      <c r="S271" s="126" t="n">
        <f aca="false">O271+L271+I271</f>
        <v>7.07</v>
      </c>
      <c r="T271" s="127"/>
      <c r="U271" s="5" t="n">
        <f aca="false">A272-A271</f>
        <v>30</v>
      </c>
      <c r="V271" s="128" t="n">
        <f aca="false">CHOOSE(F$3,A272+24,A271)</f>
        <v>45231</v>
      </c>
      <c r="W271" s="5" t="n">
        <f aca="false">V271-C$3</f>
        <v>8000</v>
      </c>
      <c r="X271" s="124" t="n">
        <f aca="false">VLOOKUP($A271,Table,MATCH(X$4,Curves,0))</f>
        <v>2</v>
      </c>
      <c r="Y271" s="129" t="n">
        <f aca="false">1/(1+CHOOSE(F$3,(X272+($K$3/10000))/2,(X271+($K$3/10000))/2))^(2*W271/365.25)</f>
        <v>6.50424109057799E-014</v>
      </c>
      <c r="Z271" s="5" t="n">
        <f aca="false">IF(AND(mthbeg&lt;=A271,mthend&gt;=A271),1,0)</f>
        <v>0</v>
      </c>
      <c r="AA271" s="5" t="n">
        <f aca="false">U271*Z271</f>
        <v>0</v>
      </c>
      <c r="AC271" s="115" t="n">
        <f aca="false">IF(G264=2,F271*(S271-Q271),F271*(Q271-S271))</f>
        <v>0</v>
      </c>
      <c r="AE271" s="116" t="n">
        <f aca="false">IF($G$3=1,F271*(R271-Q271),F271*(Q271-R271))</f>
        <v>0</v>
      </c>
      <c r="AG271" s="116" t="n">
        <f aca="false">AC271+AE271</f>
        <v>0</v>
      </c>
    </row>
    <row r="272" customFormat="false" ht="12" hidden="false" customHeight="true" outlineLevel="0" collapsed="false">
      <c r="A272" s="120" t="n">
        <f aca="false">EDATE(A271,1)</f>
        <v>45261</v>
      </c>
      <c r="B272" s="121" t="e">
        <f aca="false">VLOOKUP(A272,'Inputs-Summary'!$A$32:$B$41,2,FALSE())</f>
        <v>#N/A</v>
      </c>
      <c r="C272" s="122"/>
      <c r="D272" s="123" t="e">
        <f aca="false">B272+C272</f>
        <v>#N/A</v>
      </c>
      <c r="E272" s="111" t="n">
        <f aca="false">IF(Z272=0,0,IF(AND(Z272=1,$H$3=1),D272*U272,IF($H$3=2,D272,"N/A")))</f>
        <v>0</v>
      </c>
      <c r="F272" s="111" t="n">
        <f aca="false">E272*Y272</f>
        <v>0</v>
      </c>
      <c r="G272" s="124" t="n">
        <f aca="false">VLOOKUP($A272,Table,MATCH(G$4,Curves,0))</f>
        <v>3</v>
      </c>
      <c r="H272" s="125" t="n">
        <f aca="false">G272+$H$7</f>
        <v>3</v>
      </c>
      <c r="I272" s="124" t="n">
        <f aca="false">H272</f>
        <v>3</v>
      </c>
      <c r="J272" s="124" t="n">
        <f aca="false">VLOOKUP($A272,Table,MATCH(J$4,Curves,0))</f>
        <v>4</v>
      </c>
      <c r="K272" s="125" t="n">
        <f aca="false">J272+$K$7</f>
        <v>4</v>
      </c>
      <c r="L272" s="126" t="n">
        <f aca="false">K272</f>
        <v>4</v>
      </c>
      <c r="M272" s="124" t="n">
        <f aca="false">VLOOKUP($A272,Table,MATCH(M$4,Curves,0))</f>
        <v>4</v>
      </c>
      <c r="N272" s="125" t="n">
        <f aca="false">M272+$N$7</f>
        <v>4</v>
      </c>
      <c r="O272" s="126" t="n">
        <f aca="false">0.07</f>
        <v>0.07</v>
      </c>
      <c r="P272" s="114"/>
      <c r="Q272" s="126" t="n">
        <f aca="false">M272+J272+G272</f>
        <v>11</v>
      </c>
      <c r="R272" s="126" t="n">
        <f aca="false">N272+K272+H272</f>
        <v>11</v>
      </c>
      <c r="S272" s="126" t="n">
        <f aca="false">O272+L272+I272</f>
        <v>7.07</v>
      </c>
      <c r="T272" s="127"/>
      <c r="U272" s="5" t="n">
        <f aca="false">A273-A272</f>
        <v>31</v>
      </c>
      <c r="V272" s="128" t="n">
        <f aca="false">CHOOSE(F$3,A273+24,A272)</f>
        <v>45261</v>
      </c>
      <c r="W272" s="5" t="n">
        <f aca="false">V272-C$3</f>
        <v>8030</v>
      </c>
      <c r="X272" s="124" t="n">
        <f aca="false">VLOOKUP($A272,Table,MATCH(X$4,Curves,0))</f>
        <v>2</v>
      </c>
      <c r="Y272" s="129" t="n">
        <f aca="false">1/(1+CHOOSE(F$3,(X273+($K$3/10000))/2,(X272+($K$3/10000))/2))^(2*W272/365.25)</f>
        <v>5.80425010758377E-014</v>
      </c>
      <c r="Z272" s="5" t="n">
        <f aca="false">IF(AND(mthbeg&lt;=A272,mthend&gt;=A272),1,0)</f>
        <v>0</v>
      </c>
      <c r="AA272" s="5" t="n">
        <f aca="false">U272*Z272</f>
        <v>0</v>
      </c>
      <c r="AC272" s="115" t="n">
        <f aca="false">IF(G265=2,F272*(S272-Q272),F272*(Q272-S272))</f>
        <v>0</v>
      </c>
      <c r="AE272" s="116" t="n">
        <f aca="false">IF($G$3=1,F272*(R272-Q272),F272*(Q272-R272))</f>
        <v>0</v>
      </c>
      <c r="AG272" s="116" t="n">
        <f aca="false">AC272+AE272</f>
        <v>0</v>
      </c>
    </row>
    <row r="273" customFormat="false" ht="12" hidden="false" customHeight="true" outlineLevel="0" collapsed="false">
      <c r="A273" s="120" t="n">
        <f aca="false">EDATE(A272,1)</f>
        <v>45292</v>
      </c>
      <c r="B273" s="121" t="e">
        <f aca="false">VLOOKUP(A273,'Inputs-Summary'!$A$32:$B$41,2,FALSE())</f>
        <v>#N/A</v>
      </c>
      <c r="C273" s="122"/>
      <c r="D273" s="123" t="e">
        <f aca="false">B273+C273</f>
        <v>#N/A</v>
      </c>
      <c r="E273" s="111" t="n">
        <f aca="false">IF(Z273=0,0,IF(AND(Z273=1,$H$3=1),D273*U273,IF($H$3=2,D273,"N/A")))</f>
        <v>0</v>
      </c>
      <c r="F273" s="111" t="n">
        <f aca="false">E273*Y273</f>
        <v>0</v>
      </c>
      <c r="G273" s="124" t="n">
        <f aca="false">VLOOKUP($A273,Table,MATCH(G$4,Curves,0))</f>
        <v>3</v>
      </c>
      <c r="H273" s="125" t="n">
        <f aca="false">G273+$H$7</f>
        <v>3</v>
      </c>
      <c r="I273" s="124" t="n">
        <f aca="false">H273</f>
        <v>3</v>
      </c>
      <c r="J273" s="124" t="n">
        <f aca="false">VLOOKUP($A273,Table,MATCH(J$4,Curves,0))</f>
        <v>4</v>
      </c>
      <c r="K273" s="125" t="n">
        <f aca="false">J273+$K$7</f>
        <v>4</v>
      </c>
      <c r="L273" s="126" t="n">
        <f aca="false">K273</f>
        <v>4</v>
      </c>
      <c r="M273" s="124" t="n">
        <f aca="false">VLOOKUP($A273,Table,MATCH(M$4,Curves,0))</f>
        <v>4</v>
      </c>
      <c r="N273" s="125" t="n">
        <f aca="false">M273+$N$7</f>
        <v>4</v>
      </c>
      <c r="O273" s="126" t="n">
        <f aca="false">0.07</f>
        <v>0.07</v>
      </c>
      <c r="P273" s="114"/>
      <c r="Q273" s="126" t="n">
        <f aca="false">M273+J273+G273</f>
        <v>11</v>
      </c>
      <c r="R273" s="126" t="n">
        <f aca="false">N273+K273+H273</f>
        <v>11</v>
      </c>
      <c r="S273" s="126" t="n">
        <f aca="false">O273+L273+I273</f>
        <v>7.07</v>
      </c>
      <c r="T273" s="127"/>
      <c r="U273" s="5" t="n">
        <f aca="false">A274-A273</f>
        <v>31</v>
      </c>
      <c r="V273" s="128" t="n">
        <f aca="false">CHOOSE(F$3,A274+24,A273)</f>
        <v>45292</v>
      </c>
      <c r="W273" s="5" t="n">
        <f aca="false">V273-C$3</f>
        <v>8061</v>
      </c>
      <c r="X273" s="124" t="n">
        <f aca="false">VLOOKUP($A273,Table,MATCH(X$4,Curves,0))</f>
        <v>2</v>
      </c>
      <c r="Y273" s="129" t="n">
        <f aca="false">1/(1+CHOOSE(F$3,(X274+($K$3/10000))/2,(X273+($K$3/10000))/2))^(2*W273/365.25)</f>
        <v>5.15997093141258E-014</v>
      </c>
      <c r="Z273" s="5" t="n">
        <f aca="false">IF(AND(mthbeg&lt;=A273,mthend&gt;=A273),1,0)</f>
        <v>0</v>
      </c>
      <c r="AA273" s="5" t="n">
        <f aca="false">U273*Z273</f>
        <v>0</v>
      </c>
      <c r="AC273" s="115" t="n">
        <f aca="false">IF(G266=2,F273*(S273-Q273),F273*(Q273-S273))</f>
        <v>0</v>
      </c>
      <c r="AE273" s="116" t="n">
        <f aca="false">IF($G$3=1,F273*(R273-Q273),F273*(Q273-R273))</f>
        <v>0</v>
      </c>
      <c r="AG273" s="116" t="n">
        <f aca="false">AC273+AE273</f>
        <v>0</v>
      </c>
    </row>
    <row r="274" customFormat="false" ht="12" hidden="false" customHeight="true" outlineLevel="0" collapsed="false">
      <c r="A274" s="120" t="n">
        <f aca="false">EDATE(A273,1)</f>
        <v>45323</v>
      </c>
      <c r="B274" s="121" t="e">
        <f aca="false">VLOOKUP(A274,'Inputs-Summary'!$A$32:$B$41,2,FALSE())</f>
        <v>#N/A</v>
      </c>
      <c r="C274" s="122"/>
      <c r="D274" s="123" t="e">
        <f aca="false">B274+C274</f>
        <v>#N/A</v>
      </c>
      <c r="E274" s="111" t="n">
        <f aca="false">IF(Z274=0,0,IF(AND(Z274=1,$H$3=1),D274*U274,IF($H$3=2,D274,"N/A")))</f>
        <v>0</v>
      </c>
      <c r="F274" s="111" t="n">
        <f aca="false">E274*Y274</f>
        <v>0</v>
      </c>
      <c r="G274" s="124" t="n">
        <f aca="false">VLOOKUP($A274,Table,MATCH(G$4,Curves,0))</f>
        <v>3</v>
      </c>
      <c r="H274" s="125" t="n">
        <f aca="false">G274+$H$7</f>
        <v>3</v>
      </c>
      <c r="I274" s="124" t="n">
        <f aca="false">H274</f>
        <v>3</v>
      </c>
      <c r="J274" s="124" t="n">
        <f aca="false">VLOOKUP($A274,Table,MATCH(J$4,Curves,0))</f>
        <v>4</v>
      </c>
      <c r="K274" s="125" t="n">
        <f aca="false">J274+$K$7</f>
        <v>4</v>
      </c>
      <c r="L274" s="126" t="n">
        <f aca="false">K274</f>
        <v>4</v>
      </c>
      <c r="M274" s="124" t="n">
        <f aca="false">VLOOKUP($A274,Table,MATCH(M$4,Curves,0))</f>
        <v>4</v>
      </c>
      <c r="N274" s="125" t="n">
        <f aca="false">M274+$N$7</f>
        <v>4</v>
      </c>
      <c r="O274" s="126" t="n">
        <f aca="false">0.07</f>
        <v>0.07</v>
      </c>
      <c r="P274" s="114"/>
      <c r="Q274" s="126" t="n">
        <f aca="false">M274+J274+G274</f>
        <v>11</v>
      </c>
      <c r="R274" s="126" t="n">
        <f aca="false">N274+K274+H274</f>
        <v>11</v>
      </c>
      <c r="S274" s="126" t="n">
        <f aca="false">O274+L274+I274</f>
        <v>7.07</v>
      </c>
      <c r="T274" s="127"/>
      <c r="U274" s="5" t="n">
        <f aca="false">A275-A274</f>
        <v>29</v>
      </c>
      <c r="V274" s="128" t="n">
        <f aca="false">CHOOSE(F$3,A275+24,A274)</f>
        <v>45323</v>
      </c>
      <c r="W274" s="5" t="n">
        <f aca="false">V274-C$3</f>
        <v>8092</v>
      </c>
      <c r="X274" s="124" t="n">
        <f aca="false">VLOOKUP($A274,Table,MATCH(X$4,Curves,0))</f>
        <v>2</v>
      </c>
      <c r="Y274" s="129" t="n">
        <f aca="false">1/(1+CHOOSE(F$3,(X275+($K$3/10000))/2,(X274+($K$3/10000))/2))^(2*W274/365.25)</f>
        <v>4.58720756678533E-014</v>
      </c>
      <c r="Z274" s="5" t="n">
        <f aca="false">IF(AND(mthbeg&lt;=A274,mthend&gt;=A274),1,0)</f>
        <v>0</v>
      </c>
      <c r="AA274" s="5" t="n">
        <f aca="false">U274*Z274</f>
        <v>0</v>
      </c>
      <c r="AC274" s="115" t="n">
        <f aca="false">IF(G267=2,F274*(S274-Q274),F274*(Q274-S274))</f>
        <v>0</v>
      </c>
      <c r="AE274" s="116" t="n">
        <f aca="false">IF($G$3=1,F274*(R274-Q274),F274*(Q274-R274))</f>
        <v>0</v>
      </c>
      <c r="AG274" s="116" t="n">
        <f aca="false">AC274+AE274</f>
        <v>0</v>
      </c>
    </row>
    <row r="275" customFormat="false" ht="12" hidden="false" customHeight="true" outlineLevel="0" collapsed="false">
      <c r="A275" s="120" t="n">
        <f aca="false">EDATE(A274,1)</f>
        <v>45352</v>
      </c>
      <c r="B275" s="121" t="e">
        <f aca="false">VLOOKUP(A275,'Inputs-Summary'!$A$32:$B$41,2,FALSE())</f>
        <v>#N/A</v>
      </c>
      <c r="C275" s="122"/>
      <c r="D275" s="123" t="e">
        <f aca="false">B275+C275</f>
        <v>#N/A</v>
      </c>
      <c r="E275" s="111" t="n">
        <f aca="false">IF(Z275=0,0,IF(AND(Z275=1,$H$3=1),D275*U275,IF($H$3=2,D275,"N/A")))</f>
        <v>0</v>
      </c>
      <c r="F275" s="111" t="n">
        <f aca="false">E275*Y275</f>
        <v>0</v>
      </c>
      <c r="G275" s="124" t="n">
        <f aca="false">VLOOKUP($A275,Table,MATCH(G$4,Curves,0))</f>
        <v>3</v>
      </c>
      <c r="H275" s="125" t="n">
        <f aca="false">G275+$H$7</f>
        <v>3</v>
      </c>
      <c r="I275" s="124" t="n">
        <f aca="false">H275</f>
        <v>3</v>
      </c>
      <c r="J275" s="124" t="n">
        <f aca="false">VLOOKUP($A275,Table,MATCH(J$4,Curves,0))</f>
        <v>4</v>
      </c>
      <c r="K275" s="125" t="n">
        <f aca="false">J275+$K$7</f>
        <v>4</v>
      </c>
      <c r="L275" s="126" t="n">
        <f aca="false">K275</f>
        <v>4</v>
      </c>
      <c r="M275" s="124" t="n">
        <f aca="false">VLOOKUP($A275,Table,MATCH(M$4,Curves,0))</f>
        <v>4</v>
      </c>
      <c r="N275" s="125" t="n">
        <f aca="false">M275+$N$7</f>
        <v>4</v>
      </c>
      <c r="O275" s="126" t="n">
        <f aca="false">0.07</f>
        <v>0.07</v>
      </c>
      <c r="P275" s="114"/>
      <c r="Q275" s="126" t="n">
        <f aca="false">M275+J275+G275</f>
        <v>11</v>
      </c>
      <c r="R275" s="126" t="n">
        <f aca="false">N275+K275+H275</f>
        <v>11</v>
      </c>
      <c r="S275" s="126" t="n">
        <f aca="false">O275+L275+I275</f>
        <v>7.07</v>
      </c>
      <c r="T275" s="127"/>
      <c r="U275" s="5" t="n">
        <f aca="false">A276-A275</f>
        <v>31</v>
      </c>
      <c r="V275" s="128" t="n">
        <f aca="false">CHOOSE(F$3,A276+24,A275)</f>
        <v>45352</v>
      </c>
      <c r="W275" s="5" t="n">
        <f aca="false">V275-C$3</f>
        <v>8121</v>
      </c>
      <c r="X275" s="124" t="n">
        <f aca="false">VLOOKUP($A275,Table,MATCH(X$4,Curves,0))</f>
        <v>2</v>
      </c>
      <c r="Y275" s="129" t="n">
        <f aca="false">1/(1+CHOOSE(F$3,(X276+($K$3/10000))/2,(X275+($K$3/10000))/2))^(2*W275/365.25)</f>
        <v>4.10909545178908E-014</v>
      </c>
      <c r="Z275" s="5" t="n">
        <f aca="false">IF(AND(mthbeg&lt;=A275,mthend&gt;=A275),1,0)</f>
        <v>0</v>
      </c>
      <c r="AA275" s="5" t="n">
        <f aca="false">U275*Z275</f>
        <v>0</v>
      </c>
      <c r="AC275" s="115" t="n">
        <f aca="false">IF(G268=2,F275*(S275-Q275),F275*(Q275-S275))</f>
        <v>0</v>
      </c>
      <c r="AE275" s="116" t="n">
        <f aca="false">IF($G$3=1,F275*(R275-Q275),F275*(Q275-R275))</f>
        <v>0</v>
      </c>
      <c r="AG275" s="116" t="n">
        <f aca="false">AC275+AE275</f>
        <v>0</v>
      </c>
    </row>
    <row r="276" customFormat="false" ht="12" hidden="false" customHeight="true" outlineLevel="0" collapsed="false">
      <c r="A276" s="120" t="n">
        <f aca="false">EDATE(A275,1)</f>
        <v>45383</v>
      </c>
      <c r="B276" s="121" t="e">
        <f aca="false">VLOOKUP(A276,'Inputs-Summary'!$A$32:$B$41,2,FALSE())</f>
        <v>#N/A</v>
      </c>
      <c r="C276" s="122"/>
      <c r="D276" s="123" t="e">
        <f aca="false">B276+C276</f>
        <v>#N/A</v>
      </c>
      <c r="E276" s="111" t="n">
        <f aca="false">IF(Z276=0,0,IF(AND(Z276=1,$H$3=1),D276*U276,IF($H$3=2,D276,"N/A")))</f>
        <v>0</v>
      </c>
      <c r="F276" s="111" t="n">
        <f aca="false">E276*Y276</f>
        <v>0</v>
      </c>
      <c r="G276" s="124" t="n">
        <f aca="false">VLOOKUP($A276,Table,MATCH(G$4,Curves,0))</f>
        <v>3</v>
      </c>
      <c r="H276" s="125" t="n">
        <f aca="false">G276+$H$7</f>
        <v>3</v>
      </c>
      <c r="I276" s="124" t="n">
        <f aca="false">H276</f>
        <v>3</v>
      </c>
      <c r="J276" s="124" t="n">
        <f aca="false">VLOOKUP($A276,Table,MATCH(J$4,Curves,0))</f>
        <v>4</v>
      </c>
      <c r="K276" s="125" t="n">
        <f aca="false">J276+$K$7</f>
        <v>4</v>
      </c>
      <c r="L276" s="126" t="n">
        <f aca="false">K276</f>
        <v>4</v>
      </c>
      <c r="M276" s="124" t="n">
        <f aca="false">VLOOKUP($A276,Table,MATCH(M$4,Curves,0))</f>
        <v>4</v>
      </c>
      <c r="N276" s="125" t="n">
        <f aca="false">M276+$N$7</f>
        <v>4</v>
      </c>
      <c r="O276" s="126" t="n">
        <f aca="false">0.07</f>
        <v>0.07</v>
      </c>
      <c r="P276" s="114"/>
      <c r="Q276" s="126" t="n">
        <f aca="false">M276+J276+G276</f>
        <v>11</v>
      </c>
      <c r="R276" s="126" t="n">
        <f aca="false">N276+K276+H276</f>
        <v>11</v>
      </c>
      <c r="S276" s="126" t="n">
        <f aca="false">O276+L276+I276</f>
        <v>7.07</v>
      </c>
      <c r="T276" s="127"/>
      <c r="U276" s="5" t="n">
        <f aca="false">A277-A276</f>
        <v>30</v>
      </c>
      <c r="V276" s="128" t="n">
        <f aca="false">CHOOSE(F$3,A277+24,A276)</f>
        <v>45383</v>
      </c>
      <c r="W276" s="5" t="n">
        <f aca="false">V276-C$3</f>
        <v>8152</v>
      </c>
      <c r="X276" s="124" t="n">
        <f aca="false">VLOOKUP($A276,Table,MATCH(X$4,Curves,0))</f>
        <v>2</v>
      </c>
      <c r="Y276" s="129" t="n">
        <f aca="false">1/(1+CHOOSE(F$3,(X277+($K$3/10000))/2,(X276+($K$3/10000))/2))^(2*W276/365.25)</f>
        <v>3.6529806077667E-014</v>
      </c>
      <c r="Z276" s="5" t="n">
        <f aca="false">IF(AND(mthbeg&lt;=A276,mthend&gt;=A276),1,0)</f>
        <v>0</v>
      </c>
      <c r="AA276" s="5" t="n">
        <f aca="false">U276*Z276</f>
        <v>0</v>
      </c>
      <c r="AC276" s="115" t="n">
        <f aca="false">IF(G269=2,F276*(S276-Q276),F276*(Q276-S276))</f>
        <v>0</v>
      </c>
      <c r="AE276" s="116" t="n">
        <f aca="false">IF($G$3=1,F276*(R276-Q276),F276*(Q276-R276))</f>
        <v>0</v>
      </c>
      <c r="AG276" s="116" t="n">
        <f aca="false">AC276+AE276</f>
        <v>0</v>
      </c>
    </row>
    <row r="277" customFormat="false" ht="12" hidden="false" customHeight="true" outlineLevel="0" collapsed="false">
      <c r="A277" s="120" t="n">
        <f aca="false">EDATE(A276,1)</f>
        <v>45413</v>
      </c>
      <c r="B277" s="121" t="e">
        <f aca="false">VLOOKUP(A277,'Inputs-Summary'!$A$32:$B$41,2,FALSE())</f>
        <v>#N/A</v>
      </c>
      <c r="C277" s="122"/>
      <c r="D277" s="123" t="e">
        <f aca="false">B277+C277</f>
        <v>#N/A</v>
      </c>
      <c r="E277" s="111" t="n">
        <f aca="false">IF(Z277=0,0,IF(AND(Z277=1,$H$3=1),D277*U277,IF($H$3=2,D277,"N/A")))</f>
        <v>0</v>
      </c>
      <c r="F277" s="111" t="n">
        <f aca="false">E277*Y277</f>
        <v>0</v>
      </c>
      <c r="G277" s="124" t="n">
        <f aca="false">VLOOKUP($A277,Table,MATCH(G$4,Curves,0))</f>
        <v>3</v>
      </c>
      <c r="H277" s="125" t="n">
        <f aca="false">G277+$H$7</f>
        <v>3</v>
      </c>
      <c r="I277" s="124" t="n">
        <f aca="false">H277</f>
        <v>3</v>
      </c>
      <c r="J277" s="124" t="n">
        <f aca="false">VLOOKUP($A277,Table,MATCH(J$4,Curves,0))</f>
        <v>4</v>
      </c>
      <c r="K277" s="125" t="n">
        <f aca="false">J277+$K$7</f>
        <v>4</v>
      </c>
      <c r="L277" s="126" t="n">
        <f aca="false">K277</f>
        <v>4</v>
      </c>
      <c r="M277" s="124" t="n">
        <f aca="false">VLOOKUP($A277,Table,MATCH(M$4,Curves,0))</f>
        <v>4</v>
      </c>
      <c r="N277" s="125" t="n">
        <f aca="false">M277+$N$7</f>
        <v>4</v>
      </c>
      <c r="O277" s="126" t="n">
        <f aca="false">0.07</f>
        <v>0.07</v>
      </c>
      <c r="P277" s="114"/>
      <c r="Q277" s="126" t="n">
        <f aca="false">M277+J277+G277</f>
        <v>11</v>
      </c>
      <c r="R277" s="126" t="n">
        <f aca="false">N277+K277+H277</f>
        <v>11</v>
      </c>
      <c r="S277" s="126" t="n">
        <f aca="false">O277+L277+I277</f>
        <v>7.07</v>
      </c>
      <c r="T277" s="127"/>
      <c r="U277" s="5" t="n">
        <f aca="false">A278-A277</f>
        <v>31</v>
      </c>
      <c r="V277" s="128" t="n">
        <f aca="false">CHOOSE(F$3,A278+24,A277)</f>
        <v>45413</v>
      </c>
      <c r="W277" s="5" t="n">
        <f aca="false">V277-C$3</f>
        <v>8182</v>
      </c>
      <c r="X277" s="124" t="n">
        <f aca="false">VLOOKUP($A277,Table,MATCH(X$4,Curves,0))</f>
        <v>2</v>
      </c>
      <c r="Y277" s="129" t="n">
        <f aca="false">1/(1+CHOOSE(F$3,(X278+($K$3/10000))/2,(X277+($K$3/10000))/2))^(2*W277/365.25)</f>
        <v>3.25984427550596E-014</v>
      </c>
      <c r="Z277" s="5" t="n">
        <f aca="false">IF(AND(mthbeg&lt;=A277,mthend&gt;=A277),1,0)</f>
        <v>0</v>
      </c>
      <c r="AA277" s="5" t="n">
        <f aca="false">U277*Z277</f>
        <v>0</v>
      </c>
      <c r="AC277" s="115" t="n">
        <f aca="false">IF(G270=2,F277*(S277-Q277),F277*(Q277-S277))</f>
        <v>0</v>
      </c>
      <c r="AE277" s="116" t="n">
        <f aca="false">IF($G$3=1,F277*(R277-Q277),F277*(Q277-R277))</f>
        <v>0</v>
      </c>
      <c r="AG277" s="116" t="n">
        <f aca="false">AC277+AE277</f>
        <v>0</v>
      </c>
    </row>
    <row r="278" customFormat="false" ht="12" hidden="false" customHeight="true" outlineLevel="0" collapsed="false">
      <c r="A278" s="120" t="n">
        <f aca="false">EDATE(A277,1)</f>
        <v>45444</v>
      </c>
      <c r="B278" s="121" t="e">
        <f aca="false">VLOOKUP(A278,'Inputs-Summary'!$A$32:$B$41,2,FALSE())</f>
        <v>#N/A</v>
      </c>
      <c r="C278" s="122"/>
      <c r="D278" s="123" t="e">
        <f aca="false">B278+C278</f>
        <v>#N/A</v>
      </c>
      <c r="E278" s="111" t="n">
        <f aca="false">IF(Z278=0,0,IF(AND(Z278=1,$H$3=1),D278*U278,IF($H$3=2,D278,"N/A")))</f>
        <v>0</v>
      </c>
      <c r="F278" s="111" t="n">
        <f aca="false">E278*Y278</f>
        <v>0</v>
      </c>
      <c r="G278" s="124" t="n">
        <f aca="false">VLOOKUP($A278,Table,MATCH(G$4,Curves,0))</f>
        <v>3</v>
      </c>
      <c r="H278" s="125" t="n">
        <f aca="false">G278+$H$7</f>
        <v>3</v>
      </c>
      <c r="I278" s="124" t="n">
        <f aca="false">H278</f>
        <v>3</v>
      </c>
      <c r="J278" s="124" t="n">
        <f aca="false">VLOOKUP($A278,Table,MATCH(J$4,Curves,0))</f>
        <v>4</v>
      </c>
      <c r="K278" s="125" t="n">
        <f aca="false">J278+$K$7</f>
        <v>4</v>
      </c>
      <c r="L278" s="126" t="n">
        <f aca="false">K278</f>
        <v>4</v>
      </c>
      <c r="M278" s="124" t="n">
        <f aca="false">VLOOKUP($A278,Table,MATCH(M$4,Curves,0))</f>
        <v>4</v>
      </c>
      <c r="N278" s="125" t="n">
        <f aca="false">M278+$N$7</f>
        <v>4</v>
      </c>
      <c r="O278" s="126" t="n">
        <f aca="false">0.07</f>
        <v>0.07</v>
      </c>
      <c r="P278" s="114"/>
      <c r="Q278" s="126" t="n">
        <f aca="false">M278+J278+G278</f>
        <v>11</v>
      </c>
      <c r="R278" s="126" t="n">
        <f aca="false">N278+K278+H278</f>
        <v>11</v>
      </c>
      <c r="S278" s="126" t="n">
        <f aca="false">O278+L278+I278</f>
        <v>7.07</v>
      </c>
      <c r="T278" s="127"/>
      <c r="U278" s="5" t="n">
        <f aca="false">A279-A278</f>
        <v>30</v>
      </c>
      <c r="V278" s="128" t="n">
        <f aca="false">CHOOSE(F$3,A279+24,A278)</f>
        <v>45444</v>
      </c>
      <c r="W278" s="5" t="n">
        <f aca="false">V278-C$3</f>
        <v>8213</v>
      </c>
      <c r="X278" s="124" t="n">
        <f aca="false">VLOOKUP($A278,Table,MATCH(X$4,Curves,0))</f>
        <v>2</v>
      </c>
      <c r="Y278" s="129" t="n">
        <f aca="false">1/(1+CHOOSE(F$3,(X279+($K$3/10000))/2,(X278+($K$3/10000))/2))^(2*W278/365.25)</f>
        <v>2.89799739686695E-014</v>
      </c>
      <c r="Z278" s="5" t="n">
        <f aca="false">IF(AND(mthbeg&lt;=A278,mthend&gt;=A278),1,0)</f>
        <v>0</v>
      </c>
      <c r="AA278" s="5" t="n">
        <f aca="false">U278*Z278</f>
        <v>0</v>
      </c>
      <c r="AC278" s="115" t="n">
        <f aca="false">IF(G271=2,F278*(S278-Q278),F278*(Q278-S278))</f>
        <v>0</v>
      </c>
      <c r="AE278" s="116" t="n">
        <f aca="false">IF($G$3=1,F278*(R278-Q278),F278*(Q278-R278))</f>
        <v>0</v>
      </c>
      <c r="AG278" s="116" t="n">
        <f aca="false">AC278+AE278</f>
        <v>0</v>
      </c>
    </row>
    <row r="279" customFormat="false" ht="12" hidden="false" customHeight="true" outlineLevel="0" collapsed="false">
      <c r="A279" s="120" t="n">
        <f aca="false">EDATE(A278,1)</f>
        <v>45474</v>
      </c>
      <c r="B279" s="121" t="e">
        <f aca="false">VLOOKUP(A279,'Inputs-Summary'!$A$32:$B$41,2,FALSE())</f>
        <v>#N/A</v>
      </c>
      <c r="C279" s="122"/>
      <c r="D279" s="123" t="e">
        <f aca="false">B279+C279</f>
        <v>#N/A</v>
      </c>
      <c r="E279" s="111" t="n">
        <f aca="false">IF(Z279=0,0,IF(AND(Z279=1,$H$3=1),D279*U279,IF($H$3=2,D279,"N/A")))</f>
        <v>0</v>
      </c>
      <c r="F279" s="111" t="n">
        <f aca="false">E279*Y279</f>
        <v>0</v>
      </c>
      <c r="G279" s="124" t="n">
        <f aca="false">VLOOKUP($A279,Table,MATCH(G$4,Curves,0))</f>
        <v>3</v>
      </c>
      <c r="H279" s="125" t="n">
        <f aca="false">G279+$H$7</f>
        <v>3</v>
      </c>
      <c r="I279" s="124" t="n">
        <f aca="false">H279</f>
        <v>3</v>
      </c>
      <c r="J279" s="124" t="n">
        <f aca="false">VLOOKUP($A279,Table,MATCH(J$4,Curves,0))</f>
        <v>4</v>
      </c>
      <c r="K279" s="125" t="n">
        <f aca="false">J279+$K$7</f>
        <v>4</v>
      </c>
      <c r="L279" s="126" t="n">
        <f aca="false">K279</f>
        <v>4</v>
      </c>
      <c r="M279" s="124" t="n">
        <f aca="false">VLOOKUP($A279,Table,MATCH(M$4,Curves,0))</f>
        <v>4</v>
      </c>
      <c r="N279" s="125" t="n">
        <f aca="false">M279+$N$7</f>
        <v>4</v>
      </c>
      <c r="O279" s="126" t="n">
        <f aca="false">0.07</f>
        <v>0.07</v>
      </c>
      <c r="P279" s="114"/>
      <c r="Q279" s="126" t="n">
        <f aca="false">M279+J279+G279</f>
        <v>11</v>
      </c>
      <c r="R279" s="126" t="n">
        <f aca="false">N279+K279+H279</f>
        <v>11</v>
      </c>
      <c r="S279" s="126" t="n">
        <f aca="false">O279+L279+I279</f>
        <v>7.07</v>
      </c>
      <c r="T279" s="127"/>
      <c r="U279" s="5" t="n">
        <f aca="false">A280-A279</f>
        <v>31</v>
      </c>
      <c r="V279" s="128" t="n">
        <f aca="false">CHOOSE(F$3,A280+24,A279)</f>
        <v>45474</v>
      </c>
      <c r="W279" s="5" t="n">
        <f aca="false">V279-C$3</f>
        <v>8243</v>
      </c>
      <c r="X279" s="124" t="n">
        <f aca="false">VLOOKUP($A279,Table,MATCH(X$4,Curves,0))</f>
        <v>2</v>
      </c>
      <c r="Y279" s="129" t="n">
        <f aca="false">1/(1+CHOOSE(F$3,(X280+($K$3/10000))/2,(X279+($K$3/10000))/2))^(2*W279/365.25)</f>
        <v>2.58611288669926E-014</v>
      </c>
      <c r="Z279" s="5" t="n">
        <f aca="false">IF(AND(mthbeg&lt;=A279,mthend&gt;=A279),1,0)</f>
        <v>0</v>
      </c>
      <c r="AA279" s="5" t="n">
        <f aca="false">U279*Z279</f>
        <v>0</v>
      </c>
      <c r="AC279" s="115" t="n">
        <f aca="false">IF(G272=2,F279*(S279-Q279),F279*(Q279-S279))</f>
        <v>0</v>
      </c>
      <c r="AE279" s="116" t="n">
        <f aca="false">IF($G$3=1,F279*(R279-Q279),F279*(Q279-R279))</f>
        <v>0</v>
      </c>
      <c r="AG279" s="116" t="n">
        <f aca="false">AC279+AE279</f>
        <v>0</v>
      </c>
    </row>
    <row r="280" customFormat="false" ht="12" hidden="false" customHeight="true" outlineLevel="0" collapsed="false">
      <c r="A280" s="120" t="n">
        <f aca="false">EDATE(A279,1)</f>
        <v>45505</v>
      </c>
      <c r="B280" s="121" t="e">
        <f aca="false">VLOOKUP(A280,'Inputs-Summary'!$A$32:$B$41,2,FALSE())</f>
        <v>#N/A</v>
      </c>
      <c r="C280" s="122"/>
      <c r="D280" s="123" t="e">
        <f aca="false">B280+C280</f>
        <v>#N/A</v>
      </c>
      <c r="E280" s="111" t="n">
        <f aca="false">IF(Z280=0,0,IF(AND(Z280=1,$H$3=1),D280*U280,IF($H$3=2,D280,"N/A")))</f>
        <v>0</v>
      </c>
      <c r="F280" s="111" t="n">
        <f aca="false">E280*Y280</f>
        <v>0</v>
      </c>
      <c r="G280" s="124" t="n">
        <f aca="false">VLOOKUP($A280,Table,MATCH(G$4,Curves,0))</f>
        <v>3</v>
      </c>
      <c r="H280" s="125" t="n">
        <f aca="false">G280+$H$7</f>
        <v>3</v>
      </c>
      <c r="I280" s="124" t="n">
        <f aca="false">H280</f>
        <v>3</v>
      </c>
      <c r="J280" s="124" t="n">
        <f aca="false">VLOOKUP($A280,Table,MATCH(J$4,Curves,0))</f>
        <v>4</v>
      </c>
      <c r="K280" s="125" t="n">
        <f aca="false">J280+$K$7</f>
        <v>4</v>
      </c>
      <c r="L280" s="126" t="n">
        <f aca="false">K280</f>
        <v>4</v>
      </c>
      <c r="M280" s="124" t="n">
        <f aca="false">VLOOKUP($A280,Table,MATCH(M$4,Curves,0))</f>
        <v>4</v>
      </c>
      <c r="N280" s="125" t="n">
        <f aca="false">M280+$N$7</f>
        <v>4</v>
      </c>
      <c r="O280" s="126" t="n">
        <f aca="false">0.07</f>
        <v>0.07</v>
      </c>
      <c r="P280" s="114"/>
      <c r="Q280" s="126" t="n">
        <f aca="false">M280+J280+G280</f>
        <v>11</v>
      </c>
      <c r="R280" s="126" t="n">
        <f aca="false">N280+K280+H280</f>
        <v>11</v>
      </c>
      <c r="S280" s="126" t="n">
        <f aca="false">O280+L280+I280</f>
        <v>7.07</v>
      </c>
      <c r="T280" s="127"/>
      <c r="U280" s="5" t="n">
        <f aca="false">A281-A280</f>
        <v>31</v>
      </c>
      <c r="V280" s="128" t="n">
        <f aca="false">CHOOSE(F$3,A281+24,A280)</f>
        <v>45505</v>
      </c>
      <c r="W280" s="5" t="n">
        <f aca="false">V280-C$3</f>
        <v>8274</v>
      </c>
      <c r="X280" s="124" t="n">
        <f aca="false">VLOOKUP($A280,Table,MATCH(X$4,Curves,0))</f>
        <v>2</v>
      </c>
      <c r="Y280" s="129" t="n">
        <f aca="false">1/(1+CHOOSE(F$3,(X281+($K$3/10000))/2,(X280+($K$3/10000))/2))^(2*W280/365.25)</f>
        <v>2.29905105282837E-014</v>
      </c>
      <c r="Z280" s="5" t="n">
        <f aca="false">IF(AND(mthbeg&lt;=A280,mthend&gt;=A280),1,0)</f>
        <v>0</v>
      </c>
      <c r="AA280" s="5" t="n">
        <f aca="false">U280*Z280</f>
        <v>0</v>
      </c>
      <c r="AC280" s="115" t="n">
        <f aca="false">IF(G273=2,F280*(S280-Q280),F280*(Q280-S280))</f>
        <v>0</v>
      </c>
      <c r="AE280" s="116" t="n">
        <f aca="false">IF($G$3=1,F280*(R280-Q280),F280*(Q280-R280))</f>
        <v>0</v>
      </c>
      <c r="AG280" s="116" t="n">
        <f aca="false">AC280+AE280</f>
        <v>0</v>
      </c>
    </row>
    <row r="281" customFormat="false" ht="12" hidden="false" customHeight="true" outlineLevel="0" collapsed="false">
      <c r="A281" s="120" t="n">
        <f aca="false">EDATE(A280,1)</f>
        <v>45536</v>
      </c>
      <c r="B281" s="121" t="e">
        <f aca="false">VLOOKUP(A281,'Inputs-Summary'!$A$32:$B$41,2,FALSE())</f>
        <v>#N/A</v>
      </c>
      <c r="C281" s="122"/>
      <c r="D281" s="123" t="e">
        <f aca="false">B281+C281</f>
        <v>#N/A</v>
      </c>
      <c r="E281" s="111" t="n">
        <f aca="false">IF(Z281=0,0,IF(AND(Z281=1,$H$3=1),D281*U281,IF($H$3=2,D281,"N/A")))</f>
        <v>0</v>
      </c>
      <c r="F281" s="111" t="n">
        <f aca="false">E281*Y281</f>
        <v>0</v>
      </c>
      <c r="G281" s="124" t="n">
        <f aca="false">VLOOKUP($A281,Table,MATCH(G$4,Curves,0))</f>
        <v>3</v>
      </c>
      <c r="H281" s="125" t="n">
        <f aca="false">G281+$H$7</f>
        <v>3</v>
      </c>
      <c r="I281" s="124" t="n">
        <f aca="false">H281</f>
        <v>3</v>
      </c>
      <c r="J281" s="124" t="n">
        <f aca="false">VLOOKUP($A281,Table,MATCH(J$4,Curves,0))</f>
        <v>4</v>
      </c>
      <c r="K281" s="125" t="n">
        <f aca="false">J281+$K$7</f>
        <v>4</v>
      </c>
      <c r="L281" s="126" t="n">
        <f aca="false">K281</f>
        <v>4</v>
      </c>
      <c r="M281" s="124" t="n">
        <f aca="false">VLOOKUP($A281,Table,MATCH(M$4,Curves,0))</f>
        <v>4</v>
      </c>
      <c r="N281" s="125" t="n">
        <f aca="false">M281+$N$7</f>
        <v>4</v>
      </c>
      <c r="O281" s="126" t="n">
        <f aca="false">0.07</f>
        <v>0.07</v>
      </c>
      <c r="P281" s="114"/>
      <c r="Q281" s="126" t="n">
        <f aca="false">M281+J281+G281</f>
        <v>11</v>
      </c>
      <c r="R281" s="126" t="n">
        <f aca="false">N281+K281+H281</f>
        <v>11</v>
      </c>
      <c r="S281" s="126" t="n">
        <f aca="false">O281+L281+I281</f>
        <v>7.07</v>
      </c>
      <c r="T281" s="127"/>
      <c r="U281" s="5" t="n">
        <f aca="false">A282-A281</f>
        <v>30</v>
      </c>
      <c r="V281" s="128" t="n">
        <f aca="false">CHOOSE(F$3,A282+24,A281)</f>
        <v>45536</v>
      </c>
      <c r="W281" s="5" t="n">
        <f aca="false">V281-C$3</f>
        <v>8305</v>
      </c>
      <c r="X281" s="124" t="n">
        <f aca="false">VLOOKUP($A281,Table,MATCH(X$4,Curves,0))</f>
        <v>2</v>
      </c>
      <c r="Y281" s="129" t="n">
        <f aca="false">1/(1+CHOOSE(F$3,(X282+($K$3/10000))/2,(X281+($K$3/10000))/2))^(2*W281/365.25)</f>
        <v>2.04385344920402E-014</v>
      </c>
      <c r="Z281" s="5" t="n">
        <f aca="false">IF(AND(mthbeg&lt;=A281,mthend&gt;=A281),1,0)</f>
        <v>0</v>
      </c>
      <c r="AA281" s="5" t="n">
        <f aca="false">U281*Z281</f>
        <v>0</v>
      </c>
      <c r="AC281" s="115" t="n">
        <f aca="false">IF(G274=2,F281*(S281-Q281),F281*(Q281-S281))</f>
        <v>0</v>
      </c>
      <c r="AE281" s="116" t="n">
        <f aca="false">IF($G$3=1,F281*(R281-Q281),F281*(Q281-R281))</f>
        <v>0</v>
      </c>
      <c r="AG281" s="116" t="n">
        <f aca="false">AC281+AE281</f>
        <v>0</v>
      </c>
    </row>
    <row r="282" customFormat="false" ht="12" hidden="false" customHeight="true" outlineLevel="0" collapsed="false">
      <c r="A282" s="120" t="n">
        <f aca="false">EDATE(A281,1)</f>
        <v>45566</v>
      </c>
      <c r="B282" s="121" t="e">
        <f aca="false">VLOOKUP(A282,'Inputs-Summary'!$A$32:$B$41,2,FALSE())</f>
        <v>#N/A</v>
      </c>
      <c r="C282" s="122"/>
      <c r="D282" s="123" t="e">
        <f aca="false">B282+C282</f>
        <v>#N/A</v>
      </c>
      <c r="E282" s="111" t="n">
        <f aca="false">IF(Z282=0,0,IF(AND(Z282=1,$H$3=1),D282*U282,IF($H$3=2,D282,"N/A")))</f>
        <v>0</v>
      </c>
      <c r="F282" s="111" t="n">
        <f aca="false">E282*Y282</f>
        <v>0</v>
      </c>
      <c r="G282" s="124" t="n">
        <f aca="false">VLOOKUP($A282,Table,MATCH(G$4,Curves,0))</f>
        <v>3</v>
      </c>
      <c r="H282" s="125" t="n">
        <f aca="false">G282+$H$7</f>
        <v>3</v>
      </c>
      <c r="I282" s="124" t="n">
        <f aca="false">H282</f>
        <v>3</v>
      </c>
      <c r="J282" s="124" t="n">
        <f aca="false">VLOOKUP($A282,Table,MATCH(J$4,Curves,0))</f>
        <v>4</v>
      </c>
      <c r="K282" s="125" t="n">
        <f aca="false">J282+$K$7</f>
        <v>4</v>
      </c>
      <c r="L282" s="126" t="n">
        <f aca="false">K282</f>
        <v>4</v>
      </c>
      <c r="M282" s="124" t="n">
        <f aca="false">VLOOKUP($A282,Table,MATCH(M$4,Curves,0))</f>
        <v>4</v>
      </c>
      <c r="N282" s="125" t="n">
        <f aca="false">M282+$N$7</f>
        <v>4</v>
      </c>
      <c r="O282" s="126" t="n">
        <f aca="false">0.07</f>
        <v>0.07</v>
      </c>
      <c r="P282" s="114"/>
      <c r="Q282" s="126" t="n">
        <f aca="false">M282+J282+G282</f>
        <v>11</v>
      </c>
      <c r="R282" s="126" t="n">
        <f aca="false">N282+K282+H282</f>
        <v>11</v>
      </c>
      <c r="S282" s="126" t="n">
        <f aca="false">O282+L282+I282</f>
        <v>7.07</v>
      </c>
      <c r="T282" s="127"/>
      <c r="U282" s="5" t="n">
        <f aca="false">A283-A282</f>
        <v>31</v>
      </c>
      <c r="V282" s="128" t="n">
        <f aca="false">CHOOSE(F$3,A283+24,A282)</f>
        <v>45566</v>
      </c>
      <c r="W282" s="5" t="n">
        <f aca="false">V282-C$3</f>
        <v>8335</v>
      </c>
      <c r="X282" s="124" t="n">
        <f aca="false">VLOOKUP($A282,Table,MATCH(X$4,Curves,0))</f>
        <v>2</v>
      </c>
      <c r="Y282" s="129" t="n">
        <f aca="false">1/(1+CHOOSE(F$3,(X283+($K$3/10000))/2,(X282+($K$3/10000))/2))^(2*W282/365.25)</f>
        <v>1.82389250909112E-014</v>
      </c>
      <c r="Z282" s="5" t="n">
        <f aca="false">IF(AND(mthbeg&lt;=A282,mthend&gt;=A282),1,0)</f>
        <v>0</v>
      </c>
      <c r="AA282" s="5" t="n">
        <f aca="false">U282*Z282</f>
        <v>0</v>
      </c>
      <c r="AC282" s="115" t="n">
        <f aca="false">IF(G275=2,F282*(S282-Q282),F282*(Q282-S282))</f>
        <v>0</v>
      </c>
      <c r="AE282" s="116" t="n">
        <f aca="false">IF($G$3=1,F282*(R282-Q282),F282*(Q282-R282))</f>
        <v>0</v>
      </c>
      <c r="AG282" s="116" t="n">
        <f aca="false">AC282+AE282</f>
        <v>0</v>
      </c>
    </row>
    <row r="283" customFormat="false" ht="12" hidden="false" customHeight="true" outlineLevel="0" collapsed="false">
      <c r="A283" s="120" t="n">
        <f aca="false">EDATE(A282,1)</f>
        <v>45597</v>
      </c>
      <c r="B283" s="121" t="e">
        <f aca="false">VLOOKUP(A283,'Inputs-Summary'!$A$32:$B$41,2,FALSE())</f>
        <v>#N/A</v>
      </c>
      <c r="C283" s="122"/>
      <c r="D283" s="123" t="e">
        <f aca="false">B283+C283</f>
        <v>#N/A</v>
      </c>
      <c r="E283" s="111" t="n">
        <f aca="false">IF(Z283=0,0,IF(AND(Z283=1,$H$3=1),D283*U283,IF($H$3=2,D283,"N/A")))</f>
        <v>0</v>
      </c>
      <c r="F283" s="111" t="n">
        <f aca="false">E283*Y283</f>
        <v>0</v>
      </c>
      <c r="G283" s="124" t="n">
        <f aca="false">VLOOKUP($A283,Table,MATCH(G$4,Curves,0))</f>
        <v>3</v>
      </c>
      <c r="H283" s="125" t="n">
        <f aca="false">G283+$H$7</f>
        <v>3</v>
      </c>
      <c r="I283" s="124" t="n">
        <f aca="false">H283</f>
        <v>3</v>
      </c>
      <c r="J283" s="124" t="n">
        <f aca="false">VLOOKUP($A283,Table,MATCH(J$4,Curves,0))</f>
        <v>4</v>
      </c>
      <c r="K283" s="125" t="n">
        <f aca="false">J283+$K$7</f>
        <v>4</v>
      </c>
      <c r="L283" s="126" t="n">
        <f aca="false">K283</f>
        <v>4</v>
      </c>
      <c r="M283" s="124" t="n">
        <f aca="false">VLOOKUP($A283,Table,MATCH(M$4,Curves,0))</f>
        <v>4</v>
      </c>
      <c r="N283" s="125" t="n">
        <f aca="false">M283+$N$7</f>
        <v>4</v>
      </c>
      <c r="O283" s="126" t="n">
        <f aca="false">0.07</f>
        <v>0.07</v>
      </c>
      <c r="P283" s="114"/>
      <c r="Q283" s="126" t="n">
        <f aca="false">M283+J283+G283</f>
        <v>11</v>
      </c>
      <c r="R283" s="126" t="n">
        <f aca="false">N283+K283+H283</f>
        <v>11</v>
      </c>
      <c r="S283" s="126" t="n">
        <f aca="false">O283+L283+I283</f>
        <v>7.07</v>
      </c>
      <c r="T283" s="127"/>
      <c r="U283" s="5" t="n">
        <f aca="false">A284-A283</f>
        <v>30</v>
      </c>
      <c r="V283" s="128" t="n">
        <f aca="false">CHOOSE(F$3,A284+24,A283)</f>
        <v>45597</v>
      </c>
      <c r="W283" s="5" t="n">
        <f aca="false">V283-C$3</f>
        <v>8366</v>
      </c>
      <c r="X283" s="124" t="n">
        <f aca="false">VLOOKUP($A283,Table,MATCH(X$4,Curves,0))</f>
        <v>2</v>
      </c>
      <c r="Y283" s="129" t="n">
        <f aca="false">1/(1+CHOOSE(F$3,(X284+($K$3/10000))/2,(X283+($K$3/10000))/2))^(2*W283/365.25)</f>
        <v>1.62143811077933E-014</v>
      </c>
      <c r="Z283" s="5" t="n">
        <f aca="false">IF(AND(mthbeg&lt;=A283,mthend&gt;=A283),1,0)</f>
        <v>0</v>
      </c>
      <c r="AA283" s="5" t="n">
        <f aca="false">U283*Z283</f>
        <v>0</v>
      </c>
      <c r="AC283" s="115" t="n">
        <f aca="false">IF(G276=2,F283*(S283-Q283),F283*(Q283-S283))</f>
        <v>0</v>
      </c>
      <c r="AE283" s="116" t="n">
        <f aca="false">IF($G$3=1,F283*(R283-Q283),F283*(Q283-R283))</f>
        <v>0</v>
      </c>
      <c r="AG283" s="116" t="n">
        <f aca="false">AC283+AE283</f>
        <v>0</v>
      </c>
    </row>
    <row r="284" customFormat="false" ht="12" hidden="false" customHeight="true" outlineLevel="0" collapsed="false">
      <c r="A284" s="120" t="n">
        <f aca="false">EDATE(A283,1)</f>
        <v>45627</v>
      </c>
      <c r="B284" s="121" t="e">
        <f aca="false">VLOOKUP(A284,'Inputs-Summary'!$A$32:$B$41,2,FALSE())</f>
        <v>#N/A</v>
      </c>
      <c r="C284" s="122"/>
      <c r="D284" s="123" t="e">
        <f aca="false">B284+C284</f>
        <v>#N/A</v>
      </c>
      <c r="E284" s="111" t="n">
        <f aca="false">IF(Z284=0,0,IF(AND(Z284=1,$H$3=1),D284*U284,IF($H$3=2,D284,"N/A")))</f>
        <v>0</v>
      </c>
      <c r="F284" s="111" t="n">
        <f aca="false">E284*Y284</f>
        <v>0</v>
      </c>
      <c r="G284" s="124" t="n">
        <f aca="false">VLOOKUP($A284,Table,MATCH(G$4,Curves,0))</f>
        <v>3</v>
      </c>
      <c r="H284" s="125" t="n">
        <f aca="false">G284+$H$7</f>
        <v>3</v>
      </c>
      <c r="I284" s="124" t="n">
        <f aca="false">H284</f>
        <v>3</v>
      </c>
      <c r="J284" s="124" t="n">
        <f aca="false">VLOOKUP($A284,Table,MATCH(J$4,Curves,0))</f>
        <v>4</v>
      </c>
      <c r="K284" s="125" t="n">
        <f aca="false">J284+$K$7</f>
        <v>4</v>
      </c>
      <c r="L284" s="126" t="n">
        <f aca="false">K284</f>
        <v>4</v>
      </c>
      <c r="M284" s="124" t="n">
        <f aca="false">VLOOKUP($A284,Table,MATCH(M$4,Curves,0))</f>
        <v>4</v>
      </c>
      <c r="N284" s="125" t="n">
        <f aca="false">M284+$N$7</f>
        <v>4</v>
      </c>
      <c r="O284" s="126" t="n">
        <f aca="false">0.07</f>
        <v>0.07</v>
      </c>
      <c r="P284" s="114"/>
      <c r="Q284" s="126" t="n">
        <f aca="false">M284+J284+G284</f>
        <v>11</v>
      </c>
      <c r="R284" s="126" t="n">
        <f aca="false">N284+K284+H284</f>
        <v>11</v>
      </c>
      <c r="S284" s="126" t="n">
        <f aca="false">O284+L284+I284</f>
        <v>7.07</v>
      </c>
      <c r="T284" s="127"/>
      <c r="U284" s="5" t="n">
        <f aca="false">A285-A284</f>
        <v>31</v>
      </c>
      <c r="V284" s="128" t="n">
        <f aca="false">CHOOSE(F$3,A285+24,A284)</f>
        <v>45627</v>
      </c>
      <c r="W284" s="5" t="n">
        <f aca="false">V284-C$3</f>
        <v>8396</v>
      </c>
      <c r="X284" s="124" t="n">
        <f aca="false">VLOOKUP($A284,Table,MATCH(X$4,Curves,0))</f>
        <v>2</v>
      </c>
      <c r="Y284" s="129" t="n">
        <f aca="false">1/(1+CHOOSE(F$3,(X285+($K$3/10000))/2,(X284+($K$3/10000))/2))^(2*W284/365.25)</f>
        <v>1.44693780532896E-014</v>
      </c>
      <c r="Z284" s="5" t="n">
        <f aca="false">IF(AND(mthbeg&lt;=A284,mthend&gt;=A284),1,0)</f>
        <v>0</v>
      </c>
      <c r="AA284" s="5" t="n">
        <f aca="false">U284*Z284</f>
        <v>0</v>
      </c>
      <c r="AC284" s="115" t="n">
        <f aca="false">IF(G277=2,F284*(S284-Q284),F284*(Q284-S284))</f>
        <v>0</v>
      </c>
      <c r="AE284" s="116" t="n">
        <f aca="false">IF($G$3=1,F284*(R284-Q284),F284*(Q284-R284))</f>
        <v>0</v>
      </c>
      <c r="AG284" s="116" t="n">
        <f aca="false">AC284+AE284</f>
        <v>0</v>
      </c>
    </row>
    <row r="285" customFormat="false" ht="12" hidden="false" customHeight="true" outlineLevel="0" collapsed="false">
      <c r="A285" s="120" t="n">
        <f aca="false">EDATE(A284,1)</f>
        <v>45658</v>
      </c>
      <c r="B285" s="121" t="e">
        <f aca="false">VLOOKUP(A285,'Inputs-Summary'!$A$32:$B$41,2,FALSE())</f>
        <v>#N/A</v>
      </c>
      <c r="C285" s="122"/>
      <c r="D285" s="123" t="e">
        <f aca="false">B285+C285</f>
        <v>#N/A</v>
      </c>
      <c r="E285" s="111" t="n">
        <f aca="false">IF(Z285=0,0,IF(AND(Z285=1,$H$3=1),D285*U285,IF($H$3=2,D285,"N/A")))</f>
        <v>0</v>
      </c>
      <c r="F285" s="111" t="n">
        <f aca="false">E285*Y285</f>
        <v>0</v>
      </c>
      <c r="G285" s="124" t="n">
        <f aca="false">VLOOKUP($A285,Table,MATCH(G$4,Curves,0))</f>
        <v>3</v>
      </c>
      <c r="H285" s="125" t="n">
        <f aca="false">G285+$H$7</f>
        <v>3</v>
      </c>
      <c r="I285" s="124" t="n">
        <f aca="false">H285</f>
        <v>3</v>
      </c>
      <c r="J285" s="124" t="n">
        <f aca="false">VLOOKUP($A285,Table,MATCH(J$4,Curves,0))</f>
        <v>4</v>
      </c>
      <c r="K285" s="125" t="n">
        <f aca="false">J285+$K$7</f>
        <v>4</v>
      </c>
      <c r="L285" s="126" t="n">
        <f aca="false">K285</f>
        <v>4</v>
      </c>
      <c r="M285" s="124" t="n">
        <f aca="false">VLOOKUP($A285,Table,MATCH(M$4,Curves,0))</f>
        <v>4</v>
      </c>
      <c r="N285" s="125" t="n">
        <f aca="false">M285+$N$7</f>
        <v>4</v>
      </c>
      <c r="O285" s="126" t="n">
        <f aca="false">0.07</f>
        <v>0.07</v>
      </c>
      <c r="P285" s="114"/>
      <c r="Q285" s="126" t="n">
        <f aca="false">M285+J285+G285</f>
        <v>11</v>
      </c>
      <c r="R285" s="126" t="n">
        <f aca="false">N285+K285+H285</f>
        <v>11</v>
      </c>
      <c r="S285" s="126" t="n">
        <f aca="false">O285+L285+I285</f>
        <v>7.07</v>
      </c>
      <c r="T285" s="127"/>
      <c r="U285" s="5" t="n">
        <f aca="false">A286-A285</f>
        <v>31</v>
      </c>
      <c r="V285" s="128" t="n">
        <f aca="false">CHOOSE(F$3,A286+24,A285)</f>
        <v>45658</v>
      </c>
      <c r="W285" s="5" t="n">
        <f aca="false">V285-C$3</f>
        <v>8427</v>
      </c>
      <c r="X285" s="124" t="n">
        <f aca="false">VLOOKUP($A285,Table,MATCH(X$4,Curves,0))</f>
        <v>2</v>
      </c>
      <c r="Y285" s="129" t="n">
        <f aca="false">1/(1+CHOOSE(F$3,(X286+($K$3/10000))/2,(X285+($K$3/10000))/2))^(2*W285/365.25)</f>
        <v>1.28632586064893E-014</v>
      </c>
      <c r="Z285" s="5" t="n">
        <f aca="false">IF(AND(mthbeg&lt;=A285,mthend&gt;=A285),1,0)</f>
        <v>0</v>
      </c>
      <c r="AA285" s="5" t="n">
        <f aca="false">U285*Z285</f>
        <v>0</v>
      </c>
      <c r="AC285" s="115" t="n">
        <f aca="false">IF(G278=2,F285*(S285-Q285),F285*(Q285-S285))</f>
        <v>0</v>
      </c>
      <c r="AE285" s="116" t="n">
        <f aca="false">IF($G$3=1,F285*(R285-Q285),F285*(Q285-R285))</f>
        <v>0</v>
      </c>
      <c r="AG285" s="116" t="n">
        <f aca="false">AC285+AE285</f>
        <v>0</v>
      </c>
    </row>
    <row r="286" customFormat="false" ht="12" hidden="false" customHeight="true" outlineLevel="0" collapsed="false">
      <c r="A286" s="120" t="n">
        <f aca="false">EDATE(A285,1)</f>
        <v>45689</v>
      </c>
      <c r="B286" s="121" t="e">
        <f aca="false">VLOOKUP(A286,'Inputs-Summary'!$A$32:$B$41,2,FALSE())</f>
        <v>#N/A</v>
      </c>
      <c r="C286" s="122"/>
      <c r="D286" s="123" t="e">
        <f aca="false">B286+C286</f>
        <v>#N/A</v>
      </c>
      <c r="E286" s="111" t="n">
        <f aca="false">IF(Z286=0,0,IF(AND(Z286=1,$H$3=1),D286*U286,IF($H$3=2,D286,"N/A")))</f>
        <v>0</v>
      </c>
      <c r="F286" s="111" t="n">
        <f aca="false">E286*Y286</f>
        <v>0</v>
      </c>
      <c r="G286" s="124" t="n">
        <f aca="false">VLOOKUP($A286,Table,MATCH(G$4,Curves,0))</f>
        <v>3</v>
      </c>
      <c r="H286" s="125" t="n">
        <f aca="false">G286+$H$7</f>
        <v>3</v>
      </c>
      <c r="I286" s="124" t="n">
        <f aca="false">H286</f>
        <v>3</v>
      </c>
      <c r="J286" s="124" t="n">
        <f aca="false">VLOOKUP($A286,Table,MATCH(J$4,Curves,0))</f>
        <v>4</v>
      </c>
      <c r="K286" s="125" t="n">
        <f aca="false">J286+$K$7</f>
        <v>4</v>
      </c>
      <c r="L286" s="126" t="n">
        <f aca="false">K286</f>
        <v>4</v>
      </c>
      <c r="M286" s="124" t="n">
        <f aca="false">VLOOKUP($A286,Table,MATCH(M$4,Curves,0))</f>
        <v>4</v>
      </c>
      <c r="N286" s="125" t="n">
        <f aca="false">M286+$N$7</f>
        <v>4</v>
      </c>
      <c r="O286" s="126" t="n">
        <f aca="false">0.07</f>
        <v>0.07</v>
      </c>
      <c r="P286" s="114"/>
      <c r="Q286" s="126" t="n">
        <f aca="false">M286+J286+G286</f>
        <v>11</v>
      </c>
      <c r="R286" s="126" t="n">
        <f aca="false">N286+K286+H286</f>
        <v>11</v>
      </c>
      <c r="S286" s="126" t="n">
        <f aca="false">O286+L286+I286</f>
        <v>7.07</v>
      </c>
      <c r="T286" s="127"/>
      <c r="U286" s="5" t="n">
        <f aca="false">A287-A286</f>
        <v>28</v>
      </c>
      <c r="V286" s="128" t="n">
        <f aca="false">CHOOSE(F$3,A287+24,A286)</f>
        <v>45689</v>
      </c>
      <c r="W286" s="5" t="n">
        <f aca="false">V286-C$3</f>
        <v>8458</v>
      </c>
      <c r="X286" s="124" t="n">
        <f aca="false">VLOOKUP($A286,Table,MATCH(X$4,Curves,0))</f>
        <v>2</v>
      </c>
      <c r="Y286" s="129" t="n">
        <f aca="false">1/(1+CHOOSE(F$3,(X287+($K$3/10000))/2,(X286+($K$3/10000))/2))^(2*W286/365.25)</f>
        <v>1.14354204699078E-014</v>
      </c>
      <c r="Z286" s="5" t="n">
        <f aca="false">IF(AND(mthbeg&lt;=A286,mthend&gt;=A286),1,0)</f>
        <v>0</v>
      </c>
      <c r="AA286" s="5" t="n">
        <f aca="false">U286*Z286</f>
        <v>0</v>
      </c>
      <c r="AC286" s="115" t="n">
        <f aca="false">IF(G279=2,F286*(S286-Q286),F286*(Q286-S286))</f>
        <v>0</v>
      </c>
      <c r="AE286" s="116" t="n">
        <f aca="false">IF($G$3=1,F286*(R286-Q286),F286*(Q286-R286))</f>
        <v>0</v>
      </c>
      <c r="AG286" s="116" t="n">
        <f aca="false">AC286+AE286</f>
        <v>0</v>
      </c>
    </row>
    <row r="287" customFormat="false" ht="12" hidden="false" customHeight="true" outlineLevel="0" collapsed="false">
      <c r="A287" s="120" t="n">
        <f aca="false">EDATE(A286,1)</f>
        <v>45717</v>
      </c>
      <c r="B287" s="121" t="e">
        <f aca="false">VLOOKUP(A287,'Inputs-Summary'!$A$32:$B$41,2,FALSE())</f>
        <v>#N/A</v>
      </c>
      <c r="C287" s="122"/>
      <c r="D287" s="123" t="e">
        <f aca="false">B287+C287</f>
        <v>#N/A</v>
      </c>
      <c r="E287" s="111" t="n">
        <f aca="false">IF(Z287=0,0,IF(AND(Z287=1,$H$3=1),D287*U287,IF($H$3=2,D287,"N/A")))</f>
        <v>0</v>
      </c>
      <c r="F287" s="111" t="n">
        <f aca="false">E287*Y287</f>
        <v>0</v>
      </c>
      <c r="G287" s="124" t="n">
        <f aca="false">VLOOKUP($A287,Table,MATCH(G$4,Curves,0))</f>
        <v>3</v>
      </c>
      <c r="H287" s="125" t="n">
        <f aca="false">G287+$H$7</f>
        <v>3</v>
      </c>
      <c r="I287" s="124" t="n">
        <f aca="false">H287</f>
        <v>3</v>
      </c>
      <c r="J287" s="124" t="n">
        <f aca="false">VLOOKUP($A287,Table,MATCH(J$4,Curves,0))</f>
        <v>4</v>
      </c>
      <c r="K287" s="125" t="n">
        <f aca="false">J287+$K$7</f>
        <v>4</v>
      </c>
      <c r="L287" s="126" t="n">
        <f aca="false">K287</f>
        <v>4</v>
      </c>
      <c r="M287" s="124" t="n">
        <f aca="false">VLOOKUP($A287,Table,MATCH(M$4,Curves,0))</f>
        <v>4</v>
      </c>
      <c r="N287" s="125" t="n">
        <f aca="false">M287+$N$7</f>
        <v>4</v>
      </c>
      <c r="O287" s="126" t="n">
        <f aca="false">0.07</f>
        <v>0.07</v>
      </c>
      <c r="P287" s="114"/>
      <c r="Q287" s="126" t="n">
        <f aca="false">M287+J287+G287</f>
        <v>11</v>
      </c>
      <c r="R287" s="126" t="n">
        <f aca="false">N287+K287+H287</f>
        <v>11</v>
      </c>
      <c r="S287" s="126" t="n">
        <f aca="false">O287+L287+I287</f>
        <v>7.07</v>
      </c>
      <c r="T287" s="127"/>
      <c r="U287" s="5" t="n">
        <f aca="false">A288-A287</f>
        <v>31</v>
      </c>
      <c r="V287" s="128" t="n">
        <f aca="false">CHOOSE(F$3,A288+24,A287)</f>
        <v>45717</v>
      </c>
      <c r="W287" s="5" t="n">
        <f aca="false">V287-C$3</f>
        <v>8486</v>
      </c>
      <c r="X287" s="124" t="n">
        <f aca="false">VLOOKUP($A287,Table,MATCH(X$4,Curves,0))</f>
        <v>2</v>
      </c>
      <c r="Y287" s="129" t="n">
        <f aca="false">1/(1+CHOOSE(F$3,(X288+($K$3/10000))/2,(X287+($K$3/10000))/2))^(2*W287/365.25)</f>
        <v>1.02824907158502E-014</v>
      </c>
      <c r="Z287" s="5" t="n">
        <f aca="false">IF(AND(mthbeg&lt;=A287,mthend&gt;=A287),1,0)</f>
        <v>0</v>
      </c>
      <c r="AA287" s="5" t="n">
        <f aca="false">U287*Z287</f>
        <v>0</v>
      </c>
      <c r="AC287" s="115" t="n">
        <f aca="false">IF(G280=2,F287*(S287-Q287),F287*(Q287-S287))</f>
        <v>0</v>
      </c>
      <c r="AE287" s="116" t="n">
        <f aca="false">IF($G$3=1,F287*(R287-Q287),F287*(Q287-R287))</f>
        <v>0</v>
      </c>
      <c r="AG287" s="116" t="n">
        <f aca="false">AC287+AE287</f>
        <v>0</v>
      </c>
    </row>
    <row r="288" customFormat="false" ht="12" hidden="false" customHeight="true" outlineLevel="0" collapsed="false">
      <c r="A288" s="120" t="n">
        <f aca="false">EDATE(A287,1)</f>
        <v>45748</v>
      </c>
      <c r="B288" s="121" t="e">
        <f aca="false">VLOOKUP(A288,'Inputs-Summary'!$A$32:$B$41,2,FALSE())</f>
        <v>#N/A</v>
      </c>
      <c r="C288" s="122"/>
      <c r="D288" s="123" t="e">
        <f aca="false">B288+C288</f>
        <v>#N/A</v>
      </c>
      <c r="E288" s="111" t="n">
        <f aca="false">IF(Z288=0,0,IF(AND(Z288=1,$H$3=1),D288*U288,IF($H$3=2,D288,"N/A")))</f>
        <v>0</v>
      </c>
      <c r="F288" s="111" t="n">
        <f aca="false">E288*Y288</f>
        <v>0</v>
      </c>
      <c r="G288" s="124" t="n">
        <f aca="false">VLOOKUP($A288,Table,MATCH(G$4,Curves,0))</f>
        <v>3</v>
      </c>
      <c r="H288" s="125" t="n">
        <f aca="false">G288+$H$7</f>
        <v>3</v>
      </c>
      <c r="I288" s="124" t="n">
        <f aca="false">H288</f>
        <v>3</v>
      </c>
      <c r="J288" s="124" t="n">
        <f aca="false">VLOOKUP($A288,Table,MATCH(J$4,Curves,0))</f>
        <v>4</v>
      </c>
      <c r="K288" s="125" t="n">
        <f aca="false">J288+$K$7</f>
        <v>4</v>
      </c>
      <c r="L288" s="126" t="n">
        <f aca="false">K288</f>
        <v>4</v>
      </c>
      <c r="M288" s="124" t="n">
        <f aca="false">VLOOKUP($A288,Table,MATCH(M$4,Curves,0))</f>
        <v>4</v>
      </c>
      <c r="N288" s="125" t="n">
        <f aca="false">M288+$N$7</f>
        <v>4</v>
      </c>
      <c r="O288" s="126" t="n">
        <f aca="false">0.07</f>
        <v>0.07</v>
      </c>
      <c r="P288" s="114"/>
      <c r="Q288" s="126" t="n">
        <f aca="false">M288+J288+G288</f>
        <v>11</v>
      </c>
      <c r="R288" s="126" t="n">
        <f aca="false">N288+K288+H288</f>
        <v>11</v>
      </c>
      <c r="S288" s="126" t="n">
        <f aca="false">O288+L288+I288</f>
        <v>7.07</v>
      </c>
      <c r="T288" s="127"/>
      <c r="U288" s="5" t="n">
        <f aca="false">A289-A288</f>
        <v>30</v>
      </c>
      <c r="V288" s="128" t="n">
        <f aca="false">CHOOSE(F$3,A289+24,A288)</f>
        <v>45748</v>
      </c>
      <c r="W288" s="5" t="n">
        <f aca="false">V288-C$3</f>
        <v>8517</v>
      </c>
      <c r="X288" s="124" t="n">
        <f aca="false">VLOOKUP($A288,Table,MATCH(X$4,Curves,0))</f>
        <v>2</v>
      </c>
      <c r="Y288" s="129" t="n">
        <f aca="false">1/(1+CHOOSE(F$3,(X289+($K$3/10000))/2,(X288+($K$3/10000))/2))^(2*W288/365.25)</f>
        <v>9.14112111174924E-015</v>
      </c>
      <c r="Z288" s="5" t="n">
        <f aca="false">IF(AND(mthbeg&lt;=A288,mthend&gt;=A288),1,0)</f>
        <v>0</v>
      </c>
      <c r="AA288" s="5" t="n">
        <f aca="false">U288*Z288</f>
        <v>0</v>
      </c>
      <c r="AC288" s="115" t="n">
        <f aca="false">IF(G281=2,F288*(S288-Q288),F288*(Q288-S288))</f>
        <v>0</v>
      </c>
      <c r="AE288" s="116" t="n">
        <f aca="false">IF($G$3=1,F288*(R288-Q288),F288*(Q288-R288))</f>
        <v>0</v>
      </c>
      <c r="AG288" s="116" t="n">
        <f aca="false">AC288+AE288</f>
        <v>0</v>
      </c>
    </row>
    <row r="289" customFormat="false" ht="12" hidden="false" customHeight="true" outlineLevel="0" collapsed="false">
      <c r="A289" s="120" t="n">
        <f aca="false">EDATE(A288,1)</f>
        <v>45778</v>
      </c>
      <c r="B289" s="121" t="e">
        <f aca="false">VLOOKUP(A289,'Inputs-Summary'!$A$32:$B$41,2,FALSE())</f>
        <v>#N/A</v>
      </c>
      <c r="C289" s="122"/>
      <c r="D289" s="123" t="e">
        <f aca="false">B289+C289</f>
        <v>#N/A</v>
      </c>
      <c r="E289" s="111" t="n">
        <f aca="false">IF(Z289=0,0,IF(AND(Z289=1,$H$3=1),D289*U289,IF($H$3=2,D289,"N/A")))</f>
        <v>0</v>
      </c>
      <c r="F289" s="111" t="n">
        <f aca="false">E289*Y289</f>
        <v>0</v>
      </c>
      <c r="G289" s="124" t="n">
        <f aca="false">VLOOKUP($A289,Table,MATCH(G$4,Curves,0))</f>
        <v>3</v>
      </c>
      <c r="H289" s="125" t="n">
        <f aca="false">G289+$H$7</f>
        <v>3</v>
      </c>
      <c r="I289" s="124" t="n">
        <f aca="false">H289</f>
        <v>3</v>
      </c>
      <c r="J289" s="124" t="n">
        <f aca="false">VLOOKUP($A289,Table,MATCH(J$4,Curves,0))</f>
        <v>4</v>
      </c>
      <c r="K289" s="125" t="n">
        <f aca="false">J289+$K$7</f>
        <v>4</v>
      </c>
      <c r="L289" s="126" t="n">
        <f aca="false">K289</f>
        <v>4</v>
      </c>
      <c r="M289" s="124" t="n">
        <f aca="false">VLOOKUP($A289,Table,MATCH(M$4,Curves,0))</f>
        <v>4</v>
      </c>
      <c r="N289" s="125" t="n">
        <f aca="false">M289+$N$7</f>
        <v>4</v>
      </c>
      <c r="O289" s="126" t="n">
        <f aca="false">0.07</f>
        <v>0.07</v>
      </c>
      <c r="P289" s="114"/>
      <c r="Q289" s="126" t="n">
        <f aca="false">M289+J289+G289</f>
        <v>11</v>
      </c>
      <c r="R289" s="126" t="n">
        <f aca="false">N289+K289+H289</f>
        <v>11</v>
      </c>
      <c r="S289" s="126" t="n">
        <f aca="false">O289+L289+I289</f>
        <v>7.07</v>
      </c>
      <c r="T289" s="127"/>
      <c r="U289" s="5" t="n">
        <f aca="false">A290-A289</f>
        <v>31</v>
      </c>
      <c r="V289" s="128" t="n">
        <f aca="false">CHOOSE(F$3,A290+24,A289)</f>
        <v>45778</v>
      </c>
      <c r="W289" s="5" t="n">
        <f aca="false">V289-C$3</f>
        <v>8547</v>
      </c>
      <c r="X289" s="124" t="n">
        <f aca="false">VLOOKUP($A289,Table,MATCH(X$4,Curves,0))</f>
        <v>2</v>
      </c>
      <c r="Y289" s="129" t="n">
        <f aca="false">1/(1+CHOOSE(F$3,(X290+($K$3/10000))/2,(X289+($K$3/10000))/2))^(2*W289/365.25)</f>
        <v>8.15734725349671E-015</v>
      </c>
      <c r="Z289" s="5" t="n">
        <f aca="false">IF(AND(mthbeg&lt;=A289,mthend&gt;=A289),1,0)</f>
        <v>0</v>
      </c>
      <c r="AA289" s="5" t="n">
        <f aca="false">U289*Z289</f>
        <v>0</v>
      </c>
      <c r="AC289" s="115" t="n">
        <f aca="false">IF(G282=2,F289*(S289-Q289),F289*(Q289-S289))</f>
        <v>0</v>
      </c>
      <c r="AE289" s="116" t="n">
        <f aca="false">IF($G$3=1,F289*(R289-Q289),F289*(Q289-R289))</f>
        <v>0</v>
      </c>
      <c r="AG289" s="116" t="n">
        <f aca="false">AC289+AE289</f>
        <v>0</v>
      </c>
    </row>
    <row r="290" customFormat="false" ht="12" hidden="false" customHeight="true" outlineLevel="0" collapsed="false">
      <c r="A290" s="120" t="n">
        <f aca="false">EDATE(A289,1)</f>
        <v>45809</v>
      </c>
      <c r="B290" s="121" t="e">
        <f aca="false">VLOOKUP(A290,'Inputs-Summary'!$A$32:$B$41,2,FALSE())</f>
        <v>#N/A</v>
      </c>
      <c r="C290" s="122"/>
      <c r="D290" s="123" t="e">
        <f aca="false">B290+C290</f>
        <v>#N/A</v>
      </c>
      <c r="E290" s="111" t="n">
        <f aca="false">IF(Z290=0,0,IF(AND(Z290=1,$H$3=1),D290*U290,IF($H$3=2,D290,"N/A")))</f>
        <v>0</v>
      </c>
      <c r="F290" s="111" t="n">
        <f aca="false">E290*Y290</f>
        <v>0</v>
      </c>
      <c r="G290" s="124" t="n">
        <f aca="false">VLOOKUP($A290,Table,MATCH(G$4,Curves,0))</f>
        <v>3</v>
      </c>
      <c r="H290" s="125" t="n">
        <f aca="false">G290+$H$7</f>
        <v>3</v>
      </c>
      <c r="I290" s="124" t="n">
        <f aca="false">H290</f>
        <v>3</v>
      </c>
      <c r="J290" s="124" t="n">
        <f aca="false">VLOOKUP($A290,Table,MATCH(J$4,Curves,0))</f>
        <v>4</v>
      </c>
      <c r="K290" s="125" t="n">
        <f aca="false">J290+$K$7</f>
        <v>4</v>
      </c>
      <c r="L290" s="126" t="n">
        <f aca="false">K290</f>
        <v>4</v>
      </c>
      <c r="M290" s="124" t="n">
        <f aca="false">VLOOKUP($A290,Table,MATCH(M$4,Curves,0))</f>
        <v>4</v>
      </c>
      <c r="N290" s="125" t="n">
        <f aca="false">M290+$N$7</f>
        <v>4</v>
      </c>
      <c r="O290" s="126" t="n">
        <f aca="false">0.07</f>
        <v>0.07</v>
      </c>
      <c r="P290" s="114"/>
      <c r="Q290" s="126" t="n">
        <f aca="false">M290+J290+G290</f>
        <v>11</v>
      </c>
      <c r="R290" s="126" t="n">
        <f aca="false">N290+K290+H290</f>
        <v>11</v>
      </c>
      <c r="S290" s="126" t="n">
        <f aca="false">O290+L290+I290</f>
        <v>7.07</v>
      </c>
      <c r="T290" s="127"/>
      <c r="U290" s="5" t="n">
        <f aca="false">A291-A290</f>
        <v>30</v>
      </c>
      <c r="V290" s="128" t="n">
        <f aca="false">CHOOSE(F$3,A291+24,A290)</f>
        <v>45809</v>
      </c>
      <c r="W290" s="5" t="n">
        <f aca="false">V290-C$3</f>
        <v>8578</v>
      </c>
      <c r="X290" s="124" t="n">
        <f aca="false">VLOOKUP($A290,Table,MATCH(X$4,Curves,0))</f>
        <v>2</v>
      </c>
      <c r="Y290" s="129" t="n">
        <f aca="false">1/(1+CHOOSE(F$3,(X291+($K$3/10000))/2,(X290+($K$3/10000))/2))^(2*W290/365.25)</f>
        <v>7.25187128833142E-015</v>
      </c>
      <c r="Z290" s="5" t="n">
        <f aca="false">IF(AND(mthbeg&lt;=A290,mthend&gt;=A290),1,0)</f>
        <v>0</v>
      </c>
      <c r="AA290" s="5" t="n">
        <f aca="false">U290*Z290</f>
        <v>0</v>
      </c>
      <c r="AC290" s="115" t="n">
        <f aca="false">IF(G283=2,F290*(S290-Q290),F290*(Q290-S290))</f>
        <v>0</v>
      </c>
      <c r="AE290" s="116" t="n">
        <f aca="false">IF($G$3=1,F290*(R290-Q290),F290*(Q290-R290))</f>
        <v>0</v>
      </c>
      <c r="AG290" s="116" t="n">
        <f aca="false">AC290+AE290</f>
        <v>0</v>
      </c>
    </row>
    <row r="291" customFormat="false" ht="12" hidden="false" customHeight="true" outlineLevel="0" collapsed="false">
      <c r="A291" s="120" t="n">
        <f aca="false">EDATE(A290,1)</f>
        <v>45839</v>
      </c>
      <c r="B291" s="121" t="e">
        <f aca="false">VLOOKUP(A291,'Inputs-Summary'!$A$32:$B$41,2,FALSE())</f>
        <v>#N/A</v>
      </c>
      <c r="C291" s="122"/>
      <c r="D291" s="123" t="e">
        <f aca="false">B291+C291</f>
        <v>#N/A</v>
      </c>
      <c r="E291" s="111" t="n">
        <f aca="false">IF(Z291=0,0,IF(AND(Z291=1,$H$3=1),D291*U291,IF($H$3=2,D291,"N/A")))</f>
        <v>0</v>
      </c>
      <c r="F291" s="111" t="n">
        <f aca="false">E291*Y291</f>
        <v>0</v>
      </c>
      <c r="G291" s="124" t="n">
        <f aca="false">VLOOKUP($A291,Table,MATCH(G$4,Curves,0))</f>
        <v>3</v>
      </c>
      <c r="H291" s="125" t="n">
        <f aca="false">G291+$H$7</f>
        <v>3</v>
      </c>
      <c r="I291" s="124" t="n">
        <f aca="false">H291</f>
        <v>3</v>
      </c>
      <c r="J291" s="124" t="n">
        <f aca="false">VLOOKUP($A291,Table,MATCH(J$4,Curves,0))</f>
        <v>4</v>
      </c>
      <c r="K291" s="125" t="n">
        <f aca="false">J291+$K$7</f>
        <v>4</v>
      </c>
      <c r="L291" s="126" t="n">
        <f aca="false">K291</f>
        <v>4</v>
      </c>
      <c r="M291" s="124" t="n">
        <f aca="false">VLOOKUP($A291,Table,MATCH(M$4,Curves,0))</f>
        <v>4</v>
      </c>
      <c r="N291" s="125" t="n">
        <f aca="false">M291+$N$7</f>
        <v>4</v>
      </c>
      <c r="O291" s="126" t="n">
        <f aca="false">0.07</f>
        <v>0.07</v>
      </c>
      <c r="P291" s="114"/>
      <c r="Q291" s="126" t="n">
        <f aca="false">M291+J291+G291</f>
        <v>11</v>
      </c>
      <c r="R291" s="126" t="n">
        <f aca="false">N291+K291+H291</f>
        <v>11</v>
      </c>
      <c r="S291" s="126" t="n">
        <f aca="false">O291+L291+I291</f>
        <v>7.07</v>
      </c>
      <c r="T291" s="127"/>
      <c r="U291" s="5" t="n">
        <f aca="false">A292-A291</f>
        <v>31</v>
      </c>
      <c r="V291" s="128" t="n">
        <f aca="false">CHOOSE(F$3,A292+24,A291)</f>
        <v>45839</v>
      </c>
      <c r="W291" s="5" t="n">
        <f aca="false">V291-C$3</f>
        <v>8608</v>
      </c>
      <c r="X291" s="124" t="n">
        <f aca="false">VLOOKUP($A291,Table,MATCH(X$4,Curves,0))</f>
        <v>2</v>
      </c>
      <c r="Y291" s="129" t="n">
        <f aca="false">1/(1+CHOOSE(F$3,(X292+($K$3/10000))/2,(X291+($K$3/10000))/2))^(2*W291/365.25)</f>
        <v>6.47141981967044E-015</v>
      </c>
      <c r="Z291" s="5" t="n">
        <f aca="false">IF(AND(mthbeg&lt;=A291,mthend&gt;=A291),1,0)</f>
        <v>0</v>
      </c>
      <c r="AA291" s="5" t="n">
        <f aca="false">U291*Z291</f>
        <v>0</v>
      </c>
      <c r="AC291" s="115" t="n">
        <f aca="false">IF(G284=2,F291*(S291-Q291),F291*(Q291-S291))</f>
        <v>0</v>
      </c>
      <c r="AE291" s="116" t="n">
        <f aca="false">IF($G$3=1,F291*(R291-Q291),F291*(Q291-R291))</f>
        <v>0</v>
      </c>
      <c r="AG291" s="116" t="n">
        <f aca="false">AC291+AE291</f>
        <v>0</v>
      </c>
    </row>
    <row r="292" customFormat="false" ht="12" hidden="false" customHeight="true" outlineLevel="0" collapsed="false">
      <c r="A292" s="120" t="n">
        <f aca="false">EDATE(A291,1)</f>
        <v>45870</v>
      </c>
      <c r="B292" s="121" t="e">
        <f aca="false">VLOOKUP(A292,'Inputs-Summary'!$A$32:$B$41,2,FALSE())</f>
        <v>#N/A</v>
      </c>
      <c r="C292" s="122"/>
      <c r="D292" s="123" t="e">
        <f aca="false">B292+C292</f>
        <v>#N/A</v>
      </c>
      <c r="E292" s="111" t="n">
        <f aca="false">IF(Z292=0,0,IF(AND(Z292=1,$H$3=1),D292*U292,IF($H$3=2,D292,"N/A")))</f>
        <v>0</v>
      </c>
      <c r="F292" s="111" t="n">
        <f aca="false">E292*Y292</f>
        <v>0</v>
      </c>
      <c r="G292" s="124" t="n">
        <f aca="false">VLOOKUP($A292,Table,MATCH(G$4,Curves,0))</f>
        <v>3</v>
      </c>
      <c r="H292" s="125" t="n">
        <f aca="false">G292+$H$7</f>
        <v>3</v>
      </c>
      <c r="I292" s="124" t="n">
        <f aca="false">H292</f>
        <v>3</v>
      </c>
      <c r="J292" s="124" t="n">
        <f aca="false">VLOOKUP($A292,Table,MATCH(J$4,Curves,0))</f>
        <v>4</v>
      </c>
      <c r="K292" s="125" t="n">
        <f aca="false">J292+$K$7</f>
        <v>4</v>
      </c>
      <c r="L292" s="126" t="n">
        <f aca="false">K292</f>
        <v>4</v>
      </c>
      <c r="M292" s="124" t="n">
        <f aca="false">VLOOKUP($A292,Table,MATCH(M$4,Curves,0))</f>
        <v>4</v>
      </c>
      <c r="N292" s="125" t="n">
        <f aca="false">M292+$N$7</f>
        <v>4</v>
      </c>
      <c r="O292" s="126" t="n">
        <f aca="false">0.07</f>
        <v>0.07</v>
      </c>
      <c r="P292" s="114"/>
      <c r="Q292" s="126" t="n">
        <f aca="false">M292+J292+G292</f>
        <v>11</v>
      </c>
      <c r="R292" s="126" t="n">
        <f aca="false">N292+K292+H292</f>
        <v>11</v>
      </c>
      <c r="S292" s="126" t="n">
        <f aca="false">O292+L292+I292</f>
        <v>7.07</v>
      </c>
      <c r="T292" s="127"/>
      <c r="U292" s="5" t="n">
        <f aca="false">A293-A292</f>
        <v>31</v>
      </c>
      <c r="V292" s="128" t="n">
        <f aca="false">CHOOSE(F$3,A293+24,A292)</f>
        <v>45870</v>
      </c>
      <c r="W292" s="5" t="n">
        <f aca="false">V292-C$3</f>
        <v>8639</v>
      </c>
      <c r="X292" s="124" t="n">
        <f aca="false">VLOOKUP($A292,Table,MATCH(X$4,Curves,0))</f>
        <v>2</v>
      </c>
      <c r="Y292" s="129" t="n">
        <f aca="false">1/(1+CHOOSE(F$3,(X293+($K$3/10000))/2,(X292+($K$3/10000))/2))^(2*W292/365.25)</f>
        <v>5.7530839532288E-015</v>
      </c>
      <c r="Z292" s="5" t="n">
        <f aca="false">IF(AND(mthbeg&lt;=A292,mthend&gt;=A292),1,0)</f>
        <v>0</v>
      </c>
      <c r="AA292" s="5" t="n">
        <f aca="false">U292*Z292</f>
        <v>0</v>
      </c>
      <c r="AC292" s="115" t="n">
        <f aca="false">IF(G285=2,F292*(S292-Q292),F292*(Q292-S292))</f>
        <v>0</v>
      </c>
      <c r="AE292" s="116" t="n">
        <f aca="false">IF($G$3=1,F292*(R292-Q292),F292*(Q292-R292))</f>
        <v>0</v>
      </c>
      <c r="AG292" s="116" t="n">
        <f aca="false">AC292+AE292</f>
        <v>0</v>
      </c>
    </row>
    <row r="293" customFormat="false" ht="12" hidden="false" customHeight="true" outlineLevel="0" collapsed="false">
      <c r="A293" s="120" t="n">
        <f aca="false">EDATE(A292,1)</f>
        <v>45901</v>
      </c>
      <c r="B293" s="121" t="e">
        <f aca="false">VLOOKUP(A293,'Inputs-Summary'!$A$32:$B$41,2,FALSE())</f>
        <v>#N/A</v>
      </c>
      <c r="C293" s="122"/>
      <c r="D293" s="123" t="e">
        <f aca="false">B293+C293</f>
        <v>#N/A</v>
      </c>
      <c r="E293" s="111" t="n">
        <f aca="false">IF(Z293=0,0,IF(AND(Z293=1,$H$3=1),D293*U293,IF($H$3=2,D293,"N/A")))</f>
        <v>0</v>
      </c>
      <c r="F293" s="111" t="n">
        <f aca="false">E293*Y293</f>
        <v>0</v>
      </c>
      <c r="G293" s="124" t="n">
        <f aca="false">VLOOKUP($A293,Table,MATCH(G$4,Curves,0))</f>
        <v>3</v>
      </c>
      <c r="H293" s="125" t="n">
        <f aca="false">G293+$H$7</f>
        <v>3</v>
      </c>
      <c r="I293" s="124" t="n">
        <f aca="false">H293</f>
        <v>3</v>
      </c>
      <c r="J293" s="124" t="n">
        <f aca="false">VLOOKUP($A293,Table,MATCH(J$4,Curves,0))</f>
        <v>4</v>
      </c>
      <c r="K293" s="125" t="n">
        <f aca="false">J293+$K$7</f>
        <v>4</v>
      </c>
      <c r="L293" s="126" t="n">
        <f aca="false">K293</f>
        <v>4</v>
      </c>
      <c r="M293" s="124" t="n">
        <f aca="false">VLOOKUP($A293,Table,MATCH(M$4,Curves,0))</f>
        <v>4</v>
      </c>
      <c r="N293" s="125" t="n">
        <f aca="false">M293+$N$7</f>
        <v>4</v>
      </c>
      <c r="O293" s="126" t="n">
        <f aca="false">0.07</f>
        <v>0.07</v>
      </c>
      <c r="P293" s="114"/>
      <c r="Q293" s="126" t="n">
        <f aca="false">M293+J293+G293</f>
        <v>11</v>
      </c>
      <c r="R293" s="126" t="n">
        <f aca="false">N293+K293+H293</f>
        <v>11</v>
      </c>
      <c r="S293" s="126" t="n">
        <f aca="false">O293+L293+I293</f>
        <v>7.07</v>
      </c>
      <c r="T293" s="127"/>
      <c r="U293" s="5" t="n">
        <f aca="false">A294-A293</f>
        <v>30</v>
      </c>
      <c r="V293" s="128" t="n">
        <f aca="false">CHOOSE(F$3,A294+24,A293)</f>
        <v>45901</v>
      </c>
      <c r="W293" s="5" t="n">
        <f aca="false">V293-C$3</f>
        <v>8670</v>
      </c>
      <c r="X293" s="124" t="n">
        <f aca="false">VLOOKUP($A293,Table,MATCH(X$4,Curves,0))</f>
        <v>2</v>
      </c>
      <c r="Y293" s="129" t="n">
        <f aca="false">1/(1+CHOOSE(F$3,(X294+($K$3/10000))/2,(X293+($K$3/10000))/2))^(2*W293/365.25)</f>
        <v>5.11448428554961E-015</v>
      </c>
      <c r="Z293" s="5" t="n">
        <f aca="false">IF(AND(mthbeg&lt;=A293,mthend&gt;=A293),1,0)</f>
        <v>0</v>
      </c>
      <c r="AA293" s="5" t="n">
        <f aca="false">U293*Z293</f>
        <v>0</v>
      </c>
      <c r="AC293" s="115" t="n">
        <f aca="false">IF(G286=2,F293*(S293-Q293),F293*(Q293-S293))</f>
        <v>0</v>
      </c>
      <c r="AE293" s="116" t="n">
        <f aca="false">IF($G$3=1,F293*(R293-Q293),F293*(Q293-R293))</f>
        <v>0</v>
      </c>
      <c r="AG293" s="116" t="n">
        <f aca="false">AC293+AE293</f>
        <v>0</v>
      </c>
    </row>
    <row r="294" customFormat="false" ht="12" hidden="false" customHeight="true" outlineLevel="0" collapsed="false">
      <c r="A294" s="120" t="n">
        <f aca="false">EDATE(A293,1)</f>
        <v>45931</v>
      </c>
      <c r="B294" s="121" t="e">
        <f aca="false">VLOOKUP(A294,'Inputs-Summary'!$A$32:$B$41,2,FALSE())</f>
        <v>#N/A</v>
      </c>
      <c r="C294" s="122"/>
      <c r="D294" s="123" t="e">
        <f aca="false">B294+C294</f>
        <v>#N/A</v>
      </c>
      <c r="E294" s="111" t="n">
        <f aca="false">IF(Z294=0,0,IF(AND(Z294=1,$H$3=1),D294*U294,IF($H$3=2,D294,"N/A")))</f>
        <v>0</v>
      </c>
      <c r="F294" s="111" t="n">
        <f aca="false">E294*Y294</f>
        <v>0</v>
      </c>
      <c r="G294" s="124" t="n">
        <f aca="false">VLOOKUP($A294,Table,MATCH(G$4,Curves,0))</f>
        <v>3</v>
      </c>
      <c r="H294" s="125" t="n">
        <f aca="false">G294+$H$7</f>
        <v>3</v>
      </c>
      <c r="I294" s="124" t="n">
        <f aca="false">H294</f>
        <v>3</v>
      </c>
      <c r="J294" s="124" t="n">
        <f aca="false">VLOOKUP($A294,Table,MATCH(J$4,Curves,0))</f>
        <v>4</v>
      </c>
      <c r="K294" s="125" t="n">
        <f aca="false">J294+$K$7</f>
        <v>4</v>
      </c>
      <c r="L294" s="126" t="n">
        <f aca="false">K294</f>
        <v>4</v>
      </c>
      <c r="M294" s="124" t="n">
        <f aca="false">VLOOKUP($A294,Table,MATCH(M$4,Curves,0))</f>
        <v>4</v>
      </c>
      <c r="N294" s="125" t="n">
        <f aca="false">M294+$N$7</f>
        <v>4</v>
      </c>
      <c r="O294" s="126" t="n">
        <f aca="false">0.07</f>
        <v>0.07</v>
      </c>
      <c r="P294" s="114"/>
      <c r="Q294" s="126" t="n">
        <f aca="false">M294+J294+G294</f>
        <v>11</v>
      </c>
      <c r="R294" s="126" t="n">
        <f aca="false">N294+K294+H294</f>
        <v>11</v>
      </c>
      <c r="S294" s="126" t="n">
        <f aca="false">O294+L294+I294</f>
        <v>7.07</v>
      </c>
      <c r="T294" s="127"/>
      <c r="U294" s="5" t="n">
        <f aca="false">A295-A294</f>
        <v>31</v>
      </c>
      <c r="V294" s="128" t="n">
        <f aca="false">CHOOSE(F$3,A295+24,A294)</f>
        <v>45931</v>
      </c>
      <c r="W294" s="5" t="n">
        <f aca="false">V294-C$3</f>
        <v>8700</v>
      </c>
      <c r="X294" s="124" t="n">
        <f aca="false">VLOOKUP($A294,Table,MATCH(X$4,Curves,0))</f>
        <v>2</v>
      </c>
      <c r="Y294" s="129" t="n">
        <f aca="false">1/(1+CHOOSE(F$3,(X295+($K$3/10000))/2,(X294+($K$3/10000))/2))^(2*W294/365.25)</f>
        <v>4.56405990356653E-015</v>
      </c>
      <c r="Z294" s="5" t="n">
        <f aca="false">IF(AND(mthbeg&lt;=A294,mthend&gt;=A294),1,0)</f>
        <v>0</v>
      </c>
      <c r="AA294" s="5" t="n">
        <f aca="false">U294*Z294</f>
        <v>0</v>
      </c>
      <c r="AC294" s="115" t="n">
        <f aca="false">IF(G287=2,F294*(S294-Q294),F294*(Q294-S294))</f>
        <v>0</v>
      </c>
      <c r="AE294" s="116" t="n">
        <f aca="false">IF($G$3=1,F294*(R294-Q294),F294*(Q294-R294))</f>
        <v>0</v>
      </c>
      <c r="AG294" s="116" t="n">
        <f aca="false">AC294+AE294</f>
        <v>0</v>
      </c>
    </row>
    <row r="295" customFormat="false" ht="12" hidden="false" customHeight="true" outlineLevel="0" collapsed="false">
      <c r="A295" s="120" t="n">
        <f aca="false">EDATE(A294,1)</f>
        <v>45962</v>
      </c>
      <c r="B295" s="121" t="e">
        <f aca="false">VLOOKUP(A295,'Inputs-Summary'!$A$32:$B$41,2,FALSE())</f>
        <v>#N/A</v>
      </c>
      <c r="C295" s="122"/>
      <c r="D295" s="123" t="e">
        <f aca="false">B295+C295</f>
        <v>#N/A</v>
      </c>
      <c r="E295" s="111" t="n">
        <f aca="false">IF(Z295=0,0,IF(AND(Z295=1,$H$3=1),D295*U295,IF($H$3=2,D295,"N/A")))</f>
        <v>0</v>
      </c>
      <c r="F295" s="111" t="n">
        <f aca="false">E295*Y295</f>
        <v>0</v>
      </c>
      <c r="G295" s="124" t="n">
        <f aca="false">VLOOKUP($A295,Table,MATCH(G$4,Curves,0))</f>
        <v>3</v>
      </c>
      <c r="H295" s="125" t="n">
        <f aca="false">G295+$H$7</f>
        <v>3</v>
      </c>
      <c r="I295" s="124" t="n">
        <f aca="false">H295</f>
        <v>3</v>
      </c>
      <c r="J295" s="124" t="n">
        <f aca="false">VLOOKUP($A295,Table,MATCH(J$4,Curves,0))</f>
        <v>4</v>
      </c>
      <c r="K295" s="125" t="n">
        <f aca="false">J295+$K$7</f>
        <v>4</v>
      </c>
      <c r="L295" s="126" t="n">
        <f aca="false">K295</f>
        <v>4</v>
      </c>
      <c r="M295" s="124" t="n">
        <f aca="false">VLOOKUP($A295,Table,MATCH(M$4,Curves,0))</f>
        <v>4</v>
      </c>
      <c r="N295" s="125" t="n">
        <f aca="false">M295+$N$7</f>
        <v>4</v>
      </c>
      <c r="O295" s="126" t="n">
        <f aca="false">0.07</f>
        <v>0.07</v>
      </c>
      <c r="P295" s="114"/>
      <c r="Q295" s="126" t="n">
        <f aca="false">M295+J295+G295</f>
        <v>11</v>
      </c>
      <c r="R295" s="126" t="n">
        <f aca="false">N295+K295+H295</f>
        <v>11</v>
      </c>
      <c r="S295" s="126" t="n">
        <f aca="false">O295+L295+I295</f>
        <v>7.07</v>
      </c>
      <c r="T295" s="127"/>
      <c r="U295" s="5" t="n">
        <f aca="false">A296-A295</f>
        <v>30</v>
      </c>
      <c r="V295" s="128" t="n">
        <f aca="false">CHOOSE(F$3,A296+24,A295)</f>
        <v>45962</v>
      </c>
      <c r="W295" s="5" t="n">
        <f aca="false">V295-C$3</f>
        <v>8731</v>
      </c>
      <c r="X295" s="124" t="n">
        <f aca="false">VLOOKUP($A295,Table,MATCH(X$4,Curves,0))</f>
        <v>2</v>
      </c>
      <c r="Y295" s="129" t="n">
        <f aca="false">1/(1+CHOOSE(F$3,(X296+($K$3/10000))/2,(X295+($K$3/10000))/2))^(2*W295/365.25)</f>
        <v>4.05744342423464E-015</v>
      </c>
      <c r="Z295" s="5" t="n">
        <f aca="false">IF(AND(mthbeg&lt;=A295,mthend&gt;=A295),1,0)</f>
        <v>0</v>
      </c>
      <c r="AA295" s="5" t="n">
        <f aca="false">U295*Z295</f>
        <v>0</v>
      </c>
      <c r="AC295" s="115" t="n">
        <f aca="false">IF(G288=2,F295*(S295-Q295),F295*(Q295-S295))</f>
        <v>0</v>
      </c>
      <c r="AE295" s="116" t="n">
        <f aca="false">IF($G$3=1,F295*(R295-Q295),F295*(Q295-R295))</f>
        <v>0</v>
      </c>
      <c r="AG295" s="116" t="n">
        <f aca="false">AC295+AE295</f>
        <v>0</v>
      </c>
    </row>
    <row r="296" customFormat="false" ht="12" hidden="false" customHeight="true" outlineLevel="0" collapsed="false">
      <c r="A296" s="120" t="n">
        <f aca="false">EDATE(A295,1)</f>
        <v>45992</v>
      </c>
      <c r="B296" s="121" t="e">
        <f aca="false">VLOOKUP(A296,'Inputs-Summary'!$A$32:$B$41,2,FALSE())</f>
        <v>#N/A</v>
      </c>
      <c r="C296" s="122"/>
      <c r="D296" s="123" t="e">
        <f aca="false">B296+C296</f>
        <v>#N/A</v>
      </c>
      <c r="E296" s="111" t="n">
        <f aca="false">IF(Z296=0,0,IF(AND(Z296=1,$H$3=1),D296*U296,IF($H$3=2,D296,"N/A")))</f>
        <v>0</v>
      </c>
      <c r="F296" s="111" t="n">
        <f aca="false">E296*Y296</f>
        <v>0</v>
      </c>
      <c r="G296" s="124" t="n">
        <f aca="false">VLOOKUP($A296,Table,MATCH(G$4,Curves,0))</f>
        <v>3</v>
      </c>
      <c r="H296" s="125" t="n">
        <f aca="false">G296+$H$7</f>
        <v>3</v>
      </c>
      <c r="I296" s="124" t="n">
        <f aca="false">H296</f>
        <v>3</v>
      </c>
      <c r="J296" s="124" t="n">
        <f aca="false">VLOOKUP($A296,Table,MATCH(J$4,Curves,0))</f>
        <v>4</v>
      </c>
      <c r="K296" s="125" t="n">
        <f aca="false">J296+$K$7</f>
        <v>4</v>
      </c>
      <c r="L296" s="126" t="n">
        <f aca="false">K296</f>
        <v>4</v>
      </c>
      <c r="M296" s="124" t="n">
        <f aca="false">VLOOKUP($A296,Table,MATCH(M$4,Curves,0))</f>
        <v>4</v>
      </c>
      <c r="N296" s="125" t="n">
        <f aca="false">M296+$N$7</f>
        <v>4</v>
      </c>
      <c r="O296" s="126" t="n">
        <f aca="false">0.07</f>
        <v>0.07</v>
      </c>
      <c r="P296" s="114"/>
      <c r="Q296" s="126" t="n">
        <f aca="false">M296+J296+G296</f>
        <v>11</v>
      </c>
      <c r="R296" s="126" t="n">
        <f aca="false">N296+K296+H296</f>
        <v>11</v>
      </c>
      <c r="S296" s="126" t="n">
        <f aca="false">O296+L296+I296</f>
        <v>7.07</v>
      </c>
      <c r="T296" s="127"/>
      <c r="U296" s="5" t="n">
        <f aca="false">A297-A296</f>
        <v>31</v>
      </c>
      <c r="V296" s="128" t="n">
        <f aca="false">CHOOSE(F$3,A297+24,A296)</f>
        <v>45992</v>
      </c>
      <c r="W296" s="5" t="n">
        <f aca="false">V296-C$3</f>
        <v>8761</v>
      </c>
      <c r="X296" s="124" t="n">
        <f aca="false">VLOOKUP($A296,Table,MATCH(X$4,Curves,0))</f>
        <v>2</v>
      </c>
      <c r="Y296" s="129" t="n">
        <f aca="false">1/(1+CHOOSE(F$3,(X297+($K$3/10000))/2,(X296+($K$3/10000))/2))^(2*W296/365.25)</f>
        <v>3.62077852030178E-015</v>
      </c>
      <c r="Z296" s="5" t="n">
        <f aca="false">IF(AND(mthbeg&lt;=A296,mthend&gt;=A296),1,0)</f>
        <v>0</v>
      </c>
      <c r="AA296" s="5" t="n">
        <f aca="false">U296*Z296</f>
        <v>0</v>
      </c>
      <c r="AC296" s="115" t="n">
        <f aca="false">IF(G289=2,F296*(S296-Q296),F296*(Q296-S296))</f>
        <v>0</v>
      </c>
      <c r="AE296" s="116" t="n">
        <f aca="false">IF($G$3=1,F296*(R296-Q296),F296*(Q296-R296))</f>
        <v>0</v>
      </c>
      <c r="AG296" s="116" t="n">
        <f aca="false">AC296+AE296</f>
        <v>0</v>
      </c>
    </row>
    <row r="297" customFormat="false" ht="12" hidden="false" customHeight="true" outlineLevel="0" collapsed="false">
      <c r="A297" s="120" t="n">
        <f aca="false">EDATE(A296,1)</f>
        <v>46023</v>
      </c>
      <c r="B297" s="121" t="e">
        <f aca="false">VLOOKUP(A297,'Inputs-Summary'!$A$32:$B$41,2,FALSE())</f>
        <v>#N/A</v>
      </c>
      <c r="C297" s="122"/>
      <c r="D297" s="123" t="e">
        <f aca="false">B297+C297</f>
        <v>#N/A</v>
      </c>
      <c r="E297" s="111" t="n">
        <f aca="false">IF(Z297=0,0,IF(AND(Z297=1,$H$3=1),D297*U297,IF($H$3=2,D297,"N/A")))</f>
        <v>0</v>
      </c>
      <c r="F297" s="111" t="n">
        <f aca="false">E297*Y297</f>
        <v>0</v>
      </c>
      <c r="G297" s="124" t="n">
        <f aca="false">VLOOKUP($A297,Table,MATCH(G$4,Curves,0))</f>
        <v>3</v>
      </c>
      <c r="H297" s="125" t="n">
        <f aca="false">G297+$H$7</f>
        <v>3</v>
      </c>
      <c r="I297" s="124" t="n">
        <f aca="false">H297</f>
        <v>3</v>
      </c>
      <c r="J297" s="124" t="n">
        <f aca="false">VLOOKUP($A297,Table,MATCH(J$4,Curves,0))</f>
        <v>4</v>
      </c>
      <c r="K297" s="125" t="n">
        <f aca="false">J297+$K$7</f>
        <v>4</v>
      </c>
      <c r="L297" s="126" t="n">
        <f aca="false">K297</f>
        <v>4</v>
      </c>
      <c r="M297" s="124" t="n">
        <f aca="false">VLOOKUP($A297,Table,MATCH(M$4,Curves,0))</f>
        <v>4</v>
      </c>
      <c r="N297" s="125" t="n">
        <f aca="false">M297+$N$7</f>
        <v>4</v>
      </c>
      <c r="O297" s="126" t="n">
        <f aca="false">0.07</f>
        <v>0.07</v>
      </c>
      <c r="P297" s="114"/>
      <c r="Q297" s="126" t="n">
        <f aca="false">M297+J297+G297</f>
        <v>11</v>
      </c>
      <c r="R297" s="126" t="n">
        <f aca="false">N297+K297+H297</f>
        <v>11</v>
      </c>
      <c r="S297" s="126" t="n">
        <f aca="false">O297+L297+I297</f>
        <v>7.07</v>
      </c>
      <c r="T297" s="127"/>
      <c r="U297" s="5" t="n">
        <f aca="false">A298-A297</f>
        <v>31</v>
      </c>
      <c r="V297" s="128" t="n">
        <f aca="false">CHOOSE(F$3,A298+24,A297)</f>
        <v>46023</v>
      </c>
      <c r="W297" s="5" t="n">
        <f aca="false">V297-C$3</f>
        <v>8792</v>
      </c>
      <c r="X297" s="124" t="n">
        <f aca="false">VLOOKUP($A297,Table,MATCH(X$4,Curves,0))</f>
        <v>2</v>
      </c>
      <c r="Y297" s="129" t="n">
        <f aca="false">1/(1+CHOOSE(F$3,(X298+($K$3/10000))/2,(X297+($K$3/10000))/2))^(2*W297/365.25)</f>
        <v>3.21886747944047E-015</v>
      </c>
      <c r="Z297" s="5" t="n">
        <f aca="false">IF(AND(mthbeg&lt;=A297,mthend&gt;=A297),1,0)</f>
        <v>0</v>
      </c>
      <c r="AA297" s="5" t="n">
        <f aca="false">U297*Z297</f>
        <v>0</v>
      </c>
      <c r="AC297" s="115" t="n">
        <f aca="false">IF(G290=2,F297*(S297-Q297),F297*(Q297-S297))</f>
        <v>0</v>
      </c>
      <c r="AE297" s="116" t="n">
        <f aca="false">IF($G$3=1,F297*(R297-Q297),F297*(Q297-R297))</f>
        <v>0</v>
      </c>
      <c r="AG297" s="116" t="n">
        <f aca="false">AC297+AE297</f>
        <v>0</v>
      </c>
    </row>
    <row r="298" customFormat="false" ht="12" hidden="false" customHeight="true" outlineLevel="0" collapsed="false">
      <c r="A298" s="120" t="n">
        <f aca="false">EDATE(A297,1)</f>
        <v>46054</v>
      </c>
      <c r="B298" s="121" t="e">
        <f aca="false">VLOOKUP(A298,'Inputs-Summary'!$A$32:$B$41,2,FALSE())</f>
        <v>#N/A</v>
      </c>
      <c r="C298" s="122"/>
      <c r="D298" s="123" t="e">
        <f aca="false">B298+C298</f>
        <v>#N/A</v>
      </c>
      <c r="E298" s="111" t="n">
        <f aca="false">IF(Z298=0,0,IF(AND(Z298=1,$H$3=1),D298*U298,IF($H$3=2,D298,"N/A")))</f>
        <v>0</v>
      </c>
      <c r="F298" s="111" t="n">
        <f aca="false">E298*Y298</f>
        <v>0</v>
      </c>
      <c r="G298" s="124" t="n">
        <f aca="false">VLOOKUP($A298,Table,MATCH(G$4,Curves,0))</f>
        <v>3</v>
      </c>
      <c r="H298" s="125" t="n">
        <f aca="false">G298+$H$7</f>
        <v>3</v>
      </c>
      <c r="I298" s="124" t="n">
        <f aca="false">H298</f>
        <v>3</v>
      </c>
      <c r="J298" s="124" t="n">
        <f aca="false">VLOOKUP($A298,Table,MATCH(J$4,Curves,0))</f>
        <v>4</v>
      </c>
      <c r="K298" s="125" t="n">
        <f aca="false">J298+$K$7</f>
        <v>4</v>
      </c>
      <c r="L298" s="126" t="n">
        <f aca="false">K298</f>
        <v>4</v>
      </c>
      <c r="M298" s="124" t="n">
        <f aca="false">VLOOKUP($A298,Table,MATCH(M$4,Curves,0))</f>
        <v>4</v>
      </c>
      <c r="N298" s="125" t="n">
        <f aca="false">M298+$N$7</f>
        <v>4</v>
      </c>
      <c r="O298" s="126" t="n">
        <f aca="false">0.07</f>
        <v>0.07</v>
      </c>
      <c r="P298" s="114"/>
      <c r="Q298" s="126" t="n">
        <f aca="false">M298+J298+G298</f>
        <v>11</v>
      </c>
      <c r="R298" s="126" t="n">
        <f aca="false">N298+K298+H298</f>
        <v>11</v>
      </c>
      <c r="S298" s="126" t="n">
        <f aca="false">O298+L298+I298</f>
        <v>7.07</v>
      </c>
      <c r="T298" s="127"/>
      <c r="U298" s="5" t="n">
        <f aca="false">A299-A298</f>
        <v>28</v>
      </c>
      <c r="V298" s="128" t="n">
        <f aca="false">CHOOSE(F$3,A299+24,A298)</f>
        <v>46054</v>
      </c>
      <c r="W298" s="5" t="n">
        <f aca="false">V298-C$3</f>
        <v>8823</v>
      </c>
      <c r="X298" s="124" t="n">
        <f aca="false">VLOOKUP($A298,Table,MATCH(X$4,Curves,0))</f>
        <v>2</v>
      </c>
      <c r="Y298" s="129" t="n">
        <f aca="false">1/(1+CHOOSE(F$3,(X299+($K$3/10000))/2,(X298+($K$3/10000))/2))^(2*W298/365.25)</f>
        <v>2.86156907750764E-015</v>
      </c>
      <c r="Z298" s="5" t="n">
        <f aca="false">IF(AND(mthbeg&lt;=A298,mthend&gt;=A298),1,0)</f>
        <v>0</v>
      </c>
      <c r="AA298" s="5" t="n">
        <f aca="false">U298*Z298</f>
        <v>0</v>
      </c>
      <c r="AC298" s="115" t="n">
        <f aca="false">IF(G291=2,F298*(S298-Q298),F298*(Q298-S298))</f>
        <v>0</v>
      </c>
      <c r="AE298" s="116" t="n">
        <f aca="false">IF($G$3=1,F298*(R298-Q298),F298*(Q298-R298))</f>
        <v>0</v>
      </c>
      <c r="AG298" s="116" t="n">
        <f aca="false">AC298+AE298</f>
        <v>0</v>
      </c>
    </row>
    <row r="299" customFormat="false" ht="12" hidden="false" customHeight="true" outlineLevel="0" collapsed="false">
      <c r="A299" s="120" t="n">
        <f aca="false">EDATE(A298,1)</f>
        <v>46082</v>
      </c>
      <c r="B299" s="121" t="e">
        <f aca="false">VLOOKUP(A299,'Inputs-Summary'!$A$32:$B$41,2,FALSE())</f>
        <v>#N/A</v>
      </c>
      <c r="C299" s="122"/>
      <c r="D299" s="123" t="e">
        <f aca="false">B299+C299</f>
        <v>#N/A</v>
      </c>
      <c r="E299" s="111" t="n">
        <f aca="false">IF(Z299=0,0,IF(AND(Z299=1,$H$3=1),D299*U299,IF($H$3=2,D299,"N/A")))</f>
        <v>0</v>
      </c>
      <c r="F299" s="111" t="n">
        <f aca="false">E299*Y299</f>
        <v>0</v>
      </c>
      <c r="G299" s="124" t="n">
        <f aca="false">VLOOKUP($A299,Table,MATCH(G$4,Curves,0))</f>
        <v>3</v>
      </c>
      <c r="H299" s="125" t="n">
        <f aca="false">G299+$H$7</f>
        <v>3</v>
      </c>
      <c r="I299" s="124" t="n">
        <f aca="false">H299</f>
        <v>3</v>
      </c>
      <c r="J299" s="124" t="n">
        <f aca="false">VLOOKUP($A299,Table,MATCH(J$4,Curves,0))</f>
        <v>4</v>
      </c>
      <c r="K299" s="125" t="n">
        <f aca="false">J299+$K$7</f>
        <v>4</v>
      </c>
      <c r="L299" s="126" t="n">
        <f aca="false">K299</f>
        <v>4</v>
      </c>
      <c r="M299" s="124" t="n">
        <f aca="false">VLOOKUP($A299,Table,MATCH(M$4,Curves,0))</f>
        <v>4</v>
      </c>
      <c r="N299" s="125" t="n">
        <f aca="false">M299+$N$7</f>
        <v>4</v>
      </c>
      <c r="O299" s="126" t="n">
        <f aca="false">0.07</f>
        <v>0.07</v>
      </c>
      <c r="P299" s="114"/>
      <c r="Q299" s="126" t="n">
        <f aca="false">M299+J299+G299</f>
        <v>11</v>
      </c>
      <c r="R299" s="126" t="n">
        <f aca="false">N299+K299+H299</f>
        <v>11</v>
      </c>
      <c r="S299" s="126" t="n">
        <f aca="false">O299+L299+I299</f>
        <v>7.07</v>
      </c>
      <c r="T299" s="127"/>
      <c r="U299" s="5" t="n">
        <f aca="false">A300-A299</f>
        <v>31</v>
      </c>
      <c r="V299" s="128" t="n">
        <f aca="false">CHOOSE(F$3,A300+24,A299)</f>
        <v>46082</v>
      </c>
      <c r="W299" s="5" t="n">
        <f aca="false">V299-C$3</f>
        <v>8851</v>
      </c>
      <c r="X299" s="124" t="n">
        <f aca="false">VLOOKUP($A299,Table,MATCH(X$4,Curves,0))</f>
        <v>2</v>
      </c>
      <c r="Y299" s="129" t="n">
        <f aca="false">1/(1+CHOOSE(F$3,(X300+($K$3/10000))/2,(X299+($K$3/10000))/2))^(2*W299/365.25)</f>
        <v>2.57306301501248E-015</v>
      </c>
      <c r="Z299" s="5" t="n">
        <f aca="false">IF(AND(mthbeg&lt;=A299,mthend&gt;=A299),1,0)</f>
        <v>0</v>
      </c>
      <c r="AA299" s="5" t="n">
        <f aca="false">U299*Z299</f>
        <v>0</v>
      </c>
      <c r="AC299" s="115" t="n">
        <f aca="false">IF(G292=2,F299*(S299-Q299),F299*(Q299-S299))</f>
        <v>0</v>
      </c>
      <c r="AE299" s="116" t="n">
        <f aca="false">IF($G$3=1,F299*(R299-Q299),F299*(Q299-R299))</f>
        <v>0</v>
      </c>
      <c r="AG299" s="116" t="n">
        <f aca="false">AC299+AE299</f>
        <v>0</v>
      </c>
    </row>
    <row r="300" customFormat="false" ht="12" hidden="false" customHeight="true" outlineLevel="0" collapsed="false">
      <c r="A300" s="120" t="n">
        <f aca="false">EDATE(A299,1)</f>
        <v>46113</v>
      </c>
      <c r="B300" s="121" t="e">
        <f aca="false">VLOOKUP(A300,'Inputs-Summary'!$A$32:$B$41,2,FALSE())</f>
        <v>#N/A</v>
      </c>
      <c r="C300" s="122"/>
      <c r="D300" s="123" t="e">
        <f aca="false">B300+C300</f>
        <v>#N/A</v>
      </c>
      <c r="E300" s="111" t="n">
        <f aca="false">IF(Z300=0,0,IF(AND(Z300=1,$H$3=1),D300*U300,IF($H$3=2,D300,"N/A")))</f>
        <v>0</v>
      </c>
      <c r="F300" s="111" t="n">
        <f aca="false">E300*Y300</f>
        <v>0</v>
      </c>
      <c r="G300" s="124" t="n">
        <f aca="false">VLOOKUP($A300,Table,MATCH(G$4,Curves,0))</f>
        <v>3</v>
      </c>
      <c r="H300" s="125" t="n">
        <f aca="false">G300+$H$7</f>
        <v>3</v>
      </c>
      <c r="I300" s="124" t="n">
        <f aca="false">H300</f>
        <v>3</v>
      </c>
      <c r="J300" s="124" t="n">
        <f aca="false">VLOOKUP($A300,Table,MATCH(J$4,Curves,0))</f>
        <v>4</v>
      </c>
      <c r="K300" s="125" t="n">
        <f aca="false">J300+$K$7</f>
        <v>4</v>
      </c>
      <c r="L300" s="126" t="n">
        <f aca="false">K300</f>
        <v>4</v>
      </c>
      <c r="M300" s="124" t="n">
        <f aca="false">VLOOKUP($A300,Table,MATCH(M$4,Curves,0))</f>
        <v>4</v>
      </c>
      <c r="N300" s="125" t="n">
        <f aca="false">M300+$N$7</f>
        <v>4</v>
      </c>
      <c r="O300" s="126" t="n">
        <f aca="false">0.07</f>
        <v>0.07</v>
      </c>
      <c r="P300" s="114"/>
      <c r="Q300" s="126" t="n">
        <f aca="false">M300+J300+G300</f>
        <v>11</v>
      </c>
      <c r="R300" s="126" t="n">
        <f aca="false">N300+K300+H300</f>
        <v>11</v>
      </c>
      <c r="S300" s="126" t="n">
        <f aca="false">O300+L300+I300</f>
        <v>7.07</v>
      </c>
      <c r="T300" s="127"/>
      <c r="U300" s="5" t="n">
        <f aca="false">A301-A300</f>
        <v>30</v>
      </c>
      <c r="V300" s="128" t="n">
        <f aca="false">CHOOSE(F$3,A301+24,A300)</f>
        <v>46113</v>
      </c>
      <c r="W300" s="5" t="n">
        <f aca="false">V300-C$3</f>
        <v>8882</v>
      </c>
      <c r="X300" s="124" t="n">
        <f aca="false">VLOOKUP($A300,Table,MATCH(X$4,Curves,0))</f>
        <v>2</v>
      </c>
      <c r="Y300" s="129" t="n">
        <f aca="false">1/(1+CHOOSE(F$3,(X301+($K$3/10000))/2,(X300+($K$3/10000))/2))^(2*W300/365.25)</f>
        <v>2.28744973356847E-015</v>
      </c>
      <c r="Z300" s="5" t="n">
        <f aca="false">IF(AND(mthbeg&lt;=A300,mthend&gt;=A300),1,0)</f>
        <v>0</v>
      </c>
      <c r="AA300" s="5" t="n">
        <f aca="false">U300*Z300</f>
        <v>0</v>
      </c>
      <c r="AC300" s="115" t="n">
        <f aca="false">IF(G293=2,F300*(S300-Q300),F300*(Q300-S300))</f>
        <v>0</v>
      </c>
      <c r="AE300" s="116" t="n">
        <f aca="false">IF($G$3=1,F300*(R300-Q300),F300*(Q300-R300))</f>
        <v>0</v>
      </c>
      <c r="AG300" s="116" t="n">
        <f aca="false">AC300+AE300</f>
        <v>0</v>
      </c>
    </row>
    <row r="301" customFormat="false" ht="12" hidden="false" customHeight="true" outlineLevel="0" collapsed="false">
      <c r="A301" s="120" t="n">
        <f aca="false">EDATE(A300,1)</f>
        <v>46143</v>
      </c>
      <c r="B301" s="121" t="e">
        <f aca="false">VLOOKUP(A301,'Inputs-Summary'!$A$32:$B$41,2,FALSE())</f>
        <v>#N/A</v>
      </c>
      <c r="C301" s="122"/>
      <c r="D301" s="123" t="e">
        <f aca="false">B301+C301</f>
        <v>#N/A</v>
      </c>
      <c r="E301" s="111" t="n">
        <f aca="false">IF(Z301=0,0,IF(AND(Z301=1,$H$3=1),D301*U301,IF($H$3=2,D301,"N/A")))</f>
        <v>0</v>
      </c>
      <c r="F301" s="111" t="n">
        <f aca="false">E301*Y301</f>
        <v>0</v>
      </c>
      <c r="G301" s="124" t="n">
        <f aca="false">VLOOKUP($A301,Table,MATCH(G$4,Curves,0))</f>
        <v>3</v>
      </c>
      <c r="H301" s="125" t="n">
        <f aca="false">G301+$H$7</f>
        <v>3</v>
      </c>
      <c r="I301" s="124" t="n">
        <f aca="false">H301</f>
        <v>3</v>
      </c>
      <c r="J301" s="124" t="n">
        <f aca="false">VLOOKUP($A301,Table,MATCH(J$4,Curves,0))</f>
        <v>4</v>
      </c>
      <c r="K301" s="125" t="n">
        <f aca="false">J301+$K$7</f>
        <v>4</v>
      </c>
      <c r="L301" s="126" t="n">
        <f aca="false">K301</f>
        <v>4</v>
      </c>
      <c r="M301" s="124" t="n">
        <f aca="false">VLOOKUP($A301,Table,MATCH(M$4,Curves,0))</f>
        <v>4</v>
      </c>
      <c r="N301" s="125" t="n">
        <f aca="false">M301+$N$7</f>
        <v>4</v>
      </c>
      <c r="O301" s="126" t="n">
        <f aca="false">0.07</f>
        <v>0.07</v>
      </c>
      <c r="P301" s="114"/>
      <c r="Q301" s="126" t="n">
        <f aca="false">M301+J301+G301</f>
        <v>11</v>
      </c>
      <c r="R301" s="126" t="n">
        <f aca="false">N301+K301+H301</f>
        <v>11</v>
      </c>
      <c r="S301" s="126" t="n">
        <f aca="false">O301+L301+I301</f>
        <v>7.07</v>
      </c>
      <c r="T301" s="127"/>
      <c r="U301" s="5" t="n">
        <f aca="false">A302-A301</f>
        <v>31</v>
      </c>
      <c r="V301" s="128" t="n">
        <f aca="false">CHOOSE(F$3,A302+24,A301)</f>
        <v>46143</v>
      </c>
      <c r="W301" s="5" t="n">
        <f aca="false">V301-C$3</f>
        <v>8912</v>
      </c>
      <c r="X301" s="124" t="n">
        <f aca="false">VLOOKUP($A301,Table,MATCH(X$4,Curves,0))</f>
        <v>2</v>
      </c>
      <c r="Y301" s="129" t="n">
        <f aca="false">1/(1+CHOOSE(F$3,(X302+($K$3/10000))/2,(X301+($K$3/10000))/2))^(2*W301/365.25)</f>
        <v>2.0412727906704E-015</v>
      </c>
      <c r="Z301" s="5" t="n">
        <f aca="false">IF(AND(mthbeg&lt;=A301,mthend&gt;=A301),1,0)</f>
        <v>0</v>
      </c>
      <c r="AA301" s="5" t="n">
        <f aca="false">U301*Z301</f>
        <v>0</v>
      </c>
      <c r="AC301" s="115" t="n">
        <f aca="false">IF(G294=2,F301*(S301-Q301),F301*(Q301-S301))</f>
        <v>0</v>
      </c>
      <c r="AE301" s="116" t="n">
        <f aca="false">IF($G$3=1,F301*(R301-Q301),F301*(Q301-R301))</f>
        <v>0</v>
      </c>
      <c r="AG301" s="116" t="n">
        <f aca="false">AC301+AE301</f>
        <v>0</v>
      </c>
    </row>
    <row r="302" customFormat="false" ht="12" hidden="false" customHeight="true" outlineLevel="0" collapsed="false">
      <c r="A302" s="120" t="n">
        <f aca="false">EDATE(A301,1)</f>
        <v>46174</v>
      </c>
      <c r="B302" s="121" t="e">
        <f aca="false">VLOOKUP(A302,'Inputs-Summary'!$A$32:$B$41,2,FALSE())</f>
        <v>#N/A</v>
      </c>
      <c r="C302" s="122"/>
      <c r="D302" s="123" t="e">
        <f aca="false">B302+C302</f>
        <v>#N/A</v>
      </c>
      <c r="E302" s="111" t="n">
        <f aca="false">IF(Z302=0,0,IF(AND(Z302=1,$H$3=1),D302*U302,IF($H$3=2,D302,"N/A")))</f>
        <v>0</v>
      </c>
      <c r="F302" s="111" t="n">
        <f aca="false">E302*Y302</f>
        <v>0</v>
      </c>
      <c r="G302" s="124" t="n">
        <f aca="false">VLOOKUP($A302,Table,MATCH(G$4,Curves,0))</f>
        <v>3</v>
      </c>
      <c r="H302" s="125" t="n">
        <f aca="false">G302+$H$7</f>
        <v>3</v>
      </c>
      <c r="I302" s="124" t="n">
        <f aca="false">H302</f>
        <v>3</v>
      </c>
      <c r="J302" s="124" t="n">
        <f aca="false">VLOOKUP($A302,Table,MATCH(J$4,Curves,0))</f>
        <v>4</v>
      </c>
      <c r="K302" s="125" t="n">
        <f aca="false">J302+$K$7</f>
        <v>4</v>
      </c>
      <c r="L302" s="126" t="n">
        <f aca="false">K302</f>
        <v>4</v>
      </c>
      <c r="M302" s="124" t="n">
        <f aca="false">VLOOKUP($A302,Table,MATCH(M$4,Curves,0))</f>
        <v>4</v>
      </c>
      <c r="N302" s="125" t="n">
        <f aca="false">M302+$N$7</f>
        <v>4</v>
      </c>
      <c r="O302" s="126" t="n">
        <f aca="false">0.07</f>
        <v>0.07</v>
      </c>
      <c r="P302" s="114"/>
      <c r="Q302" s="126" t="n">
        <f aca="false">M302+J302+G302</f>
        <v>11</v>
      </c>
      <c r="R302" s="126" t="n">
        <f aca="false">N302+K302+H302</f>
        <v>11</v>
      </c>
      <c r="S302" s="126" t="n">
        <f aca="false">O302+L302+I302</f>
        <v>7.07</v>
      </c>
      <c r="T302" s="127"/>
      <c r="U302" s="5" t="n">
        <f aca="false">A303-A302</f>
        <v>30</v>
      </c>
      <c r="V302" s="128" t="n">
        <f aca="false">CHOOSE(F$3,A303+24,A302)</f>
        <v>46174</v>
      </c>
      <c r="W302" s="5" t="n">
        <f aca="false">V302-C$3</f>
        <v>8943</v>
      </c>
      <c r="X302" s="124" t="n">
        <f aca="false">VLOOKUP($A302,Table,MATCH(X$4,Curves,0))</f>
        <v>2</v>
      </c>
      <c r="Y302" s="129" t="n">
        <f aca="false">1/(1+CHOOSE(F$3,(X303+($K$3/10000))/2,(X302+($K$3/10000))/2))^(2*W302/365.25)</f>
        <v>1.81468890342622E-015</v>
      </c>
      <c r="Z302" s="5" t="n">
        <f aca="false">IF(AND(mthbeg&lt;=A302,mthend&gt;=A302),1,0)</f>
        <v>0</v>
      </c>
      <c r="AA302" s="5" t="n">
        <f aca="false">U302*Z302</f>
        <v>0</v>
      </c>
      <c r="AC302" s="115" t="n">
        <f aca="false">IF(G295=2,F302*(S302-Q302),F302*(Q302-S302))</f>
        <v>0</v>
      </c>
      <c r="AE302" s="116" t="n">
        <f aca="false">IF($G$3=1,F302*(R302-Q302),F302*(Q302-R302))</f>
        <v>0</v>
      </c>
      <c r="AG302" s="116" t="n">
        <f aca="false">AC302+AE302</f>
        <v>0</v>
      </c>
    </row>
    <row r="303" customFormat="false" ht="12" hidden="false" customHeight="true" outlineLevel="0" collapsed="false">
      <c r="A303" s="120" t="n">
        <f aca="false">EDATE(A302,1)</f>
        <v>46204</v>
      </c>
      <c r="B303" s="121" t="e">
        <f aca="false">VLOOKUP(A303,'Inputs-Summary'!$A$32:$B$41,2,FALSE())</f>
        <v>#N/A</v>
      </c>
      <c r="C303" s="122"/>
      <c r="D303" s="123" t="e">
        <f aca="false">B303+C303</f>
        <v>#N/A</v>
      </c>
      <c r="E303" s="111" t="n">
        <f aca="false">IF(Z303=0,0,IF(AND(Z303=1,$H$3=1),D303*U303,IF($H$3=2,D303,"N/A")))</f>
        <v>0</v>
      </c>
      <c r="F303" s="111" t="n">
        <f aca="false">E303*Y303</f>
        <v>0</v>
      </c>
      <c r="G303" s="124" t="n">
        <f aca="false">VLOOKUP($A303,Table,MATCH(G$4,Curves,0))</f>
        <v>3</v>
      </c>
      <c r="H303" s="125" t="n">
        <f aca="false">G303+$H$7</f>
        <v>3</v>
      </c>
      <c r="I303" s="124" t="n">
        <f aca="false">H303</f>
        <v>3</v>
      </c>
      <c r="J303" s="124" t="n">
        <f aca="false">VLOOKUP($A303,Table,MATCH(J$4,Curves,0))</f>
        <v>4</v>
      </c>
      <c r="K303" s="125" t="n">
        <f aca="false">J303+$K$7</f>
        <v>4</v>
      </c>
      <c r="L303" s="126" t="n">
        <f aca="false">K303</f>
        <v>4</v>
      </c>
      <c r="M303" s="124" t="n">
        <f aca="false">VLOOKUP($A303,Table,MATCH(M$4,Curves,0))</f>
        <v>4</v>
      </c>
      <c r="N303" s="125" t="n">
        <f aca="false">M303+$N$7</f>
        <v>4</v>
      </c>
      <c r="O303" s="126" t="n">
        <f aca="false">0.07</f>
        <v>0.07</v>
      </c>
      <c r="P303" s="114"/>
      <c r="Q303" s="126" t="n">
        <f aca="false">M303+J303+G303</f>
        <v>11</v>
      </c>
      <c r="R303" s="126" t="n">
        <f aca="false">N303+K303+H303</f>
        <v>11</v>
      </c>
      <c r="S303" s="126" t="n">
        <f aca="false">O303+L303+I303</f>
        <v>7.07</v>
      </c>
      <c r="T303" s="127"/>
      <c r="U303" s="5" t="n">
        <f aca="false">A304-A303</f>
        <v>31</v>
      </c>
      <c r="V303" s="128" t="n">
        <f aca="false">CHOOSE(F$3,A304+24,A303)</f>
        <v>46204</v>
      </c>
      <c r="W303" s="5" t="n">
        <f aca="false">V303-C$3</f>
        <v>8973</v>
      </c>
      <c r="X303" s="124" t="n">
        <f aca="false">VLOOKUP($A303,Table,MATCH(X$4,Curves,0))</f>
        <v>2</v>
      </c>
      <c r="Y303" s="129" t="n">
        <f aca="false">1/(1+CHOOSE(F$3,(X304+($K$3/10000))/2,(X303+($K$3/10000))/2))^(2*W303/365.25)</f>
        <v>1.61939081228103E-015</v>
      </c>
      <c r="Z303" s="5" t="n">
        <f aca="false">IF(AND(mthbeg&lt;=A303,mthend&gt;=A303),1,0)</f>
        <v>0</v>
      </c>
      <c r="AA303" s="5" t="n">
        <f aca="false">U303*Z303</f>
        <v>0</v>
      </c>
      <c r="AC303" s="115" t="n">
        <f aca="false">IF(G296=2,F303*(S303-Q303),F303*(Q303-S303))</f>
        <v>0</v>
      </c>
      <c r="AE303" s="116" t="n">
        <f aca="false">IF($G$3=1,F303*(R303-Q303),F303*(Q303-R303))</f>
        <v>0</v>
      </c>
      <c r="AG303" s="116" t="n">
        <f aca="false">AC303+AE303</f>
        <v>0</v>
      </c>
    </row>
    <row r="304" customFormat="false" ht="12" hidden="false" customHeight="true" outlineLevel="0" collapsed="false">
      <c r="A304" s="120" t="n">
        <f aca="false">EDATE(A303,1)</f>
        <v>46235</v>
      </c>
      <c r="B304" s="121" t="e">
        <f aca="false">VLOOKUP(A304,'Inputs-Summary'!$A$32:$B$41,2,FALSE())</f>
        <v>#N/A</v>
      </c>
      <c r="C304" s="122"/>
      <c r="D304" s="123" t="e">
        <f aca="false">B304+C304</f>
        <v>#N/A</v>
      </c>
      <c r="E304" s="111" t="n">
        <f aca="false">IF(Z304=0,0,IF(AND(Z304=1,$H$3=1),D304*U304,IF($H$3=2,D304,"N/A")))</f>
        <v>0</v>
      </c>
      <c r="F304" s="111" t="n">
        <f aca="false">E304*Y304</f>
        <v>0</v>
      </c>
      <c r="G304" s="124" t="n">
        <f aca="false">VLOOKUP($A304,Table,MATCH(G$4,Curves,0))</f>
        <v>3</v>
      </c>
      <c r="H304" s="125" t="n">
        <f aca="false">G304+$H$7</f>
        <v>3</v>
      </c>
      <c r="I304" s="124" t="n">
        <f aca="false">H304</f>
        <v>3</v>
      </c>
      <c r="J304" s="124" t="n">
        <f aca="false">VLOOKUP($A304,Table,MATCH(J$4,Curves,0))</f>
        <v>4</v>
      </c>
      <c r="K304" s="125" t="n">
        <f aca="false">J304+$K$7</f>
        <v>4</v>
      </c>
      <c r="L304" s="126" t="n">
        <f aca="false">K304</f>
        <v>4</v>
      </c>
      <c r="M304" s="124" t="n">
        <f aca="false">VLOOKUP($A304,Table,MATCH(M$4,Curves,0))</f>
        <v>4</v>
      </c>
      <c r="N304" s="125" t="n">
        <f aca="false">M304+$N$7</f>
        <v>4</v>
      </c>
      <c r="O304" s="126" t="n">
        <f aca="false">0.07</f>
        <v>0.07</v>
      </c>
      <c r="P304" s="114"/>
      <c r="Q304" s="126" t="n">
        <f aca="false">M304+J304+G304</f>
        <v>11</v>
      </c>
      <c r="R304" s="126" t="n">
        <f aca="false">N304+K304+H304</f>
        <v>11</v>
      </c>
      <c r="S304" s="126" t="n">
        <f aca="false">O304+L304+I304</f>
        <v>7.07</v>
      </c>
      <c r="T304" s="127"/>
      <c r="U304" s="5" t="n">
        <f aca="false">A305-A304</f>
        <v>31</v>
      </c>
      <c r="V304" s="128" t="n">
        <f aca="false">CHOOSE(F$3,A305+24,A304)</f>
        <v>46235</v>
      </c>
      <c r="W304" s="5" t="n">
        <f aca="false">V304-C$3</f>
        <v>9004</v>
      </c>
      <c r="X304" s="124" t="n">
        <f aca="false">VLOOKUP($A304,Table,MATCH(X$4,Curves,0))</f>
        <v>2</v>
      </c>
      <c r="Y304" s="129" t="n">
        <f aca="false">1/(1+CHOOSE(F$3,(X305+($K$3/10000))/2,(X304+($K$3/10000))/2))^(2*W304/365.25)</f>
        <v>1.43963636354141E-015</v>
      </c>
      <c r="Z304" s="5" t="n">
        <f aca="false">IF(AND(mthbeg&lt;=A304,mthend&gt;=A304),1,0)</f>
        <v>0</v>
      </c>
      <c r="AA304" s="5" t="n">
        <f aca="false">U304*Z304</f>
        <v>0</v>
      </c>
      <c r="AC304" s="115" t="n">
        <f aca="false">IF(G297=2,F304*(S304-Q304),F304*(Q304-S304))</f>
        <v>0</v>
      </c>
      <c r="AE304" s="116" t="n">
        <f aca="false">IF($G$3=1,F304*(R304-Q304),F304*(Q304-R304))</f>
        <v>0</v>
      </c>
      <c r="AG304" s="116" t="n">
        <f aca="false">AC304+AE304</f>
        <v>0</v>
      </c>
    </row>
    <row r="305" customFormat="false" ht="12" hidden="false" customHeight="true" outlineLevel="0" collapsed="false">
      <c r="A305" s="120" t="n">
        <f aca="false">EDATE(A304,1)</f>
        <v>46266</v>
      </c>
      <c r="B305" s="121" t="e">
        <f aca="false">VLOOKUP(A305,'Inputs-Summary'!$A$32:$B$41,2,FALSE())</f>
        <v>#N/A</v>
      </c>
      <c r="C305" s="122"/>
      <c r="D305" s="123" t="e">
        <f aca="false">B305+C305</f>
        <v>#N/A</v>
      </c>
      <c r="E305" s="111" t="n">
        <f aca="false">IF(Z305=0,0,IF(AND(Z305=1,$H$3=1),D305*U305,IF($H$3=2,D305,"N/A")))</f>
        <v>0</v>
      </c>
      <c r="F305" s="111" t="n">
        <f aca="false">E305*Y305</f>
        <v>0</v>
      </c>
      <c r="G305" s="124" t="n">
        <f aca="false">VLOOKUP($A305,Table,MATCH(G$4,Curves,0))</f>
        <v>3</v>
      </c>
      <c r="H305" s="125" t="n">
        <f aca="false">G305+$H$7</f>
        <v>3</v>
      </c>
      <c r="I305" s="124" t="n">
        <f aca="false">H305</f>
        <v>3</v>
      </c>
      <c r="J305" s="124" t="n">
        <f aca="false">VLOOKUP($A305,Table,MATCH(J$4,Curves,0))</f>
        <v>4</v>
      </c>
      <c r="K305" s="125" t="n">
        <f aca="false">J305+$K$7</f>
        <v>4</v>
      </c>
      <c r="L305" s="126" t="n">
        <f aca="false">K305</f>
        <v>4</v>
      </c>
      <c r="M305" s="124" t="n">
        <f aca="false">VLOOKUP($A305,Table,MATCH(M$4,Curves,0))</f>
        <v>4</v>
      </c>
      <c r="N305" s="125" t="n">
        <f aca="false">M305+$N$7</f>
        <v>4</v>
      </c>
      <c r="O305" s="126" t="n">
        <f aca="false">0.07</f>
        <v>0.07</v>
      </c>
      <c r="P305" s="114"/>
      <c r="Q305" s="126" t="n">
        <f aca="false">M305+J305+G305</f>
        <v>11</v>
      </c>
      <c r="R305" s="126" t="n">
        <f aca="false">N305+K305+H305</f>
        <v>11</v>
      </c>
      <c r="S305" s="126" t="n">
        <f aca="false">O305+L305+I305</f>
        <v>7.07</v>
      </c>
      <c r="T305" s="127"/>
      <c r="U305" s="5" t="n">
        <f aca="false">A306-A305</f>
        <v>30</v>
      </c>
      <c r="V305" s="128" t="n">
        <f aca="false">CHOOSE(F$3,A306+24,A305)</f>
        <v>46266</v>
      </c>
      <c r="W305" s="5" t="n">
        <f aca="false">V305-C$3</f>
        <v>9035</v>
      </c>
      <c r="X305" s="124" t="n">
        <f aca="false">VLOOKUP($A305,Table,MATCH(X$4,Curves,0))</f>
        <v>2</v>
      </c>
      <c r="Y305" s="129" t="n">
        <f aca="false">1/(1+CHOOSE(F$3,(X306+($K$3/10000))/2,(X305+($K$3/10000))/2))^(2*W305/365.25)</f>
        <v>1.27983488822651E-015</v>
      </c>
      <c r="Z305" s="5" t="n">
        <f aca="false">IF(AND(mthbeg&lt;=A305,mthend&gt;=A305),1,0)</f>
        <v>0</v>
      </c>
      <c r="AA305" s="5" t="n">
        <f aca="false">U305*Z305</f>
        <v>0</v>
      </c>
      <c r="AC305" s="115" t="n">
        <f aca="false">IF(G298=2,F305*(S305-Q305),F305*(Q305-S305))</f>
        <v>0</v>
      </c>
      <c r="AE305" s="116" t="n">
        <f aca="false">IF($G$3=1,F305*(R305-Q305),F305*(Q305-R305))</f>
        <v>0</v>
      </c>
      <c r="AG305" s="116" t="n">
        <f aca="false">AC305+AE305</f>
        <v>0</v>
      </c>
    </row>
    <row r="306" customFormat="false" ht="12" hidden="false" customHeight="true" outlineLevel="0" collapsed="false">
      <c r="A306" s="120" t="n">
        <f aca="false">EDATE(A305,1)</f>
        <v>46296</v>
      </c>
      <c r="B306" s="121" t="e">
        <f aca="false">VLOOKUP(A306,'Inputs-Summary'!$A$32:$B$41,2,FALSE())</f>
        <v>#N/A</v>
      </c>
      <c r="C306" s="122"/>
      <c r="D306" s="123" t="e">
        <f aca="false">B306+C306</f>
        <v>#N/A</v>
      </c>
      <c r="E306" s="111" t="n">
        <f aca="false">IF(Z306=0,0,IF(AND(Z306=1,$H$3=1),D306*U306,IF($H$3=2,D306,"N/A")))</f>
        <v>0</v>
      </c>
      <c r="F306" s="111" t="n">
        <f aca="false">E306*Y306</f>
        <v>0</v>
      </c>
      <c r="G306" s="124" t="n">
        <f aca="false">VLOOKUP($A306,Table,MATCH(G$4,Curves,0))</f>
        <v>3</v>
      </c>
      <c r="H306" s="125" t="n">
        <f aca="false">G306+$H$7</f>
        <v>3</v>
      </c>
      <c r="I306" s="124" t="n">
        <f aca="false">H306</f>
        <v>3</v>
      </c>
      <c r="J306" s="124" t="n">
        <f aca="false">VLOOKUP($A306,Table,MATCH(J$4,Curves,0))</f>
        <v>4</v>
      </c>
      <c r="K306" s="125" t="n">
        <f aca="false">J306+$K$7</f>
        <v>4</v>
      </c>
      <c r="L306" s="126" t="n">
        <f aca="false">K306</f>
        <v>4</v>
      </c>
      <c r="M306" s="124" t="n">
        <f aca="false">VLOOKUP($A306,Table,MATCH(M$4,Curves,0))</f>
        <v>4</v>
      </c>
      <c r="N306" s="125" t="n">
        <f aca="false">M306+$N$7</f>
        <v>4</v>
      </c>
      <c r="O306" s="126" t="n">
        <f aca="false">0.07</f>
        <v>0.07</v>
      </c>
      <c r="P306" s="114"/>
      <c r="Q306" s="126" t="n">
        <f aca="false">M306+J306+G306</f>
        <v>11</v>
      </c>
      <c r="R306" s="126" t="n">
        <f aca="false">N306+K306+H306</f>
        <v>11</v>
      </c>
      <c r="S306" s="126" t="n">
        <f aca="false">O306+L306+I306</f>
        <v>7.07</v>
      </c>
      <c r="T306" s="127"/>
      <c r="U306" s="5" t="n">
        <f aca="false">A307-A306</f>
        <v>31</v>
      </c>
      <c r="V306" s="128" t="n">
        <f aca="false">CHOOSE(F$3,A307+24,A306)</f>
        <v>46296</v>
      </c>
      <c r="W306" s="5" t="n">
        <f aca="false">V306-C$3</f>
        <v>9065</v>
      </c>
      <c r="X306" s="124" t="n">
        <f aca="false">VLOOKUP($A306,Table,MATCH(X$4,Curves,0))</f>
        <v>2</v>
      </c>
      <c r="Y306" s="129" t="n">
        <f aca="false">1/(1+CHOOSE(F$3,(X307+($K$3/10000))/2,(X306+($K$3/10000))/2))^(2*W306/365.25)</f>
        <v>1.14209816091212E-015</v>
      </c>
      <c r="Z306" s="5" t="n">
        <f aca="false">IF(AND(mthbeg&lt;=A306,mthend&gt;=A306),1,0)</f>
        <v>0</v>
      </c>
      <c r="AA306" s="5" t="n">
        <f aca="false">U306*Z306</f>
        <v>0</v>
      </c>
      <c r="AC306" s="115" t="n">
        <f aca="false">IF(G299=2,F306*(S306-Q306),F306*(Q306-S306))</f>
        <v>0</v>
      </c>
      <c r="AE306" s="116" t="n">
        <f aca="false">IF($G$3=1,F306*(R306-Q306),F306*(Q306-R306))</f>
        <v>0</v>
      </c>
      <c r="AG306" s="116" t="n">
        <f aca="false">AC306+AE306</f>
        <v>0</v>
      </c>
    </row>
    <row r="307" customFormat="false" ht="12" hidden="false" customHeight="true" outlineLevel="0" collapsed="false">
      <c r="A307" s="120" t="n">
        <f aca="false">EDATE(A306,1)</f>
        <v>46327</v>
      </c>
      <c r="B307" s="121" t="e">
        <f aca="false">VLOOKUP(A307,'Inputs-Summary'!$A$32:$B$41,2,FALSE())</f>
        <v>#N/A</v>
      </c>
      <c r="C307" s="122"/>
      <c r="D307" s="123" t="e">
        <f aca="false">B307+C307</f>
        <v>#N/A</v>
      </c>
      <c r="E307" s="111" t="n">
        <f aca="false">IF(Z307=0,0,IF(AND(Z307=1,$H$3=1),D307*U307,IF($H$3=2,D307,"N/A")))</f>
        <v>0</v>
      </c>
      <c r="F307" s="111" t="n">
        <f aca="false">E307*Y307</f>
        <v>0</v>
      </c>
      <c r="G307" s="124" t="n">
        <f aca="false">VLOOKUP($A307,Table,MATCH(G$4,Curves,0))</f>
        <v>3</v>
      </c>
      <c r="H307" s="125" t="n">
        <f aca="false">G307+$H$7</f>
        <v>3</v>
      </c>
      <c r="I307" s="124" t="n">
        <f aca="false">H307</f>
        <v>3</v>
      </c>
      <c r="J307" s="124" t="n">
        <f aca="false">VLOOKUP($A307,Table,MATCH(J$4,Curves,0))</f>
        <v>4</v>
      </c>
      <c r="K307" s="125" t="n">
        <f aca="false">J307+$K$7</f>
        <v>4</v>
      </c>
      <c r="L307" s="126" t="n">
        <f aca="false">K307</f>
        <v>4</v>
      </c>
      <c r="M307" s="124" t="n">
        <f aca="false">VLOOKUP($A307,Table,MATCH(M$4,Curves,0))</f>
        <v>4</v>
      </c>
      <c r="N307" s="125" t="n">
        <f aca="false">M307+$N$7</f>
        <v>4</v>
      </c>
      <c r="O307" s="126" t="n">
        <f aca="false">0.07</f>
        <v>0.07</v>
      </c>
      <c r="P307" s="114"/>
      <c r="Q307" s="126" t="n">
        <f aca="false">M307+J307+G307</f>
        <v>11</v>
      </c>
      <c r="R307" s="126" t="n">
        <f aca="false">N307+K307+H307</f>
        <v>11</v>
      </c>
      <c r="S307" s="126" t="n">
        <f aca="false">O307+L307+I307</f>
        <v>7.07</v>
      </c>
      <c r="T307" s="127"/>
      <c r="U307" s="5" t="n">
        <f aca="false">A308-A307</f>
        <v>30</v>
      </c>
      <c r="V307" s="128" t="n">
        <f aca="false">CHOOSE(F$3,A308+24,A307)</f>
        <v>46327</v>
      </c>
      <c r="W307" s="5" t="n">
        <f aca="false">V307-C$3</f>
        <v>9096</v>
      </c>
      <c r="X307" s="124" t="n">
        <f aca="false">VLOOKUP($A307,Table,MATCH(X$4,Curves,0))</f>
        <v>2</v>
      </c>
      <c r="Y307" s="129" t="n">
        <f aca="false">1/(1+CHOOSE(F$3,(X308+($K$3/10000))/2,(X307+($K$3/10000))/2))^(2*W307/365.25)</f>
        <v>1.01532380615824E-015</v>
      </c>
      <c r="Z307" s="5" t="n">
        <f aca="false">IF(AND(mthbeg&lt;=A307,mthend&gt;=A307),1,0)</f>
        <v>0</v>
      </c>
      <c r="AA307" s="5" t="n">
        <f aca="false">U307*Z307</f>
        <v>0</v>
      </c>
      <c r="AC307" s="115" t="n">
        <f aca="false">IF(G300=2,F307*(S307-Q307),F307*(Q307-S307))</f>
        <v>0</v>
      </c>
      <c r="AE307" s="116" t="n">
        <f aca="false">IF($G$3=1,F307*(R307-Q307),F307*(Q307-R307))</f>
        <v>0</v>
      </c>
      <c r="AG307" s="116" t="n">
        <f aca="false">AC307+AE307</f>
        <v>0</v>
      </c>
    </row>
    <row r="308" customFormat="false" ht="12" hidden="false" customHeight="true" outlineLevel="0" collapsed="false">
      <c r="A308" s="120" t="n">
        <f aca="false">EDATE(A307,1)</f>
        <v>46357</v>
      </c>
      <c r="B308" s="121" t="e">
        <f aca="false">VLOOKUP(A308,'Inputs-Summary'!$A$32:$B$41,2,FALSE())</f>
        <v>#N/A</v>
      </c>
      <c r="C308" s="122"/>
      <c r="D308" s="123" t="e">
        <f aca="false">B308+C308</f>
        <v>#N/A</v>
      </c>
      <c r="E308" s="111" t="n">
        <f aca="false">IF(Z308=0,0,IF(AND(Z308=1,$H$3=1),D308*U308,IF($H$3=2,D308,"N/A")))</f>
        <v>0</v>
      </c>
      <c r="F308" s="111" t="n">
        <f aca="false">E308*Y308</f>
        <v>0</v>
      </c>
      <c r="G308" s="124" t="n">
        <f aca="false">VLOOKUP($A308,Table,MATCH(G$4,Curves,0))</f>
        <v>3</v>
      </c>
      <c r="H308" s="125" t="n">
        <f aca="false">G308+$H$7</f>
        <v>3</v>
      </c>
      <c r="I308" s="124" t="n">
        <f aca="false">H308</f>
        <v>3</v>
      </c>
      <c r="J308" s="124" t="n">
        <f aca="false">VLOOKUP($A308,Table,MATCH(J$4,Curves,0))</f>
        <v>4</v>
      </c>
      <c r="K308" s="125" t="n">
        <f aca="false">J308+$K$7</f>
        <v>4</v>
      </c>
      <c r="L308" s="126" t="n">
        <f aca="false">K308</f>
        <v>4</v>
      </c>
      <c r="M308" s="124" t="n">
        <f aca="false">VLOOKUP($A308,Table,MATCH(M$4,Curves,0))</f>
        <v>4</v>
      </c>
      <c r="N308" s="125" t="n">
        <f aca="false">M308+$N$7</f>
        <v>4</v>
      </c>
      <c r="O308" s="126" t="n">
        <f aca="false">0.07</f>
        <v>0.07</v>
      </c>
      <c r="P308" s="114"/>
      <c r="Q308" s="126" t="n">
        <f aca="false">M308+J308+G308</f>
        <v>11</v>
      </c>
      <c r="R308" s="126" t="n">
        <f aca="false">N308+K308+H308</f>
        <v>11</v>
      </c>
      <c r="S308" s="126" t="n">
        <f aca="false">O308+L308+I308</f>
        <v>7.07</v>
      </c>
      <c r="T308" s="127"/>
      <c r="U308" s="5" t="n">
        <f aca="false">A309-A308</f>
        <v>31</v>
      </c>
      <c r="V308" s="128" t="n">
        <f aca="false">CHOOSE(F$3,A309+24,A308)</f>
        <v>46357</v>
      </c>
      <c r="W308" s="5" t="n">
        <f aca="false">V308-C$3</f>
        <v>9126</v>
      </c>
      <c r="X308" s="124" t="n">
        <f aca="false">VLOOKUP($A308,Table,MATCH(X$4,Curves,0))</f>
        <v>2</v>
      </c>
      <c r="Y308" s="129" t="n">
        <f aca="false">1/(1+CHOOSE(F$3,(X309+($K$3/10000))/2,(X308+($K$3/10000))/2))^(2*W308/365.25)</f>
        <v>9.06053946810674E-016</v>
      </c>
      <c r="Z308" s="5" t="n">
        <f aca="false">IF(AND(mthbeg&lt;=A308,mthend&gt;=A308),1,0)</f>
        <v>0</v>
      </c>
      <c r="AA308" s="5" t="n">
        <f aca="false">U308*Z308</f>
        <v>0</v>
      </c>
      <c r="AC308" s="115" t="n">
        <f aca="false">IF(G301=2,F308*(S308-Q308),F308*(Q308-S308))</f>
        <v>0</v>
      </c>
      <c r="AE308" s="116" t="n">
        <f aca="false">IF($G$3=1,F308*(R308-Q308),F308*(Q308-R308))</f>
        <v>0</v>
      </c>
      <c r="AG308" s="116" t="n">
        <f aca="false">AC308+AE308</f>
        <v>0</v>
      </c>
    </row>
    <row r="309" customFormat="false" ht="12" hidden="false" customHeight="true" outlineLevel="0" collapsed="false">
      <c r="A309" s="120" t="n">
        <f aca="false">EDATE(A308,1)</f>
        <v>46388</v>
      </c>
      <c r="B309" s="121" t="e">
        <f aca="false">VLOOKUP(A309,'Inputs-Summary'!$A$32:$B$41,2,FALSE())</f>
        <v>#N/A</v>
      </c>
      <c r="C309" s="122"/>
      <c r="D309" s="123" t="e">
        <f aca="false">B309+C309</f>
        <v>#N/A</v>
      </c>
      <c r="E309" s="111" t="n">
        <f aca="false">IF(Z309=0,0,IF(AND(Z309=1,$H$3=1),D309*U309,IF($H$3=2,D309,"N/A")))</f>
        <v>0</v>
      </c>
      <c r="F309" s="111" t="n">
        <f aca="false">E309*Y309</f>
        <v>0</v>
      </c>
      <c r="G309" s="124" t="n">
        <f aca="false">VLOOKUP($A309,Table,MATCH(G$4,Curves,0))</f>
        <v>3</v>
      </c>
      <c r="H309" s="125" t="n">
        <f aca="false">G309+$H$7</f>
        <v>3</v>
      </c>
      <c r="I309" s="124" t="n">
        <f aca="false">H309</f>
        <v>3</v>
      </c>
      <c r="J309" s="124" t="n">
        <f aca="false">VLOOKUP($A309,Table,MATCH(J$4,Curves,0))</f>
        <v>4</v>
      </c>
      <c r="K309" s="125" t="n">
        <f aca="false">J309+$K$7</f>
        <v>4</v>
      </c>
      <c r="L309" s="126" t="n">
        <f aca="false">K309</f>
        <v>4</v>
      </c>
      <c r="M309" s="124" t="n">
        <f aca="false">VLOOKUP($A309,Table,MATCH(M$4,Curves,0))</f>
        <v>4</v>
      </c>
      <c r="N309" s="125" t="n">
        <f aca="false">M309+$N$7</f>
        <v>4</v>
      </c>
      <c r="O309" s="126" t="n">
        <f aca="false">0.07</f>
        <v>0.07</v>
      </c>
      <c r="P309" s="114"/>
      <c r="Q309" s="126" t="n">
        <f aca="false">M309+J309+G309</f>
        <v>11</v>
      </c>
      <c r="R309" s="126" t="n">
        <f aca="false">N309+K309+H309</f>
        <v>11</v>
      </c>
      <c r="S309" s="126" t="n">
        <f aca="false">O309+L309+I309</f>
        <v>7.07</v>
      </c>
      <c r="T309" s="127"/>
      <c r="U309" s="5" t="n">
        <f aca="false">A310-A309</f>
        <v>31</v>
      </c>
      <c r="V309" s="128" t="n">
        <f aca="false">CHOOSE(F$3,A310+24,A309)</f>
        <v>46388</v>
      </c>
      <c r="W309" s="5" t="n">
        <f aca="false">V309-C$3</f>
        <v>9157</v>
      </c>
      <c r="X309" s="124" t="n">
        <f aca="false">VLOOKUP($A309,Table,MATCH(X$4,Curves,0))</f>
        <v>2</v>
      </c>
      <c r="Y309" s="129" t="n">
        <f aca="false">1/(1+CHOOSE(F$3,(X310+($K$3/10000))/2,(X309+($K$3/10000))/2))^(2*W309/365.25)</f>
        <v>8.05480801340063E-016</v>
      </c>
      <c r="Z309" s="5" t="n">
        <f aca="false">IF(AND(mthbeg&lt;=A309,mthend&gt;=A309),1,0)</f>
        <v>0</v>
      </c>
      <c r="AA309" s="5" t="n">
        <f aca="false">U309*Z309</f>
        <v>0</v>
      </c>
      <c r="AC309" s="115" t="n">
        <f aca="false">IF(G302=2,F309*(S309-Q309),F309*(Q309-S309))</f>
        <v>0</v>
      </c>
      <c r="AE309" s="116" t="n">
        <f aca="false">IF($G$3=1,F309*(R309-Q309),F309*(Q309-R309))</f>
        <v>0</v>
      </c>
      <c r="AG309" s="116" t="n">
        <f aca="false">AC309+AE309</f>
        <v>0</v>
      </c>
    </row>
    <row r="310" customFormat="false" ht="12" hidden="false" customHeight="true" outlineLevel="0" collapsed="false">
      <c r="A310" s="120" t="n">
        <f aca="false">EDATE(A309,1)</f>
        <v>46419</v>
      </c>
      <c r="B310" s="121" t="e">
        <f aca="false">VLOOKUP(A310,'Inputs-Summary'!$A$32:$B$41,2,FALSE())</f>
        <v>#N/A</v>
      </c>
      <c r="C310" s="122"/>
      <c r="D310" s="123" t="e">
        <f aca="false">B310+C310</f>
        <v>#N/A</v>
      </c>
      <c r="E310" s="111" t="n">
        <f aca="false">IF(Z310=0,0,IF(AND(Z310=1,$H$3=1),D310*U310,IF($H$3=2,D310,"N/A")))</f>
        <v>0</v>
      </c>
      <c r="F310" s="111" t="n">
        <f aca="false">E310*Y310</f>
        <v>0</v>
      </c>
      <c r="G310" s="124" t="n">
        <f aca="false">VLOOKUP($A310,Table,MATCH(G$4,Curves,0))</f>
        <v>3</v>
      </c>
      <c r="H310" s="125" t="n">
        <f aca="false">G310+$H$7</f>
        <v>3</v>
      </c>
      <c r="I310" s="124" t="n">
        <f aca="false">H310</f>
        <v>3</v>
      </c>
      <c r="J310" s="124" t="n">
        <f aca="false">VLOOKUP($A310,Table,MATCH(J$4,Curves,0))</f>
        <v>4</v>
      </c>
      <c r="K310" s="125" t="n">
        <f aca="false">J310+$K$7</f>
        <v>4</v>
      </c>
      <c r="L310" s="126" t="n">
        <f aca="false">K310</f>
        <v>4</v>
      </c>
      <c r="M310" s="124" t="n">
        <f aca="false">VLOOKUP($A310,Table,MATCH(M$4,Curves,0))</f>
        <v>4</v>
      </c>
      <c r="N310" s="125" t="n">
        <f aca="false">M310+$N$7</f>
        <v>4</v>
      </c>
      <c r="O310" s="126" t="n">
        <f aca="false">0.07</f>
        <v>0.07</v>
      </c>
      <c r="P310" s="114"/>
      <c r="Q310" s="126" t="n">
        <f aca="false">M310+J310+G310</f>
        <v>11</v>
      </c>
      <c r="R310" s="126" t="n">
        <f aca="false">N310+K310+H310</f>
        <v>11</v>
      </c>
      <c r="S310" s="126" t="n">
        <f aca="false">O310+L310+I310</f>
        <v>7.07</v>
      </c>
      <c r="T310" s="127"/>
      <c r="U310" s="5" t="n">
        <f aca="false">A311-A310</f>
        <v>28</v>
      </c>
      <c r="V310" s="128" t="n">
        <f aca="false">CHOOSE(F$3,A311+24,A310)</f>
        <v>46419</v>
      </c>
      <c r="W310" s="5" t="n">
        <f aca="false">V310-C$3</f>
        <v>9188</v>
      </c>
      <c r="X310" s="124" t="n">
        <f aca="false">VLOOKUP($A310,Table,MATCH(X$4,Curves,0))</f>
        <v>2</v>
      </c>
      <c r="Y310" s="129" t="n">
        <f aca="false">1/(1+CHOOSE(F$3,(X311+($K$3/10000))/2,(X310+($K$3/10000))/2))^(2*W310/365.25)</f>
        <v>7.16071403486751E-016</v>
      </c>
      <c r="Z310" s="5" t="n">
        <f aca="false">IF(AND(mthbeg&lt;=A310,mthend&gt;=A310),1,0)</f>
        <v>0</v>
      </c>
      <c r="AA310" s="5" t="n">
        <f aca="false">U310*Z310</f>
        <v>0</v>
      </c>
      <c r="AC310" s="115" t="n">
        <f aca="false">IF(G303=2,F310*(S310-Q310),F310*(Q310-S310))</f>
        <v>0</v>
      </c>
      <c r="AE310" s="116" t="n">
        <f aca="false">IF($G$3=1,F310*(R310-Q310),F310*(Q310-R310))</f>
        <v>0</v>
      </c>
      <c r="AG310" s="116" t="n">
        <f aca="false">AC310+AE310</f>
        <v>0</v>
      </c>
    </row>
    <row r="311" customFormat="false" ht="12" hidden="false" customHeight="true" outlineLevel="0" collapsed="false">
      <c r="A311" s="120" t="n">
        <f aca="false">EDATE(A310,1)</f>
        <v>46447</v>
      </c>
      <c r="B311" s="121" t="e">
        <f aca="false">VLOOKUP(A311,'Inputs-Summary'!$A$32:$B$41,2,FALSE())</f>
        <v>#N/A</v>
      </c>
      <c r="C311" s="122"/>
      <c r="D311" s="123" t="e">
        <f aca="false">B311+C311</f>
        <v>#N/A</v>
      </c>
      <c r="E311" s="111" t="n">
        <f aca="false">IF(Z311=0,0,IF(AND(Z311=1,$H$3=1),D311*U311,IF($H$3=2,D311,"N/A")))</f>
        <v>0</v>
      </c>
      <c r="F311" s="111" t="n">
        <f aca="false">E311*Y311</f>
        <v>0</v>
      </c>
      <c r="G311" s="124" t="n">
        <f aca="false">VLOOKUP($A311,Table,MATCH(G$4,Curves,0))</f>
        <v>3</v>
      </c>
      <c r="H311" s="125" t="n">
        <f aca="false">G311+$H$7</f>
        <v>3</v>
      </c>
      <c r="I311" s="124" t="n">
        <f aca="false">H311</f>
        <v>3</v>
      </c>
      <c r="J311" s="124" t="n">
        <f aca="false">VLOOKUP($A311,Table,MATCH(J$4,Curves,0))</f>
        <v>4</v>
      </c>
      <c r="K311" s="125" t="n">
        <f aca="false">J311+$K$7</f>
        <v>4</v>
      </c>
      <c r="L311" s="126" t="n">
        <f aca="false">K311</f>
        <v>4</v>
      </c>
      <c r="M311" s="124" t="n">
        <f aca="false">VLOOKUP($A311,Table,MATCH(M$4,Curves,0))</f>
        <v>4</v>
      </c>
      <c r="N311" s="125" t="n">
        <f aca="false">M311+$N$7</f>
        <v>4</v>
      </c>
      <c r="O311" s="126" t="n">
        <f aca="false">0.07</f>
        <v>0.07</v>
      </c>
      <c r="P311" s="114"/>
      <c r="Q311" s="126" t="n">
        <f aca="false">M311+J311+G311</f>
        <v>11</v>
      </c>
      <c r="R311" s="126" t="n">
        <f aca="false">N311+K311+H311</f>
        <v>11</v>
      </c>
      <c r="S311" s="126" t="n">
        <f aca="false">O311+L311+I311</f>
        <v>7.07</v>
      </c>
      <c r="T311" s="127"/>
      <c r="U311" s="5" t="n">
        <f aca="false">A312-A311</f>
        <v>31</v>
      </c>
      <c r="V311" s="128" t="n">
        <f aca="false">CHOOSE(F$3,A312+24,A311)</f>
        <v>46447</v>
      </c>
      <c r="W311" s="5" t="n">
        <f aca="false">V311-C$3</f>
        <v>9216</v>
      </c>
      <c r="X311" s="124" t="n">
        <f aca="false">VLOOKUP($A311,Table,MATCH(X$4,Curves,0))</f>
        <v>2</v>
      </c>
      <c r="Y311" s="129" t="n">
        <f aca="false">1/(1+CHOOSE(F$3,(X312+($K$3/10000))/2,(X311+($K$3/10000))/2))^(2*W311/365.25)</f>
        <v>6.43876416928787E-016</v>
      </c>
      <c r="Z311" s="5" t="n">
        <f aca="false">IF(AND(mthbeg&lt;=A311,mthend&gt;=A311),1,0)</f>
        <v>0</v>
      </c>
      <c r="AA311" s="5" t="n">
        <f aca="false">U311*Z311</f>
        <v>0</v>
      </c>
      <c r="AC311" s="115" t="n">
        <f aca="false">IF(G304=2,F311*(S311-Q311),F311*(Q311-S311))</f>
        <v>0</v>
      </c>
      <c r="AE311" s="116" t="n">
        <f aca="false">IF($G$3=1,F311*(R311-Q311),F311*(Q311-R311))</f>
        <v>0</v>
      </c>
      <c r="AG311" s="116" t="n">
        <f aca="false">AC311+AE311</f>
        <v>0</v>
      </c>
    </row>
    <row r="312" customFormat="false" ht="12" hidden="false" customHeight="true" outlineLevel="0" collapsed="false">
      <c r="A312" s="120" t="n">
        <f aca="false">EDATE(A311,1)</f>
        <v>46478</v>
      </c>
      <c r="B312" s="121" t="e">
        <f aca="false">VLOOKUP(A312,'Inputs-Summary'!$A$32:$B$41,2,FALSE())</f>
        <v>#N/A</v>
      </c>
      <c r="C312" s="122"/>
      <c r="D312" s="123" t="e">
        <f aca="false">B312+C312</f>
        <v>#N/A</v>
      </c>
      <c r="E312" s="111" t="n">
        <f aca="false">IF(Z312=0,0,IF(AND(Z312=1,$H$3=1),D312*U312,IF($H$3=2,D312,"N/A")))</f>
        <v>0</v>
      </c>
      <c r="F312" s="111" t="n">
        <f aca="false">E312*Y312</f>
        <v>0</v>
      </c>
      <c r="G312" s="124" t="n">
        <f aca="false">VLOOKUP($A312,Table,MATCH(G$4,Curves,0))</f>
        <v>3</v>
      </c>
      <c r="H312" s="125" t="n">
        <f aca="false">G312+$H$7</f>
        <v>3</v>
      </c>
      <c r="I312" s="124" t="n">
        <f aca="false">H312</f>
        <v>3</v>
      </c>
      <c r="J312" s="124" t="n">
        <f aca="false">VLOOKUP($A312,Table,MATCH(J$4,Curves,0))</f>
        <v>4</v>
      </c>
      <c r="K312" s="125" t="n">
        <f aca="false">J312+$K$7</f>
        <v>4</v>
      </c>
      <c r="L312" s="126" t="n">
        <f aca="false">K312</f>
        <v>4</v>
      </c>
      <c r="M312" s="124" t="n">
        <f aca="false">VLOOKUP($A312,Table,MATCH(M$4,Curves,0))</f>
        <v>4</v>
      </c>
      <c r="N312" s="125" t="n">
        <f aca="false">M312+$N$7</f>
        <v>4</v>
      </c>
      <c r="O312" s="126" t="n">
        <f aca="false">0.07</f>
        <v>0.07</v>
      </c>
      <c r="P312" s="114"/>
      <c r="Q312" s="126" t="n">
        <f aca="false">M312+J312+G312</f>
        <v>11</v>
      </c>
      <c r="R312" s="126" t="n">
        <f aca="false">N312+K312+H312</f>
        <v>11</v>
      </c>
      <c r="S312" s="126" t="n">
        <f aca="false">O312+L312+I312</f>
        <v>7.07</v>
      </c>
      <c r="T312" s="127"/>
      <c r="U312" s="5" t="n">
        <f aca="false">A313-A312</f>
        <v>30</v>
      </c>
      <c r="V312" s="128" t="n">
        <f aca="false">CHOOSE(F$3,A313+24,A312)</f>
        <v>46478</v>
      </c>
      <c r="W312" s="5" t="n">
        <f aca="false">V312-C$3</f>
        <v>9247</v>
      </c>
      <c r="X312" s="124" t="n">
        <f aca="false">VLOOKUP($A312,Table,MATCH(X$4,Curves,0))</f>
        <v>2</v>
      </c>
      <c r="Y312" s="129" t="n">
        <f aca="false">1/(1+CHOOSE(F$3,(X313+($K$3/10000))/2,(X312+($K$3/10000))/2))^(2*W312/365.25)</f>
        <v>5.72405312175235E-016</v>
      </c>
      <c r="Z312" s="5" t="n">
        <f aca="false">IF(AND(mthbeg&lt;=A312,mthend&gt;=A312),1,0)</f>
        <v>0</v>
      </c>
      <c r="AA312" s="5" t="n">
        <f aca="false">U312*Z312</f>
        <v>0</v>
      </c>
      <c r="AC312" s="115" t="n">
        <f aca="false">IF(G305=2,F312*(S312-Q312),F312*(Q312-S312))</f>
        <v>0</v>
      </c>
      <c r="AE312" s="116" t="n">
        <f aca="false">IF($G$3=1,F312*(R312-Q312),F312*(Q312-R312))</f>
        <v>0</v>
      </c>
      <c r="AG312" s="116" t="n">
        <f aca="false">AC312+AE312</f>
        <v>0</v>
      </c>
    </row>
    <row r="313" customFormat="false" ht="12" hidden="false" customHeight="true" outlineLevel="0" collapsed="false">
      <c r="A313" s="120" t="n">
        <f aca="false">EDATE(A312,1)</f>
        <v>46508</v>
      </c>
      <c r="B313" s="121" t="e">
        <f aca="false">VLOOKUP(A313,'Inputs-Summary'!$A$32:$B$41,2,FALSE())</f>
        <v>#N/A</v>
      </c>
      <c r="C313" s="122"/>
      <c r="D313" s="123" t="e">
        <f aca="false">B313+C313</f>
        <v>#N/A</v>
      </c>
      <c r="E313" s="111" t="n">
        <f aca="false">IF(Z313=0,0,IF(AND(Z313=1,$H$3=1),D313*U313,IF($H$3=2,D313,"N/A")))</f>
        <v>0</v>
      </c>
      <c r="F313" s="111" t="n">
        <f aca="false">E313*Y313</f>
        <v>0</v>
      </c>
      <c r="G313" s="124" t="n">
        <f aca="false">VLOOKUP($A313,Table,MATCH(G$4,Curves,0))</f>
        <v>3</v>
      </c>
      <c r="H313" s="125" t="n">
        <f aca="false">G313+$H$7</f>
        <v>3</v>
      </c>
      <c r="I313" s="124" t="n">
        <f aca="false">H313</f>
        <v>3</v>
      </c>
      <c r="J313" s="124" t="n">
        <f aca="false">VLOOKUP($A313,Table,MATCH(J$4,Curves,0))</f>
        <v>4</v>
      </c>
      <c r="K313" s="125" t="n">
        <f aca="false">J313+$K$7</f>
        <v>4</v>
      </c>
      <c r="L313" s="126" t="n">
        <f aca="false">K313</f>
        <v>4</v>
      </c>
      <c r="M313" s="124" t="n">
        <f aca="false">VLOOKUP($A313,Table,MATCH(M$4,Curves,0))</f>
        <v>4</v>
      </c>
      <c r="N313" s="125" t="n">
        <f aca="false">M313+$N$7</f>
        <v>4</v>
      </c>
      <c r="O313" s="126" t="n">
        <f aca="false">0.07</f>
        <v>0.07</v>
      </c>
      <c r="P313" s="114"/>
      <c r="Q313" s="126" t="n">
        <f aca="false">M313+J313+G313</f>
        <v>11</v>
      </c>
      <c r="R313" s="126" t="n">
        <f aca="false">N313+K313+H313</f>
        <v>11</v>
      </c>
      <c r="S313" s="126" t="n">
        <f aca="false">O313+L313+I313</f>
        <v>7.07</v>
      </c>
      <c r="T313" s="127"/>
      <c r="U313" s="5" t="n">
        <f aca="false">A314-A313</f>
        <v>31</v>
      </c>
      <c r="V313" s="128" t="n">
        <f aca="false">CHOOSE(F$3,A314+24,A313)</f>
        <v>46508</v>
      </c>
      <c r="W313" s="5" t="n">
        <f aca="false">V313-C$3</f>
        <v>9277</v>
      </c>
      <c r="X313" s="124" t="n">
        <f aca="false">VLOOKUP($A313,Table,MATCH(X$4,Curves,0))</f>
        <v>2</v>
      </c>
      <c r="Y313" s="129" t="n">
        <f aca="false">1/(1+CHOOSE(F$3,(X314+($K$3/10000))/2,(X313+($K$3/10000))/2))^(2*W313/365.25)</f>
        <v>5.10802651455743E-016</v>
      </c>
      <c r="Z313" s="5" t="n">
        <f aca="false">IF(AND(mthbeg&lt;=A313,mthend&gt;=A313),1,0)</f>
        <v>0</v>
      </c>
      <c r="AA313" s="5" t="n">
        <f aca="false">U313*Z313</f>
        <v>0</v>
      </c>
      <c r="AC313" s="115" t="n">
        <f aca="false">IF(G306=2,F313*(S313-Q313),F313*(Q313-S313))</f>
        <v>0</v>
      </c>
      <c r="AE313" s="116" t="n">
        <f aca="false">IF($G$3=1,F313*(R313-Q313),F313*(Q313-R313))</f>
        <v>0</v>
      </c>
      <c r="AG313" s="116" t="n">
        <f aca="false">AC313+AE313</f>
        <v>0</v>
      </c>
    </row>
    <row r="314" customFormat="false" ht="12" hidden="false" customHeight="true" outlineLevel="0" collapsed="false">
      <c r="A314" s="120" t="n">
        <f aca="false">EDATE(A313,1)</f>
        <v>46539</v>
      </c>
      <c r="B314" s="121" t="e">
        <f aca="false">VLOOKUP(A314,'Inputs-Summary'!$A$32:$B$41,2,FALSE())</f>
        <v>#N/A</v>
      </c>
      <c r="C314" s="122"/>
      <c r="D314" s="123" t="e">
        <f aca="false">B314+C314</f>
        <v>#N/A</v>
      </c>
      <c r="E314" s="111" t="n">
        <f aca="false">IF(Z314=0,0,IF(AND(Z314=1,$H$3=1),D314*U314,IF($H$3=2,D314,"N/A")))</f>
        <v>0</v>
      </c>
      <c r="F314" s="111" t="n">
        <f aca="false">E314*Y314</f>
        <v>0</v>
      </c>
      <c r="G314" s="124" t="n">
        <f aca="false">VLOOKUP($A314,Table,MATCH(G$4,Curves,0))</f>
        <v>3</v>
      </c>
      <c r="H314" s="125" t="n">
        <f aca="false">G314+$H$7</f>
        <v>3</v>
      </c>
      <c r="I314" s="124" t="n">
        <f aca="false">H314</f>
        <v>3</v>
      </c>
      <c r="J314" s="124" t="n">
        <f aca="false">VLOOKUP($A314,Table,MATCH(J$4,Curves,0))</f>
        <v>4</v>
      </c>
      <c r="K314" s="125" t="n">
        <f aca="false">J314+$K$7</f>
        <v>4</v>
      </c>
      <c r="L314" s="126" t="n">
        <f aca="false">K314</f>
        <v>4</v>
      </c>
      <c r="M314" s="124" t="n">
        <f aca="false">VLOOKUP($A314,Table,MATCH(M$4,Curves,0))</f>
        <v>4</v>
      </c>
      <c r="N314" s="125" t="n">
        <f aca="false">M314+$N$7</f>
        <v>4</v>
      </c>
      <c r="O314" s="126" t="n">
        <f aca="false">0.07</f>
        <v>0.07</v>
      </c>
      <c r="P314" s="114"/>
      <c r="Q314" s="126" t="n">
        <f aca="false">M314+J314+G314</f>
        <v>11</v>
      </c>
      <c r="R314" s="126" t="n">
        <f aca="false">N314+K314+H314</f>
        <v>11</v>
      </c>
      <c r="S314" s="126" t="n">
        <f aca="false">O314+L314+I314</f>
        <v>7.07</v>
      </c>
      <c r="T314" s="127"/>
      <c r="U314" s="5" t="n">
        <f aca="false">A315-A314</f>
        <v>30</v>
      </c>
      <c r="V314" s="128" t="n">
        <f aca="false">CHOOSE(F$3,A315+24,A314)</f>
        <v>46539</v>
      </c>
      <c r="W314" s="5" t="n">
        <f aca="false">V314-C$3</f>
        <v>9308</v>
      </c>
      <c r="X314" s="124" t="n">
        <f aca="false">VLOOKUP($A314,Table,MATCH(X$4,Curves,0))</f>
        <v>2</v>
      </c>
      <c r="Y314" s="129" t="n">
        <f aca="false">1/(1+CHOOSE(F$3,(X315+($K$3/10000))/2,(X314+($K$3/10000))/2))^(2*W314/365.25)</f>
        <v>4.54102904655382E-016</v>
      </c>
      <c r="Z314" s="5" t="n">
        <f aca="false">IF(AND(mthbeg&lt;=A314,mthend&gt;=A314),1,0)</f>
        <v>0</v>
      </c>
      <c r="AA314" s="5" t="n">
        <f aca="false">U314*Z314</f>
        <v>0</v>
      </c>
      <c r="AC314" s="115" t="n">
        <f aca="false">IF(G307=2,F314*(S314-Q314),F314*(Q314-S314))</f>
        <v>0</v>
      </c>
      <c r="AE314" s="116" t="n">
        <f aca="false">IF($G$3=1,F314*(R314-Q314),F314*(Q314-R314))</f>
        <v>0</v>
      </c>
      <c r="AG314" s="116" t="n">
        <f aca="false">AC314+AE314</f>
        <v>0</v>
      </c>
    </row>
    <row r="315" customFormat="false" ht="12" hidden="false" customHeight="true" outlineLevel="0" collapsed="false">
      <c r="A315" s="120" t="n">
        <f aca="false">EDATE(A314,1)</f>
        <v>46569</v>
      </c>
      <c r="B315" s="121" t="e">
        <f aca="false">VLOOKUP(A315,'Inputs-Summary'!$A$32:$B$41,2,FALSE())</f>
        <v>#N/A</v>
      </c>
      <c r="C315" s="122"/>
      <c r="D315" s="123" t="e">
        <f aca="false">B315+C315</f>
        <v>#N/A</v>
      </c>
      <c r="E315" s="111" t="n">
        <f aca="false">IF(Z315=0,0,IF(AND(Z315=1,$H$3=1),D315*U315,IF($H$3=2,D315,"N/A")))</f>
        <v>0</v>
      </c>
      <c r="F315" s="111" t="n">
        <f aca="false">E315*Y315</f>
        <v>0</v>
      </c>
      <c r="G315" s="124" t="n">
        <f aca="false">VLOOKUP($A315,Table,MATCH(G$4,Curves,0))</f>
        <v>3</v>
      </c>
      <c r="H315" s="125" t="n">
        <f aca="false">G315+$H$7</f>
        <v>3</v>
      </c>
      <c r="I315" s="124" t="n">
        <f aca="false">H315</f>
        <v>3</v>
      </c>
      <c r="J315" s="124" t="n">
        <f aca="false">VLOOKUP($A315,Table,MATCH(J$4,Curves,0))</f>
        <v>4</v>
      </c>
      <c r="K315" s="125" t="n">
        <f aca="false">J315+$K$7</f>
        <v>4</v>
      </c>
      <c r="L315" s="126" t="n">
        <f aca="false">K315</f>
        <v>4</v>
      </c>
      <c r="M315" s="124" t="n">
        <f aca="false">VLOOKUP($A315,Table,MATCH(M$4,Curves,0))</f>
        <v>4</v>
      </c>
      <c r="N315" s="125" t="n">
        <f aca="false">M315+$N$7</f>
        <v>4</v>
      </c>
      <c r="O315" s="126" t="n">
        <f aca="false">0.07</f>
        <v>0.07</v>
      </c>
      <c r="P315" s="114"/>
      <c r="Q315" s="126" t="n">
        <f aca="false">M315+J315+G315</f>
        <v>11</v>
      </c>
      <c r="R315" s="126" t="n">
        <f aca="false">N315+K315+H315</f>
        <v>11</v>
      </c>
      <c r="S315" s="126" t="n">
        <f aca="false">O315+L315+I315</f>
        <v>7.07</v>
      </c>
      <c r="T315" s="127"/>
      <c r="U315" s="5" t="n">
        <f aca="false">A316-A315</f>
        <v>31</v>
      </c>
      <c r="V315" s="128" t="n">
        <f aca="false">CHOOSE(F$3,A316+24,A315)</f>
        <v>46569</v>
      </c>
      <c r="W315" s="5" t="n">
        <f aca="false">V315-C$3</f>
        <v>9338</v>
      </c>
      <c r="X315" s="124" t="n">
        <f aca="false">VLOOKUP($A315,Table,MATCH(X$4,Curves,0))</f>
        <v>2</v>
      </c>
      <c r="Y315" s="129" t="n">
        <f aca="false">1/(1+CHOOSE(F$3,(X316+($K$3/10000))/2,(X315+($K$3/10000))/2))^(2*W315/365.25)</f>
        <v>4.05232031915025E-016</v>
      </c>
      <c r="Z315" s="5" t="n">
        <f aca="false">IF(AND(mthbeg&lt;=A315,mthend&gt;=A315),1,0)</f>
        <v>0</v>
      </c>
      <c r="AA315" s="5" t="n">
        <f aca="false">U315*Z315</f>
        <v>0</v>
      </c>
      <c r="AC315" s="115" t="n">
        <f aca="false">IF(G308=2,F315*(S315-Q315),F315*(Q315-S315))</f>
        <v>0</v>
      </c>
      <c r="AE315" s="116" t="n">
        <f aca="false">IF($G$3=1,F315*(R315-Q315),F315*(Q315-R315))</f>
        <v>0</v>
      </c>
      <c r="AG315" s="116" t="n">
        <f aca="false">AC315+AE315</f>
        <v>0</v>
      </c>
    </row>
    <row r="316" customFormat="false" ht="12" hidden="false" customHeight="true" outlineLevel="0" collapsed="false">
      <c r="A316" s="120" t="n">
        <f aca="false">EDATE(A315,1)</f>
        <v>46600</v>
      </c>
      <c r="B316" s="121" t="e">
        <f aca="false">VLOOKUP(A316,'Inputs-Summary'!$A$32:$B$41,2,FALSE())</f>
        <v>#N/A</v>
      </c>
      <c r="C316" s="122"/>
      <c r="D316" s="123" t="e">
        <f aca="false">B316+C316</f>
        <v>#N/A</v>
      </c>
      <c r="E316" s="111" t="n">
        <f aca="false">IF(Z316=0,0,IF(AND(Z316=1,$H$3=1),D316*U316,IF($H$3=2,D316,"N/A")))</f>
        <v>0</v>
      </c>
      <c r="F316" s="111" t="n">
        <f aca="false">E316*Y316</f>
        <v>0</v>
      </c>
      <c r="G316" s="124" t="n">
        <f aca="false">VLOOKUP($A316,Table,MATCH(G$4,Curves,0))</f>
        <v>3</v>
      </c>
      <c r="H316" s="125" t="n">
        <f aca="false">G316+$H$7</f>
        <v>3</v>
      </c>
      <c r="I316" s="124" t="n">
        <f aca="false">H316</f>
        <v>3</v>
      </c>
      <c r="J316" s="124" t="n">
        <f aca="false">VLOOKUP($A316,Table,MATCH(J$4,Curves,0))</f>
        <v>4</v>
      </c>
      <c r="K316" s="125" t="n">
        <f aca="false">J316+$K$7</f>
        <v>4</v>
      </c>
      <c r="L316" s="126" t="n">
        <f aca="false">K316</f>
        <v>4</v>
      </c>
      <c r="M316" s="124" t="n">
        <f aca="false">VLOOKUP($A316,Table,MATCH(M$4,Curves,0))</f>
        <v>4</v>
      </c>
      <c r="N316" s="125" t="n">
        <f aca="false">M316+$N$7</f>
        <v>4</v>
      </c>
      <c r="O316" s="126" t="n">
        <f aca="false">0.07</f>
        <v>0.07</v>
      </c>
      <c r="P316" s="114"/>
      <c r="Q316" s="126" t="n">
        <f aca="false">M316+J316+G316</f>
        <v>11</v>
      </c>
      <c r="R316" s="126" t="n">
        <f aca="false">N316+K316+H316</f>
        <v>11</v>
      </c>
      <c r="S316" s="126" t="n">
        <f aca="false">O316+L316+I316</f>
        <v>7.07</v>
      </c>
      <c r="T316" s="127"/>
      <c r="U316" s="5" t="n">
        <f aca="false">A317-A316</f>
        <v>31</v>
      </c>
      <c r="V316" s="128" t="n">
        <f aca="false">CHOOSE(F$3,A317+24,A316)</f>
        <v>46600</v>
      </c>
      <c r="W316" s="5" t="n">
        <f aca="false">V316-C$3</f>
        <v>9369</v>
      </c>
      <c r="X316" s="124" t="n">
        <f aca="false">VLOOKUP($A316,Table,MATCH(X$4,Curves,0))</f>
        <v>2</v>
      </c>
      <c r="Y316" s="129" t="n">
        <f aca="false">1/(1+CHOOSE(F$3,(X317+($K$3/10000))/2,(X316+($K$3/10000))/2))^(2*W316/365.25)</f>
        <v>3.60250758737417E-016</v>
      </c>
      <c r="Z316" s="5" t="n">
        <f aca="false">IF(AND(mthbeg&lt;=A316,mthend&gt;=A316),1,0)</f>
        <v>0</v>
      </c>
      <c r="AA316" s="5" t="n">
        <f aca="false">U316*Z316</f>
        <v>0</v>
      </c>
      <c r="AC316" s="115" t="n">
        <f aca="false">IF(G309=2,F316*(S316-Q316),F316*(Q316-S316))</f>
        <v>0</v>
      </c>
      <c r="AE316" s="116" t="n">
        <f aca="false">IF($G$3=1,F316*(R316-Q316),F316*(Q316-R316))</f>
        <v>0</v>
      </c>
      <c r="AG316" s="116" t="n">
        <f aca="false">AC316+AE316</f>
        <v>0</v>
      </c>
    </row>
    <row r="317" customFormat="false" ht="12" hidden="false" customHeight="true" outlineLevel="0" collapsed="false">
      <c r="A317" s="120" t="n">
        <f aca="false">EDATE(A316,1)</f>
        <v>46631</v>
      </c>
      <c r="B317" s="121" t="e">
        <f aca="false">VLOOKUP(A317,'Inputs-Summary'!$A$32:$B$41,2,FALSE())</f>
        <v>#N/A</v>
      </c>
      <c r="C317" s="122"/>
      <c r="D317" s="123" t="e">
        <f aca="false">B317+C317</f>
        <v>#N/A</v>
      </c>
      <c r="E317" s="111" t="n">
        <f aca="false">IF(Z317=0,0,IF(AND(Z317=1,$H$3=1),D317*U317,IF($H$3=2,D317,"N/A")))</f>
        <v>0</v>
      </c>
      <c r="F317" s="111" t="n">
        <f aca="false">E317*Y317</f>
        <v>0</v>
      </c>
      <c r="G317" s="124" t="n">
        <f aca="false">VLOOKUP($A317,Table,MATCH(G$4,Curves,0))</f>
        <v>3</v>
      </c>
      <c r="H317" s="125" t="n">
        <f aca="false">G317+$H$7</f>
        <v>3</v>
      </c>
      <c r="I317" s="124" t="n">
        <f aca="false">H317</f>
        <v>3</v>
      </c>
      <c r="J317" s="124" t="n">
        <f aca="false">VLOOKUP($A317,Table,MATCH(J$4,Curves,0))</f>
        <v>4</v>
      </c>
      <c r="K317" s="125" t="n">
        <f aca="false">J317+$K$7</f>
        <v>4</v>
      </c>
      <c r="L317" s="126" t="n">
        <f aca="false">K317</f>
        <v>4</v>
      </c>
      <c r="M317" s="124" t="n">
        <f aca="false">VLOOKUP($A317,Table,MATCH(M$4,Curves,0))</f>
        <v>4</v>
      </c>
      <c r="N317" s="125" t="n">
        <f aca="false">M317+$N$7</f>
        <v>4</v>
      </c>
      <c r="O317" s="126" t="n">
        <f aca="false">0.07</f>
        <v>0.07</v>
      </c>
      <c r="P317" s="114"/>
      <c r="Q317" s="126" t="n">
        <f aca="false">M317+J317+G317</f>
        <v>11</v>
      </c>
      <c r="R317" s="126" t="n">
        <f aca="false">N317+K317+H317</f>
        <v>11</v>
      </c>
      <c r="S317" s="126" t="n">
        <f aca="false">O317+L317+I317</f>
        <v>7.07</v>
      </c>
      <c r="T317" s="127"/>
      <c r="U317" s="5" t="n">
        <f aca="false">A318-A317</f>
        <v>30</v>
      </c>
      <c r="V317" s="128" t="n">
        <f aca="false">CHOOSE(F$3,A318+24,A317)</f>
        <v>46631</v>
      </c>
      <c r="W317" s="5" t="n">
        <f aca="false">V317-C$3</f>
        <v>9400</v>
      </c>
      <c r="X317" s="124" t="n">
        <f aca="false">VLOOKUP($A317,Table,MATCH(X$4,Curves,0))</f>
        <v>2</v>
      </c>
      <c r="Y317" s="129" t="n">
        <f aca="false">1/(1+CHOOSE(F$3,(X318+($K$3/10000))/2,(X317+($K$3/10000))/2))^(2*W317/365.25)</f>
        <v>3.20262464340674E-016</v>
      </c>
      <c r="Z317" s="5" t="n">
        <f aca="false">IF(AND(mthbeg&lt;=A317,mthend&gt;=A317),1,0)</f>
        <v>0</v>
      </c>
      <c r="AA317" s="5" t="n">
        <f aca="false">U317*Z317</f>
        <v>0</v>
      </c>
      <c r="AC317" s="115" t="n">
        <f aca="false">IF(G310=2,F317*(S317-Q317),F317*(Q317-S317))</f>
        <v>0</v>
      </c>
      <c r="AE317" s="116" t="n">
        <f aca="false">IF($G$3=1,F317*(R317-Q317),F317*(Q317-R317))</f>
        <v>0</v>
      </c>
      <c r="AG317" s="116" t="n">
        <f aca="false">AC317+AE317</f>
        <v>0</v>
      </c>
    </row>
    <row r="318" customFormat="false" ht="12" hidden="false" customHeight="true" outlineLevel="0" collapsed="false">
      <c r="A318" s="120" t="n">
        <f aca="false">EDATE(A317,1)</f>
        <v>46661</v>
      </c>
      <c r="B318" s="121" t="e">
        <f aca="false">VLOOKUP(A318,'Inputs-Summary'!$A$32:$B$41,2,FALSE())</f>
        <v>#N/A</v>
      </c>
      <c r="C318" s="122"/>
      <c r="D318" s="123" t="e">
        <f aca="false">B318+C318</f>
        <v>#N/A</v>
      </c>
      <c r="E318" s="111" t="n">
        <f aca="false">IF(Z318=0,0,IF(AND(Z318=1,$H$3=1),D318*U318,IF($H$3=2,D318,"N/A")))</f>
        <v>0</v>
      </c>
      <c r="F318" s="111" t="n">
        <f aca="false">E318*Y318</f>
        <v>0</v>
      </c>
      <c r="G318" s="124" t="n">
        <f aca="false">VLOOKUP($A318,Table,MATCH(G$4,Curves,0))</f>
        <v>3</v>
      </c>
      <c r="H318" s="125" t="n">
        <f aca="false">G318+$H$7</f>
        <v>3</v>
      </c>
      <c r="I318" s="124" t="n">
        <f aca="false">H318</f>
        <v>3</v>
      </c>
      <c r="J318" s="124" t="n">
        <f aca="false">VLOOKUP($A318,Table,MATCH(J$4,Curves,0))</f>
        <v>4</v>
      </c>
      <c r="K318" s="125" t="n">
        <f aca="false">J318+$K$7</f>
        <v>4</v>
      </c>
      <c r="L318" s="126" t="n">
        <f aca="false">K318</f>
        <v>4</v>
      </c>
      <c r="M318" s="124" t="n">
        <f aca="false">VLOOKUP($A318,Table,MATCH(M$4,Curves,0))</f>
        <v>4</v>
      </c>
      <c r="N318" s="125" t="n">
        <f aca="false">M318+$N$7</f>
        <v>4</v>
      </c>
      <c r="O318" s="126" t="n">
        <f aca="false">0.07</f>
        <v>0.07</v>
      </c>
      <c r="P318" s="114"/>
      <c r="Q318" s="126" t="n">
        <f aca="false">M318+J318+G318</f>
        <v>11</v>
      </c>
      <c r="R318" s="126" t="n">
        <f aca="false">N318+K318+H318</f>
        <v>11</v>
      </c>
      <c r="S318" s="126" t="n">
        <f aca="false">O318+L318+I318</f>
        <v>7.07</v>
      </c>
      <c r="T318" s="127"/>
      <c r="U318" s="5" t="n">
        <f aca="false">A319-A318</f>
        <v>31</v>
      </c>
      <c r="V318" s="128" t="n">
        <f aca="false">CHOOSE(F$3,A319+24,A318)</f>
        <v>46661</v>
      </c>
      <c r="W318" s="5" t="n">
        <f aca="false">V318-C$3</f>
        <v>9430</v>
      </c>
      <c r="X318" s="124" t="n">
        <f aca="false">VLOOKUP($A318,Table,MATCH(X$4,Curves,0))</f>
        <v>2</v>
      </c>
      <c r="Y318" s="129" t="n">
        <f aca="false">1/(1+CHOOSE(F$3,(X319+($K$3/10000))/2,(X318+($K$3/10000))/2))^(2*W318/365.25)</f>
        <v>2.85795593554668E-016</v>
      </c>
      <c r="Z318" s="5" t="n">
        <f aca="false">IF(AND(mthbeg&lt;=A318,mthend&gt;=A318),1,0)</f>
        <v>0</v>
      </c>
      <c r="AA318" s="5" t="n">
        <f aca="false">U318*Z318</f>
        <v>0</v>
      </c>
      <c r="AC318" s="115" t="n">
        <f aca="false">IF(G311=2,F318*(S318-Q318),F318*(Q318-S318))</f>
        <v>0</v>
      </c>
      <c r="AE318" s="116" t="n">
        <f aca="false">IF($G$3=1,F318*(R318-Q318),F318*(Q318-R318))</f>
        <v>0</v>
      </c>
      <c r="AG318" s="116" t="n">
        <f aca="false">AC318+AE318</f>
        <v>0</v>
      </c>
    </row>
    <row r="319" customFormat="false" ht="12" hidden="false" customHeight="true" outlineLevel="0" collapsed="false">
      <c r="A319" s="120" t="n">
        <f aca="false">EDATE(A318,1)</f>
        <v>46692</v>
      </c>
      <c r="B319" s="121" t="e">
        <f aca="false">VLOOKUP(A319,'Inputs-Summary'!$A$32:$B$41,2,FALSE())</f>
        <v>#N/A</v>
      </c>
      <c r="C319" s="122"/>
      <c r="D319" s="123" t="e">
        <f aca="false">B319+C319</f>
        <v>#N/A</v>
      </c>
      <c r="E319" s="111" t="n">
        <f aca="false">IF(Z319=0,0,IF(AND(Z319=1,$H$3=1),D319*U319,IF($H$3=2,D319,"N/A")))</f>
        <v>0</v>
      </c>
      <c r="F319" s="111" t="n">
        <f aca="false">E319*Y319</f>
        <v>0</v>
      </c>
      <c r="G319" s="124" t="n">
        <f aca="false">VLOOKUP($A319,Table,MATCH(G$4,Curves,0))</f>
        <v>3</v>
      </c>
      <c r="H319" s="125" t="n">
        <f aca="false">G319+$H$7</f>
        <v>3</v>
      </c>
      <c r="I319" s="124" t="n">
        <f aca="false">H319</f>
        <v>3</v>
      </c>
      <c r="J319" s="124" t="n">
        <f aca="false">VLOOKUP($A319,Table,MATCH(J$4,Curves,0))</f>
        <v>4</v>
      </c>
      <c r="K319" s="125" t="n">
        <f aca="false">J319+$K$7</f>
        <v>4</v>
      </c>
      <c r="L319" s="126" t="n">
        <f aca="false">K319</f>
        <v>4</v>
      </c>
      <c r="M319" s="124" t="n">
        <f aca="false">VLOOKUP($A319,Table,MATCH(M$4,Curves,0))</f>
        <v>4</v>
      </c>
      <c r="N319" s="125" t="n">
        <f aca="false">M319+$N$7</f>
        <v>4</v>
      </c>
      <c r="O319" s="126" t="n">
        <f aca="false">0.07</f>
        <v>0.07</v>
      </c>
      <c r="P319" s="114"/>
      <c r="Q319" s="126" t="n">
        <f aca="false">M319+J319+G319</f>
        <v>11</v>
      </c>
      <c r="R319" s="126" t="n">
        <f aca="false">N319+K319+H319</f>
        <v>11</v>
      </c>
      <c r="S319" s="126" t="n">
        <f aca="false">O319+L319+I319</f>
        <v>7.07</v>
      </c>
      <c r="T319" s="127"/>
      <c r="U319" s="5" t="n">
        <f aca="false">A320-A319</f>
        <v>30</v>
      </c>
      <c r="V319" s="128" t="n">
        <f aca="false">CHOOSE(F$3,A320+24,A319)</f>
        <v>46692</v>
      </c>
      <c r="W319" s="5" t="n">
        <f aca="false">V319-C$3</f>
        <v>9461</v>
      </c>
      <c r="X319" s="124" t="n">
        <f aca="false">VLOOKUP($A319,Table,MATCH(X$4,Curves,0))</f>
        <v>2</v>
      </c>
      <c r="Y319" s="129" t="n">
        <f aca="false">1/(1+CHOOSE(F$3,(X320+($K$3/10000))/2,(X319+($K$3/10000))/2))^(2*W319/365.25)</f>
        <v>2.54071917600703E-016</v>
      </c>
      <c r="Z319" s="5" t="n">
        <f aca="false">IF(AND(mthbeg&lt;=A319,mthend&gt;=A319),1,0)</f>
        <v>0</v>
      </c>
      <c r="AA319" s="5" t="n">
        <f aca="false">U319*Z319</f>
        <v>0</v>
      </c>
      <c r="AC319" s="115" t="n">
        <f aca="false">IF(G312=2,F319*(S319-Q319),F319*(Q319-S319))</f>
        <v>0</v>
      </c>
      <c r="AE319" s="116" t="n">
        <f aca="false">IF($G$3=1,F319*(R319-Q319),F319*(Q319-R319))</f>
        <v>0</v>
      </c>
      <c r="AG319" s="116" t="n">
        <f aca="false">AC319+AE319</f>
        <v>0</v>
      </c>
    </row>
    <row r="320" customFormat="false" ht="12" hidden="false" customHeight="true" outlineLevel="0" collapsed="false">
      <c r="A320" s="120" t="n">
        <f aca="false">EDATE(A319,1)</f>
        <v>46722</v>
      </c>
      <c r="B320" s="121" t="e">
        <f aca="false">VLOOKUP(A320,'Inputs-Summary'!$A$32:$B$41,2,FALSE())</f>
        <v>#N/A</v>
      </c>
      <c r="C320" s="122"/>
      <c r="D320" s="123" t="e">
        <f aca="false">B320+C320</f>
        <v>#N/A</v>
      </c>
      <c r="E320" s="111" t="n">
        <f aca="false">IF(Z320=0,0,IF(AND(Z320=1,$H$3=1),D320*U320,IF($H$3=2,D320,"N/A")))</f>
        <v>0</v>
      </c>
      <c r="F320" s="111" t="n">
        <f aca="false">E320*Y320</f>
        <v>0</v>
      </c>
      <c r="G320" s="124" t="n">
        <f aca="false">VLOOKUP($A320,Table,MATCH(G$4,Curves,0))</f>
        <v>3</v>
      </c>
      <c r="H320" s="125" t="n">
        <f aca="false">G320+$H$7</f>
        <v>3</v>
      </c>
      <c r="I320" s="124" t="n">
        <f aca="false">H320</f>
        <v>3</v>
      </c>
      <c r="J320" s="124" t="n">
        <f aca="false">VLOOKUP($A320,Table,MATCH(J$4,Curves,0))</f>
        <v>4</v>
      </c>
      <c r="K320" s="125" t="n">
        <f aca="false">J320+$K$7</f>
        <v>4</v>
      </c>
      <c r="L320" s="126" t="n">
        <f aca="false">K320</f>
        <v>4</v>
      </c>
      <c r="M320" s="124" t="n">
        <f aca="false">VLOOKUP($A320,Table,MATCH(M$4,Curves,0))</f>
        <v>4</v>
      </c>
      <c r="N320" s="125" t="n">
        <f aca="false">M320+$N$7</f>
        <v>4</v>
      </c>
      <c r="O320" s="126" t="n">
        <f aca="false">0.07</f>
        <v>0.07</v>
      </c>
      <c r="P320" s="114"/>
      <c r="Q320" s="126" t="n">
        <f aca="false">M320+J320+G320</f>
        <v>11</v>
      </c>
      <c r="R320" s="126" t="n">
        <f aca="false">N320+K320+H320</f>
        <v>11</v>
      </c>
      <c r="S320" s="126" t="n">
        <f aca="false">O320+L320+I320</f>
        <v>7.07</v>
      </c>
      <c r="T320" s="127"/>
      <c r="U320" s="5" t="n">
        <f aca="false">A321-A320</f>
        <v>31</v>
      </c>
      <c r="V320" s="128" t="n">
        <f aca="false">CHOOSE(F$3,A321+24,A320)</f>
        <v>46722</v>
      </c>
      <c r="W320" s="5" t="n">
        <f aca="false">V320-C$3</f>
        <v>9491</v>
      </c>
      <c r="X320" s="124" t="n">
        <f aca="false">VLOOKUP($A320,Table,MATCH(X$4,Curves,0))</f>
        <v>2</v>
      </c>
      <c r="Y320" s="129" t="n">
        <f aca="false">1/(1+CHOOSE(F$3,(X321+($K$3/10000))/2,(X320+($K$3/10000))/2))^(2*W320/365.25)</f>
        <v>2.26728519827491E-016</v>
      </c>
      <c r="Z320" s="5" t="n">
        <f aca="false">IF(AND(mthbeg&lt;=A320,mthend&gt;=A320),1,0)</f>
        <v>0</v>
      </c>
      <c r="AA320" s="5" t="n">
        <f aca="false">U320*Z320</f>
        <v>0</v>
      </c>
      <c r="AC320" s="115" t="n">
        <f aca="false">IF(G313=2,F320*(S320-Q320),F320*(Q320-S320))</f>
        <v>0</v>
      </c>
      <c r="AE320" s="116" t="n">
        <f aca="false">IF($G$3=1,F320*(R320-Q320),F320*(Q320-R320))</f>
        <v>0</v>
      </c>
      <c r="AG320" s="116" t="n">
        <f aca="false">AC320+AE320</f>
        <v>0</v>
      </c>
    </row>
    <row r="321" customFormat="false" ht="12" hidden="false" customHeight="true" outlineLevel="0" collapsed="false">
      <c r="A321" s="120" t="n">
        <f aca="false">EDATE(A320,1)</f>
        <v>46753</v>
      </c>
      <c r="B321" s="121" t="e">
        <f aca="false">VLOOKUP(A321,'Inputs-Summary'!$A$32:$B$41,2,FALSE())</f>
        <v>#N/A</v>
      </c>
      <c r="C321" s="122"/>
      <c r="D321" s="123" t="e">
        <f aca="false">B321+C321</f>
        <v>#N/A</v>
      </c>
      <c r="E321" s="111" t="n">
        <f aca="false">IF(Z321=0,0,IF(AND(Z321=1,$H$3=1),D321*U321,IF($H$3=2,D321,"N/A")))</f>
        <v>0</v>
      </c>
      <c r="F321" s="111" t="n">
        <f aca="false">E321*Y321</f>
        <v>0</v>
      </c>
      <c r="G321" s="124" t="n">
        <f aca="false">VLOOKUP($A321,Table,MATCH(G$4,Curves,0))</f>
        <v>3</v>
      </c>
      <c r="H321" s="125" t="n">
        <f aca="false">G321+$H$7</f>
        <v>3</v>
      </c>
      <c r="I321" s="124" t="n">
        <f aca="false">H321</f>
        <v>3</v>
      </c>
      <c r="J321" s="124" t="n">
        <f aca="false">VLOOKUP($A321,Table,MATCH(J$4,Curves,0))</f>
        <v>4</v>
      </c>
      <c r="K321" s="125" t="n">
        <f aca="false">J321+$K$7</f>
        <v>4</v>
      </c>
      <c r="L321" s="126" t="n">
        <f aca="false">K321</f>
        <v>4</v>
      </c>
      <c r="M321" s="124" t="n">
        <f aca="false">VLOOKUP($A321,Table,MATCH(M$4,Curves,0))</f>
        <v>4</v>
      </c>
      <c r="N321" s="125" t="n">
        <f aca="false">M321+$N$7</f>
        <v>4</v>
      </c>
      <c r="O321" s="126" t="n">
        <f aca="false">0.07</f>
        <v>0.07</v>
      </c>
      <c r="P321" s="114"/>
      <c r="Q321" s="126" t="n">
        <f aca="false">M321+J321+G321</f>
        <v>11</v>
      </c>
      <c r="R321" s="126" t="n">
        <f aca="false">N321+K321+H321</f>
        <v>11</v>
      </c>
      <c r="S321" s="126" t="n">
        <f aca="false">O321+L321+I321</f>
        <v>7.07</v>
      </c>
      <c r="T321" s="127"/>
      <c r="U321" s="5" t="n">
        <f aca="false">A322-A321</f>
        <v>31</v>
      </c>
      <c r="V321" s="128" t="n">
        <f aca="false">CHOOSE(F$3,A322+24,A321)</f>
        <v>46753</v>
      </c>
      <c r="W321" s="5" t="n">
        <f aca="false">V321-C$3</f>
        <v>9522</v>
      </c>
      <c r="X321" s="124" t="n">
        <f aca="false">VLOOKUP($A321,Table,MATCH(X$4,Curves,0))</f>
        <v>2</v>
      </c>
      <c r="Y321" s="129" t="n">
        <f aca="false">1/(1+CHOOSE(F$3,(X322+($K$3/10000))/2,(X321+($K$3/10000))/2))^(2*W321/365.25)</f>
        <v>2.01561364508304E-016</v>
      </c>
      <c r="Z321" s="5" t="n">
        <f aca="false">IF(AND(mthbeg&lt;=A321,mthend&gt;=A321),1,0)</f>
        <v>0</v>
      </c>
      <c r="AA321" s="5" t="n">
        <f aca="false">U321*Z321</f>
        <v>0</v>
      </c>
      <c r="AC321" s="115" t="n">
        <f aca="false">IF(G314=2,F321*(S321-Q321),F321*(Q321-S321))</f>
        <v>0</v>
      </c>
      <c r="AE321" s="116" t="n">
        <f aca="false">IF($G$3=1,F321*(R321-Q321),F321*(Q321-R321))</f>
        <v>0</v>
      </c>
      <c r="AG321" s="116" t="n">
        <f aca="false">AC321+AE321</f>
        <v>0</v>
      </c>
    </row>
    <row r="322" customFormat="false" ht="12" hidden="false" customHeight="true" outlineLevel="0" collapsed="false">
      <c r="A322" s="120" t="n">
        <f aca="false">EDATE(A321,1)</f>
        <v>46784</v>
      </c>
      <c r="B322" s="121" t="e">
        <f aca="false">VLOOKUP(A322,'Inputs-Summary'!$A$32:$B$41,2,FALSE())</f>
        <v>#N/A</v>
      </c>
      <c r="C322" s="122"/>
      <c r="D322" s="123" t="e">
        <f aca="false">B322+C322</f>
        <v>#N/A</v>
      </c>
      <c r="E322" s="111" t="n">
        <f aca="false">IF(Z322=0,0,IF(AND(Z322=1,$H$3=1),D322*U322,IF($H$3=2,D322,"N/A")))</f>
        <v>0</v>
      </c>
      <c r="F322" s="111" t="n">
        <f aca="false">E322*Y322</f>
        <v>0</v>
      </c>
      <c r="G322" s="124" t="n">
        <f aca="false">VLOOKUP($A322,Table,MATCH(G$4,Curves,0))</f>
        <v>3</v>
      </c>
      <c r="H322" s="125" t="n">
        <f aca="false">G322+$H$7</f>
        <v>3</v>
      </c>
      <c r="I322" s="124" t="n">
        <f aca="false">H322</f>
        <v>3</v>
      </c>
      <c r="J322" s="124" t="n">
        <f aca="false">VLOOKUP($A322,Table,MATCH(J$4,Curves,0))</f>
        <v>4</v>
      </c>
      <c r="K322" s="125" t="n">
        <f aca="false">J322+$K$7</f>
        <v>4</v>
      </c>
      <c r="L322" s="126" t="n">
        <f aca="false">K322</f>
        <v>4</v>
      </c>
      <c r="M322" s="124" t="n">
        <f aca="false">VLOOKUP($A322,Table,MATCH(M$4,Curves,0))</f>
        <v>4</v>
      </c>
      <c r="N322" s="125" t="n">
        <f aca="false">M322+$N$7</f>
        <v>4</v>
      </c>
      <c r="O322" s="126" t="n">
        <f aca="false">0.07</f>
        <v>0.07</v>
      </c>
      <c r="P322" s="114"/>
      <c r="Q322" s="126" t="n">
        <f aca="false">M322+J322+G322</f>
        <v>11</v>
      </c>
      <c r="R322" s="126" t="n">
        <f aca="false">N322+K322+H322</f>
        <v>11</v>
      </c>
      <c r="S322" s="126" t="n">
        <f aca="false">O322+L322+I322</f>
        <v>7.07</v>
      </c>
      <c r="T322" s="127"/>
      <c r="U322" s="5" t="n">
        <f aca="false">A323-A322</f>
        <v>29</v>
      </c>
      <c r="V322" s="128" t="n">
        <f aca="false">CHOOSE(F$3,A323+24,A322)</f>
        <v>46784</v>
      </c>
      <c r="W322" s="5" t="n">
        <f aca="false">V322-C$3</f>
        <v>9553</v>
      </c>
      <c r="X322" s="124" t="n">
        <f aca="false">VLOOKUP($A322,Table,MATCH(X$4,Curves,0))</f>
        <v>2</v>
      </c>
      <c r="Y322" s="129" t="n">
        <f aca="false">1/(1+CHOOSE(F$3,(X323+($K$3/10000))/2,(X322+($K$3/10000))/2))^(2*W322/365.25)</f>
        <v>1.79187795577552E-016</v>
      </c>
      <c r="Z322" s="5" t="n">
        <f aca="false">IF(AND(mthbeg&lt;=A322,mthend&gt;=A322),1,0)</f>
        <v>0</v>
      </c>
      <c r="AA322" s="5" t="n">
        <f aca="false">U322*Z322</f>
        <v>0</v>
      </c>
      <c r="AC322" s="115" t="n">
        <f aca="false">IF(G315=2,F322*(S322-Q322),F322*(Q322-S322))</f>
        <v>0</v>
      </c>
      <c r="AE322" s="116" t="n">
        <f aca="false">IF($G$3=1,F322*(R322-Q322),F322*(Q322-R322))</f>
        <v>0</v>
      </c>
      <c r="AG322" s="116" t="n">
        <f aca="false">AC322+AE322</f>
        <v>0</v>
      </c>
    </row>
    <row r="323" customFormat="false" ht="12" hidden="false" customHeight="true" outlineLevel="0" collapsed="false">
      <c r="A323" s="120" t="n">
        <f aca="false">EDATE(A322,1)</f>
        <v>46813</v>
      </c>
      <c r="B323" s="121" t="e">
        <f aca="false">VLOOKUP(A323,'Inputs-Summary'!$A$32:$B$41,2,FALSE())</f>
        <v>#N/A</v>
      </c>
      <c r="C323" s="122"/>
      <c r="D323" s="123" t="e">
        <f aca="false">B323+C323</f>
        <v>#N/A</v>
      </c>
      <c r="E323" s="111" t="n">
        <f aca="false">IF(Z323=0,0,IF(AND(Z323=1,$H$3=1),D323*U323,IF($H$3=2,D323,"N/A")))</f>
        <v>0</v>
      </c>
      <c r="F323" s="111" t="n">
        <f aca="false">E323*Y323</f>
        <v>0</v>
      </c>
      <c r="G323" s="124" t="n">
        <f aca="false">VLOOKUP($A323,Table,MATCH(G$4,Curves,0))</f>
        <v>3</v>
      </c>
      <c r="H323" s="125" t="n">
        <f aca="false">G323+$H$7</f>
        <v>3</v>
      </c>
      <c r="I323" s="124" t="n">
        <f aca="false">H323</f>
        <v>3</v>
      </c>
      <c r="J323" s="124" t="n">
        <f aca="false">VLOOKUP($A323,Table,MATCH(J$4,Curves,0))</f>
        <v>4</v>
      </c>
      <c r="K323" s="125" t="n">
        <f aca="false">J323+$K$7</f>
        <v>4</v>
      </c>
      <c r="L323" s="126" t="n">
        <f aca="false">K323</f>
        <v>4</v>
      </c>
      <c r="M323" s="124" t="n">
        <f aca="false">VLOOKUP($A323,Table,MATCH(M$4,Curves,0))</f>
        <v>4</v>
      </c>
      <c r="N323" s="125" t="n">
        <f aca="false">M323+$N$7</f>
        <v>4</v>
      </c>
      <c r="O323" s="126" t="n">
        <f aca="false">0.07</f>
        <v>0.07</v>
      </c>
      <c r="P323" s="114"/>
      <c r="Q323" s="126" t="n">
        <f aca="false">M323+J323+G323</f>
        <v>11</v>
      </c>
      <c r="R323" s="126" t="n">
        <f aca="false">N323+K323+H323</f>
        <v>11</v>
      </c>
      <c r="S323" s="126" t="n">
        <f aca="false">O323+L323+I323</f>
        <v>7.07</v>
      </c>
      <c r="T323" s="127"/>
      <c r="U323" s="5" t="n">
        <f aca="false">A324-A323</f>
        <v>31</v>
      </c>
      <c r="V323" s="128" t="n">
        <f aca="false">CHOOSE(F$3,A324+24,A323)</f>
        <v>46813</v>
      </c>
      <c r="W323" s="5" t="n">
        <f aca="false">V323-C$3</f>
        <v>9582</v>
      </c>
      <c r="X323" s="124" t="n">
        <f aca="false">VLOOKUP($A323,Table,MATCH(X$4,Curves,0))</f>
        <v>2</v>
      </c>
      <c r="Y323" s="129" t="n">
        <f aca="false">1/(1+CHOOSE(F$3,(X324+($K$3/10000))/2,(X323+($K$3/10000))/2))^(2*W323/365.25)</f>
        <v>1.60511541085511E-016</v>
      </c>
      <c r="Z323" s="5" t="n">
        <f aca="false">IF(AND(mthbeg&lt;=A323,mthend&gt;=A323),1,0)</f>
        <v>0</v>
      </c>
      <c r="AA323" s="5" t="n">
        <f aca="false">U323*Z323</f>
        <v>0</v>
      </c>
      <c r="AC323" s="115" t="n">
        <f aca="false">IF(G316=2,F323*(S323-Q323),F323*(Q323-S323))</f>
        <v>0</v>
      </c>
      <c r="AE323" s="116" t="n">
        <f aca="false">IF($G$3=1,F323*(R323-Q323),F323*(Q323-R323))</f>
        <v>0</v>
      </c>
      <c r="AG323" s="116" t="n">
        <f aca="false">AC323+AE323</f>
        <v>0</v>
      </c>
    </row>
    <row r="324" customFormat="false" ht="12" hidden="false" customHeight="true" outlineLevel="0" collapsed="false">
      <c r="A324" s="120" t="n">
        <f aca="false">EDATE(A323,1)</f>
        <v>46844</v>
      </c>
      <c r="B324" s="121" t="e">
        <f aca="false">VLOOKUP(A324,'Inputs-Summary'!$A$32:$B$41,2,FALSE())</f>
        <v>#N/A</v>
      </c>
      <c r="C324" s="122"/>
      <c r="D324" s="123" t="e">
        <f aca="false">B324+C324</f>
        <v>#N/A</v>
      </c>
      <c r="E324" s="111" t="n">
        <f aca="false">IF(Z324=0,0,IF(AND(Z324=1,$H$3=1),D324*U324,IF($H$3=2,D324,"N/A")))</f>
        <v>0</v>
      </c>
      <c r="F324" s="111" t="n">
        <f aca="false">E324*Y324</f>
        <v>0</v>
      </c>
      <c r="G324" s="124" t="n">
        <f aca="false">VLOOKUP($A324,Table,MATCH(G$4,Curves,0))</f>
        <v>3</v>
      </c>
      <c r="H324" s="125" t="n">
        <f aca="false">G324+$H$7</f>
        <v>3</v>
      </c>
      <c r="I324" s="124" t="n">
        <f aca="false">H324</f>
        <v>3</v>
      </c>
      <c r="J324" s="124" t="n">
        <f aca="false">VLOOKUP($A324,Table,MATCH(J$4,Curves,0))</f>
        <v>4</v>
      </c>
      <c r="K324" s="125" t="n">
        <f aca="false">J324+$K$7</f>
        <v>4</v>
      </c>
      <c r="L324" s="126" t="n">
        <f aca="false">K324</f>
        <v>4</v>
      </c>
      <c r="M324" s="124" t="n">
        <f aca="false">VLOOKUP($A324,Table,MATCH(M$4,Curves,0))</f>
        <v>4</v>
      </c>
      <c r="N324" s="125" t="n">
        <f aca="false">M324+$N$7</f>
        <v>4</v>
      </c>
      <c r="O324" s="126" t="n">
        <f aca="false">0.07</f>
        <v>0.07</v>
      </c>
      <c r="P324" s="114"/>
      <c r="Q324" s="126" t="n">
        <f aca="false">M324+J324+G324</f>
        <v>11</v>
      </c>
      <c r="R324" s="126" t="n">
        <f aca="false">N324+K324+H324</f>
        <v>11</v>
      </c>
      <c r="S324" s="126" t="n">
        <f aca="false">O324+L324+I324</f>
        <v>7.07</v>
      </c>
      <c r="T324" s="127"/>
      <c r="U324" s="5" t="n">
        <f aca="false">A325-A324</f>
        <v>30</v>
      </c>
      <c r="V324" s="128" t="n">
        <f aca="false">CHOOSE(F$3,A325+24,A324)</f>
        <v>46844</v>
      </c>
      <c r="W324" s="5" t="n">
        <f aca="false">V324-C$3</f>
        <v>9613</v>
      </c>
      <c r="X324" s="124" t="n">
        <f aca="false">VLOOKUP($A324,Table,MATCH(X$4,Curves,0))</f>
        <v>2</v>
      </c>
      <c r="Y324" s="129" t="n">
        <f aca="false">1/(1+CHOOSE(F$3,(X325+($K$3/10000))/2,(X324+($K$3/10000))/2))^(2*W324/365.25)</f>
        <v>1.42694554990887E-016</v>
      </c>
      <c r="Z324" s="5" t="n">
        <f aca="false">IF(AND(mthbeg&lt;=A324,mthend&gt;=A324),1,0)</f>
        <v>0</v>
      </c>
      <c r="AA324" s="5" t="n">
        <f aca="false">U324*Z324</f>
        <v>0</v>
      </c>
      <c r="AC324" s="115" t="n">
        <f aca="false">IF(G317=2,F324*(S324-Q324),F324*(Q324-S324))</f>
        <v>0</v>
      </c>
      <c r="AE324" s="116" t="n">
        <f aca="false">IF($G$3=1,F324*(R324-Q324),F324*(Q324-R324))</f>
        <v>0</v>
      </c>
      <c r="AG324" s="116" t="n">
        <f aca="false">AC324+AE324</f>
        <v>0</v>
      </c>
    </row>
    <row r="325" customFormat="false" ht="12" hidden="false" customHeight="true" outlineLevel="0" collapsed="false">
      <c r="A325" s="120" t="n">
        <f aca="false">EDATE(A324,1)</f>
        <v>46874</v>
      </c>
      <c r="B325" s="121" t="e">
        <f aca="false">VLOOKUP(A325,'Inputs-Summary'!$A$32:$B$41,2,FALSE())</f>
        <v>#N/A</v>
      </c>
      <c r="C325" s="122"/>
      <c r="D325" s="123" t="e">
        <f aca="false">B325+C325</f>
        <v>#N/A</v>
      </c>
      <c r="E325" s="111" t="n">
        <f aca="false">IF(Z325=0,0,IF(AND(Z325=1,$H$3=1),D325*U325,IF($H$3=2,D325,"N/A")))</f>
        <v>0</v>
      </c>
      <c r="F325" s="111" t="n">
        <f aca="false">E325*Y325</f>
        <v>0</v>
      </c>
      <c r="G325" s="124" t="n">
        <f aca="false">VLOOKUP($A325,Table,MATCH(G$4,Curves,0))</f>
        <v>3</v>
      </c>
      <c r="H325" s="125" t="n">
        <f aca="false">G325+$H$7</f>
        <v>3</v>
      </c>
      <c r="I325" s="124" t="n">
        <f aca="false">H325</f>
        <v>3</v>
      </c>
      <c r="J325" s="124" t="n">
        <f aca="false">VLOOKUP($A325,Table,MATCH(J$4,Curves,0))</f>
        <v>4</v>
      </c>
      <c r="K325" s="125" t="n">
        <f aca="false">J325+$K$7</f>
        <v>4</v>
      </c>
      <c r="L325" s="126" t="n">
        <f aca="false">K325</f>
        <v>4</v>
      </c>
      <c r="M325" s="124" t="n">
        <f aca="false">VLOOKUP($A325,Table,MATCH(M$4,Curves,0))</f>
        <v>4</v>
      </c>
      <c r="N325" s="125" t="n">
        <f aca="false">M325+$N$7</f>
        <v>4</v>
      </c>
      <c r="O325" s="126" t="n">
        <f aca="false">0.07</f>
        <v>0.07</v>
      </c>
      <c r="P325" s="114"/>
      <c r="Q325" s="126" t="n">
        <f aca="false">M325+J325+G325</f>
        <v>11</v>
      </c>
      <c r="R325" s="126" t="n">
        <f aca="false">N325+K325+H325</f>
        <v>11</v>
      </c>
      <c r="S325" s="126" t="n">
        <f aca="false">O325+L325+I325</f>
        <v>7.07</v>
      </c>
      <c r="T325" s="127"/>
      <c r="U325" s="5" t="n">
        <f aca="false">A326-A325</f>
        <v>31</v>
      </c>
      <c r="V325" s="128" t="n">
        <f aca="false">CHOOSE(F$3,A326+24,A325)</f>
        <v>46874</v>
      </c>
      <c r="W325" s="5" t="n">
        <f aca="false">V325-C$3</f>
        <v>9643</v>
      </c>
      <c r="X325" s="124" t="n">
        <f aca="false">VLOOKUP($A325,Table,MATCH(X$4,Curves,0))</f>
        <v>2</v>
      </c>
      <c r="Y325" s="129" t="n">
        <f aca="false">1/(1+CHOOSE(F$3,(X326+($K$3/10000))/2,(X325+($K$3/10000))/2))^(2*W325/365.25)</f>
        <v>1.27337667011952E-016</v>
      </c>
      <c r="Z325" s="5" t="n">
        <f aca="false">IF(AND(mthbeg&lt;=A325,mthend&gt;=A325),1,0)</f>
        <v>0</v>
      </c>
      <c r="AA325" s="5" t="n">
        <f aca="false">U325*Z325</f>
        <v>0</v>
      </c>
      <c r="AC325" s="115" t="n">
        <f aca="false">IF(G318=2,F325*(S325-Q325),F325*(Q325-S325))</f>
        <v>0</v>
      </c>
      <c r="AE325" s="116" t="n">
        <f aca="false">IF($G$3=1,F325*(R325-Q325),F325*(Q325-R325))</f>
        <v>0</v>
      </c>
      <c r="AG325" s="116" t="n">
        <f aca="false">AC325+AE325</f>
        <v>0</v>
      </c>
    </row>
    <row r="326" customFormat="false" ht="12" hidden="false" customHeight="true" outlineLevel="0" collapsed="false">
      <c r="A326" s="120" t="n">
        <f aca="false">EDATE(A325,1)</f>
        <v>46905</v>
      </c>
      <c r="B326" s="121" t="e">
        <f aca="false">VLOOKUP(A326,'Inputs-Summary'!$A$32:$B$41,2,FALSE())</f>
        <v>#N/A</v>
      </c>
      <c r="C326" s="122"/>
      <c r="D326" s="123" t="e">
        <f aca="false">B326+C326</f>
        <v>#N/A</v>
      </c>
      <c r="E326" s="111" t="n">
        <f aca="false">IF(Z326=0,0,IF(AND(Z326=1,$H$3=1),D326*U326,IF($H$3=2,D326,"N/A")))</f>
        <v>0</v>
      </c>
      <c r="F326" s="111" t="n">
        <f aca="false">E326*Y326</f>
        <v>0</v>
      </c>
      <c r="G326" s="124" t="n">
        <f aca="false">VLOOKUP($A326,Table,MATCH(G$4,Curves,0))</f>
        <v>3</v>
      </c>
      <c r="H326" s="125" t="n">
        <f aca="false">G326+$H$7</f>
        <v>3</v>
      </c>
      <c r="I326" s="124" t="n">
        <f aca="false">H326</f>
        <v>3</v>
      </c>
      <c r="J326" s="124" t="n">
        <f aca="false">VLOOKUP($A326,Table,MATCH(J$4,Curves,0))</f>
        <v>4</v>
      </c>
      <c r="K326" s="125" t="n">
        <f aca="false">J326+$K$7</f>
        <v>4</v>
      </c>
      <c r="L326" s="126" t="n">
        <f aca="false">K326</f>
        <v>4</v>
      </c>
      <c r="M326" s="124" t="n">
        <f aca="false">VLOOKUP($A326,Table,MATCH(M$4,Curves,0))</f>
        <v>4</v>
      </c>
      <c r="N326" s="125" t="n">
        <f aca="false">M326+$N$7</f>
        <v>4</v>
      </c>
      <c r="O326" s="126" t="n">
        <f aca="false">0.07</f>
        <v>0.07</v>
      </c>
      <c r="P326" s="114"/>
      <c r="Q326" s="126" t="n">
        <f aca="false">M326+J326+G326</f>
        <v>11</v>
      </c>
      <c r="R326" s="126" t="n">
        <f aca="false">N326+K326+H326</f>
        <v>11</v>
      </c>
      <c r="S326" s="126" t="n">
        <f aca="false">O326+L326+I326</f>
        <v>7.07</v>
      </c>
      <c r="T326" s="127"/>
      <c r="U326" s="5" t="n">
        <f aca="false">A327-A326</f>
        <v>30</v>
      </c>
      <c r="V326" s="128" t="n">
        <f aca="false">CHOOSE(F$3,A327+24,A326)</f>
        <v>46905</v>
      </c>
      <c r="W326" s="5" t="n">
        <f aca="false">V326-C$3</f>
        <v>9674</v>
      </c>
      <c r="X326" s="124" t="n">
        <f aca="false">VLOOKUP($A326,Table,MATCH(X$4,Curves,0))</f>
        <v>2</v>
      </c>
      <c r="Y326" s="129" t="n">
        <f aca="false">1/(1+CHOOSE(F$3,(X327+($K$3/10000))/2,(X326+($K$3/10000))/2))^(2*W326/365.25)</f>
        <v>1.13203023315115E-016</v>
      </c>
      <c r="Z326" s="5" t="n">
        <f aca="false">IF(AND(mthbeg&lt;=A326,mthend&gt;=A326),1,0)</f>
        <v>0</v>
      </c>
      <c r="AA326" s="5" t="n">
        <f aca="false">U326*Z326</f>
        <v>0</v>
      </c>
      <c r="AC326" s="115" t="n">
        <f aca="false">IF(G319=2,F326*(S326-Q326),F326*(Q326-S326))</f>
        <v>0</v>
      </c>
      <c r="AE326" s="116" t="n">
        <f aca="false">IF($G$3=1,F326*(R326-Q326),F326*(Q326-R326))</f>
        <v>0</v>
      </c>
      <c r="AG326" s="116" t="n">
        <f aca="false">AC326+AE326</f>
        <v>0</v>
      </c>
    </row>
    <row r="327" customFormat="false" ht="12" hidden="false" customHeight="true" outlineLevel="0" collapsed="false">
      <c r="A327" s="120" t="n">
        <f aca="false">EDATE(A326,1)</f>
        <v>46935</v>
      </c>
      <c r="B327" s="121" t="e">
        <f aca="false">VLOOKUP(A327,'Inputs-Summary'!$A$32:$B$41,2,FALSE())</f>
        <v>#N/A</v>
      </c>
      <c r="C327" s="122"/>
      <c r="D327" s="123" t="e">
        <f aca="false">B327+C327</f>
        <v>#N/A</v>
      </c>
      <c r="E327" s="111" t="n">
        <f aca="false">IF(Z327=0,0,IF(AND(Z327=1,$H$3=1),D327*U327,IF($H$3=2,D327,"N/A")))</f>
        <v>0</v>
      </c>
      <c r="F327" s="111" t="n">
        <f aca="false">E327*Y327</f>
        <v>0</v>
      </c>
      <c r="G327" s="124" t="n">
        <f aca="false">VLOOKUP($A327,Table,MATCH(G$4,Curves,0))</f>
        <v>3</v>
      </c>
      <c r="H327" s="125" t="n">
        <f aca="false">G327+$H$7</f>
        <v>3</v>
      </c>
      <c r="I327" s="124" t="n">
        <f aca="false">H327</f>
        <v>3</v>
      </c>
      <c r="J327" s="124" t="n">
        <f aca="false">VLOOKUP($A327,Table,MATCH(J$4,Curves,0))</f>
        <v>4</v>
      </c>
      <c r="K327" s="125" t="n">
        <f aca="false">J327+$K$7</f>
        <v>4</v>
      </c>
      <c r="L327" s="126" t="n">
        <f aca="false">K327</f>
        <v>4</v>
      </c>
      <c r="M327" s="124" t="n">
        <f aca="false">VLOOKUP($A327,Table,MATCH(M$4,Curves,0))</f>
        <v>4</v>
      </c>
      <c r="N327" s="125" t="n">
        <f aca="false">M327+$N$7</f>
        <v>4</v>
      </c>
      <c r="O327" s="126" t="n">
        <f aca="false">0.07</f>
        <v>0.07</v>
      </c>
      <c r="P327" s="114"/>
      <c r="Q327" s="126" t="n">
        <f aca="false">M327+J327+G327</f>
        <v>11</v>
      </c>
      <c r="R327" s="126" t="n">
        <f aca="false">N327+K327+H327</f>
        <v>11</v>
      </c>
      <c r="S327" s="126" t="n">
        <f aca="false">O327+L327+I327</f>
        <v>7.07</v>
      </c>
      <c r="T327" s="127"/>
      <c r="U327" s="5" t="n">
        <f aca="false">A328-A327</f>
        <v>31</v>
      </c>
      <c r="V327" s="128" t="n">
        <f aca="false">CHOOSE(F$3,A328+24,A327)</f>
        <v>46935</v>
      </c>
      <c r="W327" s="5" t="n">
        <f aca="false">V327-C$3</f>
        <v>9704</v>
      </c>
      <c r="X327" s="124" t="n">
        <f aca="false">VLOOKUP($A327,Table,MATCH(X$4,Curves,0))</f>
        <v>2</v>
      </c>
      <c r="Y327" s="129" t="n">
        <f aca="false">1/(1+CHOOSE(F$3,(X328+($K$3/10000))/2,(X327+($K$3/10000))/2))^(2*W327/365.25)</f>
        <v>1.0102003463669E-016</v>
      </c>
      <c r="Z327" s="5" t="n">
        <f aca="false">IF(AND(mthbeg&lt;=A327,mthend&gt;=A327),1,0)</f>
        <v>0</v>
      </c>
      <c r="AA327" s="5" t="n">
        <f aca="false">U327*Z327</f>
        <v>0</v>
      </c>
      <c r="AC327" s="115" t="n">
        <f aca="false">IF(G320=2,F327*(S327-Q327),F327*(Q327-S327))</f>
        <v>0</v>
      </c>
      <c r="AE327" s="116" t="n">
        <f aca="false">IF($G$3=1,F327*(R327-Q327),F327*(Q327-R327))</f>
        <v>0</v>
      </c>
      <c r="AG327" s="116" t="n">
        <f aca="false">AC327+AE327</f>
        <v>0</v>
      </c>
    </row>
    <row r="328" customFormat="false" ht="12" hidden="false" customHeight="true" outlineLevel="0" collapsed="false">
      <c r="A328" s="120" t="n">
        <f aca="false">EDATE(A327,1)</f>
        <v>46966</v>
      </c>
      <c r="B328" s="121" t="e">
        <f aca="false">VLOOKUP(A328,'Inputs-Summary'!$A$32:$B$41,2,FALSE())</f>
        <v>#N/A</v>
      </c>
      <c r="C328" s="122"/>
      <c r="D328" s="123" t="e">
        <f aca="false">B328+C328</f>
        <v>#N/A</v>
      </c>
      <c r="E328" s="111" t="n">
        <f aca="false">IF(Z328=0,0,IF(AND(Z328=1,$H$3=1),D328*U328,IF($H$3=2,D328,"N/A")))</f>
        <v>0</v>
      </c>
      <c r="F328" s="111" t="n">
        <f aca="false">E328*Y328</f>
        <v>0</v>
      </c>
      <c r="G328" s="124" t="n">
        <f aca="false">VLOOKUP($A328,Table,MATCH(G$4,Curves,0))</f>
        <v>3</v>
      </c>
      <c r="H328" s="125" t="n">
        <f aca="false">G328+$H$7</f>
        <v>3</v>
      </c>
      <c r="I328" s="124" t="n">
        <f aca="false">H328</f>
        <v>3</v>
      </c>
      <c r="J328" s="124" t="n">
        <f aca="false">VLOOKUP($A328,Table,MATCH(J$4,Curves,0))</f>
        <v>4</v>
      </c>
      <c r="K328" s="125" t="n">
        <f aca="false">J328+$K$7</f>
        <v>4</v>
      </c>
      <c r="L328" s="126" t="n">
        <f aca="false">K328</f>
        <v>4</v>
      </c>
      <c r="M328" s="124" t="n">
        <f aca="false">VLOOKUP($A328,Table,MATCH(M$4,Curves,0))</f>
        <v>4</v>
      </c>
      <c r="N328" s="125" t="n">
        <f aca="false">M328+$N$7</f>
        <v>4</v>
      </c>
      <c r="O328" s="126" t="n">
        <f aca="false">0.07</f>
        <v>0.07</v>
      </c>
      <c r="P328" s="114"/>
      <c r="Q328" s="126" t="n">
        <f aca="false">M328+J328+G328</f>
        <v>11</v>
      </c>
      <c r="R328" s="126" t="n">
        <f aca="false">N328+K328+H328</f>
        <v>11</v>
      </c>
      <c r="S328" s="126" t="n">
        <f aca="false">O328+L328+I328</f>
        <v>7.07</v>
      </c>
      <c r="T328" s="127"/>
      <c r="U328" s="5" t="n">
        <f aca="false">A329-A328</f>
        <v>31</v>
      </c>
      <c r="V328" s="128" t="n">
        <f aca="false">CHOOSE(F$3,A329+24,A328)</f>
        <v>46966</v>
      </c>
      <c r="W328" s="5" t="n">
        <f aca="false">V328-C$3</f>
        <v>9735</v>
      </c>
      <c r="X328" s="124" t="n">
        <f aca="false">VLOOKUP($A328,Table,MATCH(X$4,Curves,0))</f>
        <v>2</v>
      </c>
      <c r="Y328" s="129" t="n">
        <f aca="false">1/(1+CHOOSE(F$3,(X329+($K$3/10000))/2,(X328+($K$3/10000))/2))^(2*W328/365.25)</f>
        <v>8.98066817511082E-017</v>
      </c>
      <c r="Z328" s="5" t="n">
        <f aca="false">IF(AND(mthbeg&lt;=A328,mthend&gt;=A328),1,0)</f>
        <v>0</v>
      </c>
      <c r="AA328" s="5" t="n">
        <f aca="false">U328*Z328</f>
        <v>0</v>
      </c>
      <c r="AC328" s="115" t="n">
        <f aca="false">IF(G321=2,F328*(S328-Q328),F328*(Q328-S328))</f>
        <v>0</v>
      </c>
      <c r="AE328" s="116" t="n">
        <f aca="false">IF($G$3=1,F328*(R328-Q328),F328*(Q328-R328))</f>
        <v>0</v>
      </c>
      <c r="AG328" s="116" t="n">
        <f aca="false">AC328+AE328</f>
        <v>0</v>
      </c>
    </row>
    <row r="329" customFormat="false" ht="12" hidden="false" customHeight="true" outlineLevel="0" collapsed="false">
      <c r="A329" s="120" t="n">
        <f aca="false">EDATE(A328,1)</f>
        <v>46997</v>
      </c>
      <c r="B329" s="121" t="e">
        <f aca="false">VLOOKUP(A329,'Inputs-Summary'!$A$32:$B$41,2,FALSE())</f>
        <v>#N/A</v>
      </c>
      <c r="C329" s="122"/>
      <c r="D329" s="123" t="e">
        <f aca="false">B329+C329</f>
        <v>#N/A</v>
      </c>
      <c r="E329" s="111" t="n">
        <f aca="false">IF(Z329=0,0,IF(AND(Z329=1,$H$3=1),D329*U329,IF($H$3=2,D329,"N/A")))</f>
        <v>0</v>
      </c>
      <c r="F329" s="111" t="n">
        <f aca="false">E329*Y329</f>
        <v>0</v>
      </c>
      <c r="G329" s="124" t="n">
        <f aca="false">VLOOKUP($A329,Table,MATCH(G$4,Curves,0))</f>
        <v>3</v>
      </c>
      <c r="H329" s="125" t="n">
        <f aca="false">G329+$H$7</f>
        <v>3</v>
      </c>
      <c r="I329" s="124" t="n">
        <f aca="false">H329</f>
        <v>3</v>
      </c>
      <c r="J329" s="124" t="n">
        <f aca="false">VLOOKUP($A329,Table,MATCH(J$4,Curves,0))</f>
        <v>4</v>
      </c>
      <c r="K329" s="125" t="n">
        <f aca="false">J329+$K$7</f>
        <v>4</v>
      </c>
      <c r="L329" s="126" t="n">
        <f aca="false">K329</f>
        <v>4</v>
      </c>
      <c r="M329" s="124" t="n">
        <f aca="false">VLOOKUP($A329,Table,MATCH(M$4,Curves,0))</f>
        <v>4</v>
      </c>
      <c r="N329" s="125" t="n">
        <f aca="false">M329+$N$7</f>
        <v>4</v>
      </c>
      <c r="O329" s="126" t="n">
        <f aca="false">0.07</f>
        <v>0.07</v>
      </c>
      <c r="P329" s="114"/>
      <c r="Q329" s="126" t="n">
        <f aca="false">M329+J329+G329</f>
        <v>11</v>
      </c>
      <c r="R329" s="126" t="n">
        <f aca="false">N329+K329+H329</f>
        <v>11</v>
      </c>
      <c r="S329" s="126" t="n">
        <f aca="false">O329+L329+I329</f>
        <v>7.07</v>
      </c>
      <c r="T329" s="127"/>
      <c r="U329" s="5" t="n">
        <f aca="false">A330-A329</f>
        <v>30</v>
      </c>
      <c r="V329" s="128" t="n">
        <f aca="false">CHOOSE(F$3,A330+24,A329)</f>
        <v>46997</v>
      </c>
      <c r="W329" s="5" t="n">
        <f aca="false">V329-C$3</f>
        <v>9766</v>
      </c>
      <c r="X329" s="124" t="n">
        <f aca="false">VLOOKUP($A329,Table,MATCH(X$4,Curves,0))</f>
        <v>2</v>
      </c>
      <c r="Y329" s="129" t="n">
        <f aca="false">1/(1+CHOOSE(F$3,(X330+($K$3/10000))/2,(X329+($K$3/10000))/2))^(2*W329/365.25)</f>
        <v>7.98380253595319E-017</v>
      </c>
      <c r="Z329" s="5" t="n">
        <f aca="false">IF(AND(mthbeg&lt;=A329,mthend&gt;=A329),1,0)</f>
        <v>0</v>
      </c>
      <c r="AA329" s="5" t="n">
        <f aca="false">U329*Z329</f>
        <v>0</v>
      </c>
      <c r="AC329" s="115" t="n">
        <f aca="false">IF(G322=2,F329*(S329-Q329),F329*(Q329-S329))</f>
        <v>0</v>
      </c>
      <c r="AE329" s="116" t="n">
        <f aca="false">IF($G$3=1,F329*(R329-Q329),F329*(Q329-R329))</f>
        <v>0</v>
      </c>
      <c r="AG329" s="116" t="n">
        <f aca="false">AC329+AE329</f>
        <v>0</v>
      </c>
    </row>
    <row r="330" customFormat="false" ht="12" hidden="false" customHeight="true" outlineLevel="0" collapsed="false">
      <c r="A330" s="120" t="n">
        <f aca="false">EDATE(A329,1)</f>
        <v>47027</v>
      </c>
      <c r="B330" s="121" t="e">
        <f aca="false">VLOOKUP(A330,'Inputs-Summary'!$A$32:$B$41,2,FALSE())</f>
        <v>#N/A</v>
      </c>
      <c r="C330" s="122"/>
      <c r="D330" s="123" t="e">
        <f aca="false">B330+C330</f>
        <v>#N/A</v>
      </c>
      <c r="E330" s="111" t="n">
        <f aca="false">IF(Z330=0,0,IF(AND(Z330=1,$H$3=1),D330*U330,IF($H$3=2,D330,"N/A")))</f>
        <v>0</v>
      </c>
      <c r="F330" s="111" t="n">
        <f aca="false">E330*Y330</f>
        <v>0</v>
      </c>
      <c r="G330" s="124" t="n">
        <f aca="false">VLOOKUP($A330,Table,MATCH(G$4,Curves,0))</f>
        <v>3</v>
      </c>
      <c r="H330" s="125" t="n">
        <f aca="false">G330+$H$7</f>
        <v>3</v>
      </c>
      <c r="I330" s="124" t="n">
        <f aca="false">H330</f>
        <v>3</v>
      </c>
      <c r="J330" s="124" t="n">
        <f aca="false">VLOOKUP($A330,Table,MATCH(J$4,Curves,0))</f>
        <v>4</v>
      </c>
      <c r="K330" s="125" t="n">
        <f aca="false">J330+$K$7</f>
        <v>4</v>
      </c>
      <c r="L330" s="126" t="n">
        <f aca="false">K330</f>
        <v>4</v>
      </c>
      <c r="M330" s="124" t="n">
        <f aca="false">VLOOKUP($A330,Table,MATCH(M$4,Curves,0))</f>
        <v>4</v>
      </c>
      <c r="N330" s="125" t="n">
        <f aca="false">M330+$N$7</f>
        <v>4</v>
      </c>
      <c r="O330" s="126" t="n">
        <f aca="false">0.07</f>
        <v>0.07</v>
      </c>
      <c r="P330" s="114"/>
      <c r="Q330" s="126" t="n">
        <f aca="false">M330+J330+G330</f>
        <v>11</v>
      </c>
      <c r="R330" s="126" t="n">
        <f aca="false">N330+K330+H330</f>
        <v>11</v>
      </c>
      <c r="S330" s="126" t="n">
        <f aca="false">O330+L330+I330</f>
        <v>7.07</v>
      </c>
      <c r="T330" s="127"/>
      <c r="U330" s="5" t="n">
        <f aca="false">A331-A330</f>
        <v>31</v>
      </c>
      <c r="V330" s="128" t="n">
        <f aca="false">CHOOSE(F$3,A331+24,A330)</f>
        <v>47027</v>
      </c>
      <c r="W330" s="5" t="n">
        <f aca="false">V330-C$3</f>
        <v>9796</v>
      </c>
      <c r="X330" s="124" t="n">
        <f aca="false">VLOOKUP($A330,Table,MATCH(X$4,Curves,0))</f>
        <v>2</v>
      </c>
      <c r="Y330" s="129" t="n">
        <f aca="false">1/(1+CHOOSE(F$3,(X331+($K$3/10000))/2,(X330+($K$3/10000))/2))^(2*W330/365.25)</f>
        <v>7.1245801136372E-017</v>
      </c>
      <c r="Z330" s="5" t="n">
        <f aca="false">IF(AND(mthbeg&lt;=A330,mthend&gt;=A330),1,0)</f>
        <v>0</v>
      </c>
      <c r="AA330" s="5" t="n">
        <f aca="false">U330*Z330</f>
        <v>0</v>
      </c>
      <c r="AC330" s="115" t="n">
        <f aca="false">IF(G323=2,F330*(S330-Q330),F330*(Q330-S330))</f>
        <v>0</v>
      </c>
      <c r="AE330" s="116" t="n">
        <f aca="false">IF($G$3=1,F330*(R330-Q330),F330*(Q330-R330))</f>
        <v>0</v>
      </c>
      <c r="AG330" s="116" t="n">
        <f aca="false">AC330+AE330</f>
        <v>0</v>
      </c>
    </row>
    <row r="331" customFormat="false" ht="12" hidden="false" customHeight="true" outlineLevel="0" collapsed="false">
      <c r="A331" s="120" t="n">
        <f aca="false">EDATE(A330,1)</f>
        <v>47058</v>
      </c>
      <c r="B331" s="121" t="e">
        <f aca="false">VLOOKUP(A331,'Inputs-Summary'!$A$32:$B$41,2,FALSE())</f>
        <v>#N/A</v>
      </c>
      <c r="C331" s="122"/>
      <c r="D331" s="123" t="e">
        <f aca="false">B331+C331</f>
        <v>#N/A</v>
      </c>
      <c r="E331" s="111" t="n">
        <f aca="false">IF(Z331=0,0,IF(AND(Z331=1,$H$3=1),D331*U331,IF($H$3=2,D331,"N/A")))</f>
        <v>0</v>
      </c>
      <c r="F331" s="111" t="n">
        <f aca="false">E331*Y331</f>
        <v>0</v>
      </c>
      <c r="G331" s="124" t="n">
        <f aca="false">VLOOKUP($A331,Table,MATCH(G$4,Curves,0))</f>
        <v>3</v>
      </c>
      <c r="H331" s="125" t="n">
        <f aca="false">G331+$H$7</f>
        <v>3</v>
      </c>
      <c r="I331" s="124" t="n">
        <f aca="false">H331</f>
        <v>3</v>
      </c>
      <c r="J331" s="124" t="n">
        <f aca="false">VLOOKUP($A331,Table,MATCH(J$4,Curves,0))</f>
        <v>4</v>
      </c>
      <c r="K331" s="125" t="n">
        <f aca="false">J331+$K$7</f>
        <v>4</v>
      </c>
      <c r="L331" s="126" t="n">
        <f aca="false">K331</f>
        <v>4</v>
      </c>
      <c r="M331" s="124" t="n">
        <f aca="false">VLOOKUP($A331,Table,MATCH(M$4,Curves,0))</f>
        <v>4</v>
      </c>
      <c r="N331" s="125" t="n">
        <f aca="false">M331+$N$7</f>
        <v>4</v>
      </c>
      <c r="O331" s="126" t="n">
        <f aca="false">0.07</f>
        <v>0.07</v>
      </c>
      <c r="P331" s="114"/>
      <c r="Q331" s="126" t="n">
        <f aca="false">M331+J331+G331</f>
        <v>11</v>
      </c>
      <c r="R331" s="126" t="n">
        <f aca="false">N331+K331+H331</f>
        <v>11</v>
      </c>
      <c r="S331" s="126" t="n">
        <f aca="false">O331+L331+I331</f>
        <v>7.07</v>
      </c>
      <c r="T331" s="127"/>
      <c r="U331" s="5" t="n">
        <f aca="false">A332-A331</f>
        <v>30</v>
      </c>
      <c r="V331" s="128" t="n">
        <f aca="false">CHOOSE(F$3,A332+24,A331)</f>
        <v>47058</v>
      </c>
      <c r="W331" s="5" t="n">
        <f aca="false">V331-C$3</f>
        <v>9827</v>
      </c>
      <c r="X331" s="124" t="n">
        <f aca="false">VLOOKUP($A331,Table,MATCH(X$4,Curves,0))</f>
        <v>2</v>
      </c>
      <c r="Y331" s="129" t="n">
        <f aca="false">1/(1+CHOOSE(F$3,(X332+($K$3/10000))/2,(X331+($K$3/10000))/2))^(2*W331/365.25)</f>
        <v>6.33374262023177E-017</v>
      </c>
      <c r="Z331" s="5" t="n">
        <f aca="false">IF(AND(mthbeg&lt;=A331,mthend&gt;=A331),1,0)</f>
        <v>0</v>
      </c>
      <c r="AA331" s="5" t="n">
        <f aca="false">U331*Z331</f>
        <v>0</v>
      </c>
      <c r="AC331" s="115" t="n">
        <f aca="false">IF(G324=2,F331*(S331-Q331),F331*(Q331-S331))</f>
        <v>0</v>
      </c>
      <c r="AE331" s="116" t="n">
        <f aca="false">IF($G$3=1,F331*(R331-Q331),F331*(Q331-R331))</f>
        <v>0</v>
      </c>
      <c r="AG331" s="116" t="n">
        <f aca="false">AC331+AE331</f>
        <v>0</v>
      </c>
    </row>
    <row r="332" customFormat="false" ht="12" hidden="false" customHeight="true" outlineLevel="0" collapsed="false">
      <c r="A332" s="120" t="n">
        <f aca="false">EDATE(A331,1)</f>
        <v>47088</v>
      </c>
      <c r="B332" s="121" t="e">
        <f aca="false">VLOOKUP(A332,'Inputs-Summary'!$A$32:$B$41,2,FALSE())</f>
        <v>#N/A</v>
      </c>
      <c r="C332" s="122"/>
      <c r="D332" s="123" t="e">
        <f aca="false">B332+C332</f>
        <v>#N/A</v>
      </c>
      <c r="E332" s="111" t="n">
        <f aca="false">IF(Z332=0,0,IF(AND(Z332=1,$H$3=1),D332*U332,IF($H$3=2,D332,"N/A")))</f>
        <v>0</v>
      </c>
      <c r="F332" s="111" t="n">
        <f aca="false">E332*Y332</f>
        <v>0</v>
      </c>
      <c r="G332" s="124" t="n">
        <f aca="false">VLOOKUP($A332,Table,MATCH(G$4,Curves,0))</f>
        <v>3</v>
      </c>
      <c r="H332" s="125" t="n">
        <f aca="false">G332+$H$7</f>
        <v>3</v>
      </c>
      <c r="I332" s="124" t="n">
        <f aca="false">H332</f>
        <v>3</v>
      </c>
      <c r="J332" s="124" t="n">
        <f aca="false">VLOOKUP($A332,Table,MATCH(J$4,Curves,0))</f>
        <v>4</v>
      </c>
      <c r="K332" s="125" t="n">
        <f aca="false">J332+$K$7</f>
        <v>4</v>
      </c>
      <c r="L332" s="126" t="n">
        <f aca="false">K332</f>
        <v>4</v>
      </c>
      <c r="M332" s="124" t="n">
        <f aca="false">VLOOKUP($A332,Table,MATCH(M$4,Curves,0))</f>
        <v>4</v>
      </c>
      <c r="N332" s="125" t="n">
        <f aca="false">M332+$N$7</f>
        <v>4</v>
      </c>
      <c r="O332" s="126" t="n">
        <f aca="false">0.07</f>
        <v>0.07</v>
      </c>
      <c r="P332" s="114"/>
      <c r="Q332" s="126" t="n">
        <f aca="false">M332+J332+G332</f>
        <v>11</v>
      </c>
      <c r="R332" s="126" t="n">
        <f aca="false">N332+K332+H332</f>
        <v>11</v>
      </c>
      <c r="S332" s="126" t="n">
        <f aca="false">O332+L332+I332</f>
        <v>7.07</v>
      </c>
      <c r="T332" s="127"/>
      <c r="U332" s="5" t="n">
        <f aca="false">A333-A332</f>
        <v>31</v>
      </c>
      <c r="V332" s="128" t="n">
        <f aca="false">CHOOSE(F$3,A333+24,A332)</f>
        <v>47088</v>
      </c>
      <c r="W332" s="5" t="n">
        <f aca="false">V332-C$3</f>
        <v>9857</v>
      </c>
      <c r="X332" s="124" t="n">
        <f aca="false">VLOOKUP($A332,Table,MATCH(X$4,Curves,0))</f>
        <v>2</v>
      </c>
      <c r="Y332" s="129" t="n">
        <f aca="false">1/(1+CHOOSE(F$3,(X333+($K$3/10000))/2,(X332+($K$3/10000))/2))^(2*W332/365.25)</f>
        <v>5.65210080206625E-017</v>
      </c>
      <c r="Z332" s="5" t="n">
        <f aca="false">IF(AND(mthbeg&lt;=A332,mthend&gt;=A332),1,0)</f>
        <v>0</v>
      </c>
      <c r="AA332" s="5" t="n">
        <f aca="false">U332*Z332</f>
        <v>0</v>
      </c>
      <c r="AC332" s="115" t="n">
        <f aca="false">IF(G325=2,F332*(S332-Q332),F332*(Q332-S332))</f>
        <v>0</v>
      </c>
      <c r="AE332" s="116" t="n">
        <f aca="false">IF($G$3=1,F332*(R332-Q332),F332*(Q332-R332))</f>
        <v>0</v>
      </c>
      <c r="AG332" s="116" t="n">
        <f aca="false">AC332+AE332</f>
        <v>0</v>
      </c>
    </row>
    <row r="333" customFormat="false" ht="12" hidden="false" customHeight="true" outlineLevel="0" collapsed="false">
      <c r="A333" s="120" t="n">
        <f aca="false">EDATE(A332,1)</f>
        <v>47119</v>
      </c>
      <c r="B333" s="121" t="e">
        <f aca="false">VLOOKUP(A333,'Inputs-Summary'!$A$32:$B$41,2,FALSE())</f>
        <v>#N/A</v>
      </c>
      <c r="C333" s="122"/>
      <c r="D333" s="123" t="e">
        <f aca="false">B333+C333</f>
        <v>#N/A</v>
      </c>
      <c r="E333" s="111" t="n">
        <f aca="false">IF(Z333=0,0,IF(AND(Z333=1,$H$3=1),D333*U333,IF($H$3=2,D333,"N/A")))</f>
        <v>0</v>
      </c>
      <c r="F333" s="111" t="n">
        <f aca="false">E333*Y333</f>
        <v>0</v>
      </c>
      <c r="G333" s="124" t="n">
        <f aca="false">VLOOKUP($A333,Table,MATCH(G$4,Curves,0))</f>
        <v>3</v>
      </c>
      <c r="H333" s="125" t="n">
        <f aca="false">G333+$H$7</f>
        <v>3</v>
      </c>
      <c r="I333" s="124" t="n">
        <f aca="false">H333</f>
        <v>3</v>
      </c>
      <c r="J333" s="124" t="n">
        <f aca="false">VLOOKUP($A333,Table,MATCH(J$4,Curves,0))</f>
        <v>4</v>
      </c>
      <c r="K333" s="125" t="n">
        <f aca="false">J333+$K$7</f>
        <v>4</v>
      </c>
      <c r="L333" s="126" t="n">
        <f aca="false">K333</f>
        <v>4</v>
      </c>
      <c r="M333" s="124" t="n">
        <f aca="false">VLOOKUP($A333,Table,MATCH(M$4,Curves,0))</f>
        <v>4</v>
      </c>
      <c r="N333" s="125" t="n">
        <f aca="false">M333+$N$7</f>
        <v>4</v>
      </c>
      <c r="O333" s="126" t="n">
        <f aca="false">0.07</f>
        <v>0.07</v>
      </c>
      <c r="P333" s="114"/>
      <c r="Q333" s="126" t="n">
        <f aca="false">M333+J333+G333</f>
        <v>11</v>
      </c>
      <c r="R333" s="126" t="n">
        <f aca="false">N333+K333+H333</f>
        <v>11</v>
      </c>
      <c r="S333" s="126" t="n">
        <f aca="false">O333+L333+I333</f>
        <v>7.07</v>
      </c>
      <c r="T333" s="127"/>
      <c r="U333" s="5" t="n">
        <f aca="false">A334-A333</f>
        <v>31</v>
      </c>
      <c r="V333" s="128" t="n">
        <f aca="false">CHOOSE(F$3,A334+24,A333)</f>
        <v>47119</v>
      </c>
      <c r="W333" s="5" t="n">
        <f aca="false">V333-C$3</f>
        <v>9888</v>
      </c>
      <c r="X333" s="124" t="n">
        <f aca="false">VLOOKUP($A333,Table,MATCH(X$4,Curves,0))</f>
        <v>2</v>
      </c>
      <c r="Y333" s="129" t="n">
        <f aca="false">1/(1+CHOOSE(F$3,(X334+($K$3/10000))/2,(X333+($K$3/10000))/2))^(2*W333/365.25)</f>
        <v>5.0247103931599E-017</v>
      </c>
      <c r="Z333" s="5" t="n">
        <f aca="false">IF(AND(mthbeg&lt;=A333,mthend&gt;=A333),1,0)</f>
        <v>0</v>
      </c>
      <c r="AA333" s="5" t="n">
        <f aca="false">U333*Z333</f>
        <v>0</v>
      </c>
      <c r="AC333" s="115" t="n">
        <f aca="false">IF(G326=2,F333*(S333-Q333),F333*(Q333-S333))</f>
        <v>0</v>
      </c>
      <c r="AE333" s="116" t="n">
        <f aca="false">IF($G$3=1,F333*(R333-Q333),F333*(Q333-R333))</f>
        <v>0</v>
      </c>
      <c r="AG333" s="116" t="n">
        <f aca="false">AC333+AE333</f>
        <v>0</v>
      </c>
    </row>
    <row r="334" customFormat="false" ht="12" hidden="false" customHeight="true" outlineLevel="0" collapsed="false">
      <c r="A334" s="120" t="n">
        <f aca="false">EDATE(A333,1)</f>
        <v>47150</v>
      </c>
      <c r="B334" s="121" t="e">
        <f aca="false">VLOOKUP(A334,'Inputs-Summary'!$A$32:$B$41,2,FALSE())</f>
        <v>#N/A</v>
      </c>
      <c r="C334" s="122"/>
      <c r="D334" s="123" t="e">
        <f aca="false">B334+C334</f>
        <v>#N/A</v>
      </c>
      <c r="E334" s="111" t="n">
        <f aca="false">IF(Z334=0,0,IF(AND(Z334=1,$H$3=1),D334*U334,IF($H$3=2,D334,"N/A")))</f>
        <v>0</v>
      </c>
      <c r="F334" s="111" t="n">
        <f aca="false">E334*Y334</f>
        <v>0</v>
      </c>
      <c r="G334" s="124" t="n">
        <f aca="false">VLOOKUP($A334,Table,MATCH(G$4,Curves,0))</f>
        <v>3</v>
      </c>
      <c r="H334" s="125" t="n">
        <f aca="false">G334+$H$7</f>
        <v>3</v>
      </c>
      <c r="I334" s="124" t="n">
        <f aca="false">H334</f>
        <v>3</v>
      </c>
      <c r="J334" s="124" t="n">
        <f aca="false">VLOOKUP($A334,Table,MATCH(J$4,Curves,0))</f>
        <v>4</v>
      </c>
      <c r="K334" s="125" t="n">
        <f aca="false">J334+$K$7</f>
        <v>4</v>
      </c>
      <c r="L334" s="126" t="n">
        <f aca="false">K334</f>
        <v>4</v>
      </c>
      <c r="M334" s="124" t="n">
        <f aca="false">VLOOKUP($A334,Table,MATCH(M$4,Curves,0))</f>
        <v>4</v>
      </c>
      <c r="N334" s="125" t="n">
        <f aca="false">M334+$N$7</f>
        <v>4</v>
      </c>
      <c r="O334" s="126" t="n">
        <f aca="false">0.07</f>
        <v>0.07</v>
      </c>
      <c r="P334" s="114"/>
      <c r="Q334" s="126" t="n">
        <f aca="false">M334+J334+G334</f>
        <v>11</v>
      </c>
      <c r="R334" s="126" t="n">
        <f aca="false">N334+K334+H334</f>
        <v>11</v>
      </c>
      <c r="S334" s="126" t="n">
        <f aca="false">O334+L334+I334</f>
        <v>7.07</v>
      </c>
      <c r="T334" s="127"/>
      <c r="U334" s="5" t="n">
        <f aca="false">A335-A334</f>
        <v>28</v>
      </c>
      <c r="V334" s="128" t="n">
        <f aca="false">CHOOSE(F$3,A335+24,A334)</f>
        <v>47150</v>
      </c>
      <c r="W334" s="5" t="n">
        <f aca="false">V334-C$3</f>
        <v>9919</v>
      </c>
      <c r="X334" s="124" t="n">
        <f aca="false">VLOOKUP($A334,Table,MATCH(X$4,Curves,0))</f>
        <v>2</v>
      </c>
      <c r="Y334" s="129" t="n">
        <f aca="false">1/(1+CHOOSE(F$3,(X335+($K$3/10000))/2,(X334+($K$3/10000))/2))^(2*W334/365.25)</f>
        <v>4.46696112105772E-017</v>
      </c>
      <c r="Z334" s="5" t="n">
        <f aca="false">IF(AND(mthbeg&lt;=A334,mthend&gt;=A334),1,0)</f>
        <v>0</v>
      </c>
      <c r="AA334" s="5" t="n">
        <f aca="false">U334*Z334</f>
        <v>0</v>
      </c>
      <c r="AC334" s="115" t="n">
        <f aca="false">IF(G327=2,F334*(S334-Q334),F334*(Q334-S334))</f>
        <v>0</v>
      </c>
      <c r="AE334" s="116" t="n">
        <f aca="false">IF($G$3=1,F334*(R334-Q334),F334*(Q334-R334))</f>
        <v>0</v>
      </c>
      <c r="AG334" s="116" t="n">
        <f aca="false">AC334+AE334</f>
        <v>0</v>
      </c>
    </row>
    <row r="335" customFormat="false" ht="12" hidden="false" customHeight="true" outlineLevel="0" collapsed="false">
      <c r="A335" s="120" t="n">
        <f aca="false">EDATE(A334,1)</f>
        <v>47178</v>
      </c>
      <c r="B335" s="121" t="e">
        <f aca="false">VLOOKUP(A335,'Inputs-Summary'!$A$32:$B$41,2,FALSE())</f>
        <v>#N/A</v>
      </c>
      <c r="C335" s="122"/>
      <c r="D335" s="123" t="e">
        <f aca="false">B335+C335</f>
        <v>#N/A</v>
      </c>
      <c r="E335" s="111" t="n">
        <f aca="false">IF(Z335=0,0,IF(AND(Z335=1,$H$3=1),D335*U335,IF($H$3=2,D335,"N/A")))</f>
        <v>0</v>
      </c>
      <c r="F335" s="111" t="n">
        <f aca="false">E335*Y335</f>
        <v>0</v>
      </c>
      <c r="G335" s="124" t="n">
        <f aca="false">VLOOKUP($A335,Table,MATCH(G$4,Curves,0))</f>
        <v>3</v>
      </c>
      <c r="H335" s="125" t="n">
        <f aca="false">G335+$H$7</f>
        <v>3</v>
      </c>
      <c r="I335" s="124" t="n">
        <f aca="false">H335</f>
        <v>3</v>
      </c>
      <c r="J335" s="124" t="n">
        <f aca="false">VLOOKUP($A335,Table,MATCH(J$4,Curves,0))</f>
        <v>4</v>
      </c>
      <c r="K335" s="125" t="n">
        <f aca="false">J335+$K$7</f>
        <v>4</v>
      </c>
      <c r="L335" s="126" t="n">
        <f aca="false">K335</f>
        <v>4</v>
      </c>
      <c r="M335" s="124" t="n">
        <f aca="false">VLOOKUP($A335,Table,MATCH(M$4,Curves,0))</f>
        <v>4</v>
      </c>
      <c r="N335" s="125" t="n">
        <f aca="false">M335+$N$7</f>
        <v>4</v>
      </c>
      <c r="O335" s="126" t="n">
        <f aca="false">0.07</f>
        <v>0.07</v>
      </c>
      <c r="P335" s="114"/>
      <c r="Q335" s="126" t="n">
        <f aca="false">M335+J335+G335</f>
        <v>11</v>
      </c>
      <c r="R335" s="126" t="n">
        <f aca="false">N335+K335+H335</f>
        <v>11</v>
      </c>
      <c r="S335" s="126" t="n">
        <f aca="false">O335+L335+I335</f>
        <v>7.07</v>
      </c>
      <c r="T335" s="127"/>
      <c r="U335" s="5" t="n">
        <f aca="false">A336-A335</f>
        <v>31</v>
      </c>
      <c r="V335" s="128" t="n">
        <f aca="false">CHOOSE(F$3,A336+24,A335)</f>
        <v>47178</v>
      </c>
      <c r="W335" s="5" t="n">
        <f aca="false">V335-C$3</f>
        <v>9947</v>
      </c>
      <c r="X335" s="124" t="n">
        <f aca="false">VLOOKUP($A335,Table,MATCH(X$4,Curves,0))</f>
        <v>2</v>
      </c>
      <c r="Y335" s="129" t="n">
        <f aca="false">1/(1+CHOOSE(F$3,(X336+($K$3/10000))/2,(X335+($K$3/10000))/2))^(2*W335/365.25)</f>
        <v>4.01659793587898E-017</v>
      </c>
      <c r="Z335" s="5" t="n">
        <f aca="false">IF(AND(mthbeg&lt;=A335,mthend&gt;=A335),1,0)</f>
        <v>0</v>
      </c>
      <c r="AA335" s="5" t="n">
        <f aca="false">U335*Z335</f>
        <v>0</v>
      </c>
      <c r="AC335" s="115" t="n">
        <f aca="false">IF(G328=2,F335*(S335-Q335),F335*(Q335-S335))</f>
        <v>0</v>
      </c>
      <c r="AE335" s="116" t="n">
        <f aca="false">IF($G$3=1,F335*(R335-Q335),F335*(Q335-R335))</f>
        <v>0</v>
      </c>
      <c r="AG335" s="116" t="n">
        <f aca="false">AC335+AE335</f>
        <v>0</v>
      </c>
    </row>
    <row r="336" customFormat="false" ht="12" hidden="false" customHeight="true" outlineLevel="0" collapsed="false">
      <c r="A336" s="120" t="n">
        <f aca="false">EDATE(A335,1)</f>
        <v>47209</v>
      </c>
      <c r="B336" s="121" t="e">
        <f aca="false">VLOOKUP(A336,'Inputs-Summary'!$A$32:$B$41,2,FALSE())</f>
        <v>#N/A</v>
      </c>
      <c r="C336" s="122"/>
      <c r="D336" s="123" t="e">
        <f aca="false">B336+C336</f>
        <v>#N/A</v>
      </c>
      <c r="E336" s="111" t="n">
        <f aca="false">IF(Z336=0,0,IF(AND(Z336=1,$H$3=1),D336*U336,IF($H$3=2,D336,"N/A")))</f>
        <v>0</v>
      </c>
      <c r="F336" s="111" t="n">
        <f aca="false">E336*Y336</f>
        <v>0</v>
      </c>
      <c r="G336" s="124" t="n">
        <f aca="false">VLOOKUP($A336,Table,MATCH(G$4,Curves,0))</f>
        <v>3</v>
      </c>
      <c r="H336" s="125" t="n">
        <f aca="false">G336+$H$7</f>
        <v>3</v>
      </c>
      <c r="I336" s="124" t="n">
        <f aca="false">H336</f>
        <v>3</v>
      </c>
      <c r="J336" s="124" t="n">
        <f aca="false">VLOOKUP($A336,Table,MATCH(J$4,Curves,0))</f>
        <v>4</v>
      </c>
      <c r="K336" s="125" t="n">
        <f aca="false">J336+$K$7</f>
        <v>4</v>
      </c>
      <c r="L336" s="126" t="n">
        <f aca="false">K336</f>
        <v>4</v>
      </c>
      <c r="M336" s="124" t="n">
        <f aca="false">VLOOKUP($A336,Table,MATCH(M$4,Curves,0))</f>
        <v>4</v>
      </c>
      <c r="N336" s="125" t="n">
        <f aca="false">M336+$N$7</f>
        <v>4</v>
      </c>
      <c r="O336" s="126" t="n">
        <f aca="false">0.07</f>
        <v>0.07</v>
      </c>
      <c r="P336" s="114"/>
      <c r="Q336" s="126" t="n">
        <f aca="false">M336+J336+G336</f>
        <v>11</v>
      </c>
      <c r="R336" s="126" t="n">
        <f aca="false">N336+K336+H336</f>
        <v>11</v>
      </c>
      <c r="S336" s="126" t="n">
        <f aca="false">O336+L336+I336</f>
        <v>7.07</v>
      </c>
      <c r="T336" s="127"/>
      <c r="U336" s="5" t="n">
        <f aca="false">A337-A336</f>
        <v>30</v>
      </c>
      <c r="V336" s="128" t="n">
        <f aca="false">CHOOSE(F$3,A337+24,A336)</f>
        <v>47209</v>
      </c>
      <c r="W336" s="5" t="n">
        <f aca="false">V336-C$3</f>
        <v>9978</v>
      </c>
      <c r="X336" s="124" t="n">
        <f aca="false">VLOOKUP($A336,Table,MATCH(X$4,Curves,0))</f>
        <v>2</v>
      </c>
      <c r="Y336" s="129" t="n">
        <f aca="false">1/(1+CHOOSE(F$3,(X337+($K$3/10000))/2,(X336+($K$3/10000))/2))^(2*W336/365.25)</f>
        <v>3.57075043427705E-017</v>
      </c>
      <c r="Z336" s="5" t="n">
        <f aca="false">IF(AND(mthbeg&lt;=A336,mthend&gt;=A336),1,0)</f>
        <v>0</v>
      </c>
      <c r="AA336" s="5" t="n">
        <f aca="false">U336*Z336</f>
        <v>0</v>
      </c>
      <c r="AC336" s="115" t="n">
        <f aca="false">IF(G329=2,F336*(S336-Q336),F336*(Q336-S336))</f>
        <v>0</v>
      </c>
      <c r="AE336" s="116" t="n">
        <f aca="false">IF($G$3=1,F336*(R336-Q336),F336*(Q336-R336))</f>
        <v>0</v>
      </c>
      <c r="AG336" s="116" t="n">
        <f aca="false">AC336+AE336</f>
        <v>0</v>
      </c>
    </row>
    <row r="337" customFormat="false" ht="12" hidden="false" customHeight="true" outlineLevel="0" collapsed="false">
      <c r="A337" s="120" t="n">
        <f aca="false">EDATE(A336,1)</f>
        <v>47239</v>
      </c>
      <c r="B337" s="121" t="e">
        <f aca="false">VLOOKUP(A337,'Inputs-Summary'!$A$32:$B$41,2,FALSE())</f>
        <v>#N/A</v>
      </c>
      <c r="C337" s="122"/>
      <c r="D337" s="123" t="e">
        <f aca="false">B337+C337</f>
        <v>#N/A</v>
      </c>
      <c r="E337" s="111" t="n">
        <f aca="false">IF(Z337=0,0,IF(AND(Z337=1,$H$3=1),D337*U337,IF($H$3=2,D337,"N/A")))</f>
        <v>0</v>
      </c>
      <c r="F337" s="111" t="n">
        <f aca="false">E337*Y337</f>
        <v>0</v>
      </c>
      <c r="G337" s="124" t="n">
        <f aca="false">VLOOKUP($A337,Table,MATCH(G$4,Curves,0))</f>
        <v>3</v>
      </c>
      <c r="H337" s="125" t="n">
        <f aca="false">G337+$H$7</f>
        <v>3</v>
      </c>
      <c r="I337" s="124" t="n">
        <f aca="false">H337</f>
        <v>3</v>
      </c>
      <c r="J337" s="124" t="n">
        <f aca="false">VLOOKUP($A337,Table,MATCH(J$4,Curves,0))</f>
        <v>4</v>
      </c>
      <c r="K337" s="125" t="n">
        <f aca="false">J337+$K$7</f>
        <v>4</v>
      </c>
      <c r="L337" s="126" t="n">
        <f aca="false">K337</f>
        <v>4</v>
      </c>
      <c r="M337" s="124" t="n">
        <f aca="false">VLOOKUP($A337,Table,MATCH(M$4,Curves,0))</f>
        <v>4</v>
      </c>
      <c r="N337" s="125" t="n">
        <f aca="false">M337+$N$7</f>
        <v>4</v>
      </c>
      <c r="O337" s="126" t="n">
        <f aca="false">0.07</f>
        <v>0.07</v>
      </c>
      <c r="P337" s="114"/>
      <c r="Q337" s="126" t="n">
        <f aca="false">M337+J337+G337</f>
        <v>11</v>
      </c>
      <c r="R337" s="126" t="n">
        <f aca="false">N337+K337+H337</f>
        <v>11</v>
      </c>
      <c r="S337" s="126" t="n">
        <f aca="false">O337+L337+I337</f>
        <v>7.07</v>
      </c>
      <c r="T337" s="127"/>
      <c r="U337" s="5" t="n">
        <f aca="false">A338-A337</f>
        <v>31</v>
      </c>
      <c r="V337" s="128" t="n">
        <f aca="false">CHOOSE(F$3,A338+24,A337)</f>
        <v>47239</v>
      </c>
      <c r="W337" s="5" t="n">
        <f aca="false">V337-C$3</f>
        <v>10008</v>
      </c>
      <c r="X337" s="124" t="n">
        <f aca="false">VLOOKUP($A337,Table,MATCH(X$4,Curves,0))</f>
        <v>2</v>
      </c>
      <c r="Y337" s="129" t="n">
        <f aca="false">1/(1+CHOOSE(F$3,(X338+($K$3/10000))/2,(X337+($K$3/10000))/2))^(2*W337/365.25)</f>
        <v>3.18646377089715E-017</v>
      </c>
      <c r="Z337" s="5" t="n">
        <f aca="false">IF(AND(mthbeg&lt;=A337,mthend&gt;=A337),1,0)</f>
        <v>0</v>
      </c>
      <c r="AA337" s="5" t="n">
        <f aca="false">U337*Z337</f>
        <v>0</v>
      </c>
      <c r="AC337" s="115" t="n">
        <f aca="false">IF(G330=2,F337*(S337-Q337),F337*(Q337-S337))</f>
        <v>0</v>
      </c>
      <c r="AE337" s="116" t="n">
        <f aca="false">IF($G$3=1,F337*(R337-Q337),F337*(Q337-R337))</f>
        <v>0</v>
      </c>
      <c r="AG337" s="116" t="n">
        <f aca="false">AC337+AE337</f>
        <v>0</v>
      </c>
    </row>
    <row r="338" customFormat="false" ht="12" hidden="false" customHeight="true" outlineLevel="0" collapsed="false">
      <c r="A338" s="120" t="n">
        <f aca="false">EDATE(A337,1)</f>
        <v>47270</v>
      </c>
      <c r="B338" s="121" t="e">
        <f aca="false">VLOOKUP(A338,'Inputs-Summary'!$A$32:$B$41,2,FALSE())</f>
        <v>#N/A</v>
      </c>
      <c r="C338" s="122"/>
      <c r="D338" s="123" t="e">
        <f aca="false">B338+C338</f>
        <v>#N/A</v>
      </c>
      <c r="E338" s="111" t="n">
        <f aca="false">IF(Z338=0,0,IF(AND(Z338=1,$H$3=1),D338*U338,IF($H$3=2,D338,"N/A")))</f>
        <v>0</v>
      </c>
      <c r="F338" s="111" t="n">
        <f aca="false">E338*Y338</f>
        <v>0</v>
      </c>
      <c r="G338" s="124" t="n">
        <f aca="false">VLOOKUP($A338,Table,MATCH(G$4,Curves,0))</f>
        <v>3</v>
      </c>
      <c r="H338" s="125" t="n">
        <f aca="false">G338+$H$7</f>
        <v>3</v>
      </c>
      <c r="I338" s="124" t="n">
        <f aca="false">H338</f>
        <v>3</v>
      </c>
      <c r="J338" s="124" t="n">
        <f aca="false">VLOOKUP($A338,Table,MATCH(J$4,Curves,0))</f>
        <v>4</v>
      </c>
      <c r="K338" s="125" t="n">
        <f aca="false">J338+$K$7</f>
        <v>4</v>
      </c>
      <c r="L338" s="126" t="n">
        <f aca="false">K338</f>
        <v>4</v>
      </c>
      <c r="M338" s="124" t="n">
        <f aca="false">VLOOKUP($A338,Table,MATCH(M$4,Curves,0))</f>
        <v>4</v>
      </c>
      <c r="N338" s="125" t="n">
        <f aca="false">M338+$N$7</f>
        <v>4</v>
      </c>
      <c r="O338" s="126" t="n">
        <f aca="false">0.07</f>
        <v>0.07</v>
      </c>
      <c r="P338" s="114"/>
      <c r="Q338" s="126" t="n">
        <f aca="false">M338+J338+G338</f>
        <v>11</v>
      </c>
      <c r="R338" s="126" t="n">
        <f aca="false">N338+K338+H338</f>
        <v>11</v>
      </c>
      <c r="S338" s="126" t="n">
        <f aca="false">O338+L338+I338</f>
        <v>7.07</v>
      </c>
      <c r="T338" s="127"/>
      <c r="U338" s="5" t="n">
        <f aca="false">A339-A338</f>
        <v>30</v>
      </c>
      <c r="V338" s="128" t="n">
        <f aca="false">CHOOSE(F$3,A339+24,A338)</f>
        <v>47270</v>
      </c>
      <c r="W338" s="5" t="n">
        <f aca="false">V338-C$3</f>
        <v>10039</v>
      </c>
      <c r="X338" s="124" t="n">
        <f aca="false">VLOOKUP($A338,Table,MATCH(X$4,Curves,0))</f>
        <v>2</v>
      </c>
      <c r="Y338" s="129" t="n">
        <f aca="false">1/(1+CHOOSE(F$3,(X339+($K$3/10000))/2,(X338+($K$3/10000))/2))^(2*W338/365.25)</f>
        <v>2.83276222200446E-017</v>
      </c>
      <c r="Z338" s="5" t="n">
        <f aca="false">IF(AND(mthbeg&lt;=A338,mthend&gt;=A338),1,0)</f>
        <v>0</v>
      </c>
      <c r="AA338" s="5" t="n">
        <f aca="false">U338*Z338</f>
        <v>0</v>
      </c>
      <c r="AC338" s="115" t="n">
        <f aca="false">IF(G331=2,F338*(S338-Q338),F338*(Q338-S338))</f>
        <v>0</v>
      </c>
      <c r="AE338" s="116" t="n">
        <f aca="false">IF($G$3=1,F338*(R338-Q338),F338*(Q338-R338))</f>
        <v>0</v>
      </c>
      <c r="AG338" s="116" t="n">
        <f aca="false">AC338+AE338</f>
        <v>0</v>
      </c>
    </row>
    <row r="339" customFormat="false" ht="12" hidden="false" customHeight="true" outlineLevel="0" collapsed="false">
      <c r="A339" s="120" t="n">
        <f aca="false">EDATE(A338,1)</f>
        <v>47300</v>
      </c>
      <c r="B339" s="121" t="e">
        <f aca="false">VLOOKUP(A339,'Inputs-Summary'!$A$32:$B$41,2,FALSE())</f>
        <v>#N/A</v>
      </c>
      <c r="C339" s="122"/>
      <c r="D339" s="123" t="e">
        <f aca="false">B339+C339</f>
        <v>#N/A</v>
      </c>
      <c r="E339" s="111" t="n">
        <f aca="false">IF(Z339=0,0,IF(AND(Z339=1,$H$3=1),D339*U339,IF($H$3=2,D339,"N/A")))</f>
        <v>0</v>
      </c>
      <c r="F339" s="111" t="n">
        <f aca="false">E339*Y339</f>
        <v>0</v>
      </c>
      <c r="G339" s="124" t="n">
        <f aca="false">VLOOKUP($A339,Table,MATCH(G$4,Curves,0))</f>
        <v>3</v>
      </c>
      <c r="H339" s="125" t="n">
        <f aca="false">G339+$H$7</f>
        <v>3</v>
      </c>
      <c r="I339" s="124" t="n">
        <f aca="false">H339</f>
        <v>3</v>
      </c>
      <c r="J339" s="124" t="n">
        <f aca="false">VLOOKUP($A339,Table,MATCH(J$4,Curves,0))</f>
        <v>4</v>
      </c>
      <c r="K339" s="125" t="n">
        <f aca="false">J339+$K$7</f>
        <v>4</v>
      </c>
      <c r="L339" s="126" t="n">
        <f aca="false">K339</f>
        <v>4</v>
      </c>
      <c r="M339" s="124" t="n">
        <f aca="false">VLOOKUP($A339,Table,MATCH(M$4,Curves,0))</f>
        <v>4</v>
      </c>
      <c r="N339" s="125" t="n">
        <f aca="false">M339+$N$7</f>
        <v>4</v>
      </c>
      <c r="O339" s="126" t="n">
        <f aca="false">0.07</f>
        <v>0.07</v>
      </c>
      <c r="P339" s="114"/>
      <c r="Q339" s="126" t="n">
        <f aca="false">M339+J339+G339</f>
        <v>11</v>
      </c>
      <c r="R339" s="126" t="n">
        <f aca="false">N339+K339+H339</f>
        <v>11</v>
      </c>
      <c r="S339" s="126" t="n">
        <f aca="false">O339+L339+I339</f>
        <v>7.07</v>
      </c>
      <c r="T339" s="127"/>
      <c r="U339" s="5" t="n">
        <f aca="false">A340-A339</f>
        <v>31</v>
      </c>
      <c r="V339" s="128" t="n">
        <f aca="false">CHOOSE(F$3,A340+24,A339)</f>
        <v>47300</v>
      </c>
      <c r="W339" s="5" t="n">
        <f aca="false">V339-C$3</f>
        <v>10069</v>
      </c>
      <c r="X339" s="124" t="n">
        <f aca="false">VLOOKUP($A339,Table,MATCH(X$4,Curves,0))</f>
        <v>2</v>
      </c>
      <c r="Y339" s="129" t="n">
        <f aca="false">1/(1+CHOOSE(F$3,(X340+($K$3/10000))/2,(X339+($K$3/10000))/2))^(2*W339/365.25)</f>
        <v>2.52789836705877E-017</v>
      </c>
      <c r="Z339" s="5" t="n">
        <f aca="false">IF(AND(mthbeg&lt;=A339,mthend&gt;=A339),1,0)</f>
        <v>0</v>
      </c>
      <c r="AA339" s="5" t="n">
        <f aca="false">U339*Z339</f>
        <v>0</v>
      </c>
      <c r="AC339" s="115" t="n">
        <f aca="false">IF(G332=2,F339*(S339-Q339),F339*(Q339-S339))</f>
        <v>0</v>
      </c>
      <c r="AE339" s="116" t="n">
        <f aca="false">IF($G$3=1,F339*(R339-Q339),F339*(Q339-R339))</f>
        <v>0</v>
      </c>
      <c r="AG339" s="116" t="n">
        <f aca="false">AC339+AE339</f>
        <v>0</v>
      </c>
    </row>
    <row r="340" customFormat="false" ht="12" hidden="false" customHeight="true" outlineLevel="0" collapsed="false">
      <c r="A340" s="120" t="n">
        <f aca="false">EDATE(A339,1)</f>
        <v>47331</v>
      </c>
      <c r="B340" s="121" t="e">
        <f aca="false">VLOOKUP(A340,'Inputs-Summary'!$A$32:$B$41,2,FALSE())</f>
        <v>#N/A</v>
      </c>
      <c r="C340" s="122"/>
      <c r="D340" s="123" t="e">
        <f aca="false">B340+C340</f>
        <v>#N/A</v>
      </c>
      <c r="E340" s="111" t="n">
        <f aca="false">IF(Z340=0,0,IF(AND(Z340=1,$H$3=1),D340*U340,IF($H$3=2,D340,"N/A")))</f>
        <v>0</v>
      </c>
      <c r="F340" s="111" t="n">
        <f aca="false">E340*Y340</f>
        <v>0</v>
      </c>
      <c r="G340" s="124" t="n">
        <f aca="false">VLOOKUP($A340,Table,MATCH(G$4,Curves,0))</f>
        <v>3</v>
      </c>
      <c r="H340" s="125" t="n">
        <f aca="false">G340+$H$7</f>
        <v>3</v>
      </c>
      <c r="I340" s="124" t="n">
        <f aca="false">H340</f>
        <v>3</v>
      </c>
      <c r="J340" s="124" t="n">
        <f aca="false">VLOOKUP($A340,Table,MATCH(J$4,Curves,0))</f>
        <v>4</v>
      </c>
      <c r="K340" s="125" t="n">
        <f aca="false">J340+$K$7</f>
        <v>4</v>
      </c>
      <c r="L340" s="126" t="n">
        <f aca="false">K340</f>
        <v>4</v>
      </c>
      <c r="M340" s="124" t="n">
        <f aca="false">VLOOKUP($A340,Table,MATCH(M$4,Curves,0))</f>
        <v>4</v>
      </c>
      <c r="N340" s="125" t="n">
        <f aca="false">M340+$N$7</f>
        <v>4</v>
      </c>
      <c r="O340" s="126" t="n">
        <f aca="false">0.07</f>
        <v>0.07</v>
      </c>
      <c r="P340" s="114"/>
      <c r="Q340" s="126" t="n">
        <f aca="false">M340+J340+G340</f>
        <v>11</v>
      </c>
      <c r="R340" s="126" t="n">
        <f aca="false">N340+K340+H340</f>
        <v>11</v>
      </c>
      <c r="S340" s="126" t="n">
        <f aca="false">O340+L340+I340</f>
        <v>7.07</v>
      </c>
      <c r="T340" s="127"/>
      <c r="U340" s="5" t="n">
        <f aca="false">A341-A340</f>
        <v>31</v>
      </c>
      <c r="V340" s="128" t="n">
        <f aca="false">CHOOSE(F$3,A341+24,A340)</f>
        <v>47331</v>
      </c>
      <c r="W340" s="5" t="n">
        <f aca="false">V340-C$3</f>
        <v>10100</v>
      </c>
      <c r="X340" s="124" t="n">
        <f aca="false">VLOOKUP($A340,Table,MATCH(X$4,Curves,0))</f>
        <v>2</v>
      </c>
      <c r="Y340" s="129" t="n">
        <f aca="false">1/(1+CHOOSE(F$3,(X341+($K$3/10000))/2,(X340+($K$3/10000))/2))^(2*W340/365.25)</f>
        <v>2.24729841923E-017</v>
      </c>
      <c r="Z340" s="5" t="n">
        <f aca="false">IF(AND(mthbeg&lt;=A340,mthend&gt;=A340),1,0)</f>
        <v>0</v>
      </c>
      <c r="AA340" s="5" t="n">
        <f aca="false">U340*Z340</f>
        <v>0</v>
      </c>
      <c r="AC340" s="115" t="n">
        <f aca="false">IF(G333=2,F340*(S340-Q340),F340*(Q340-S340))</f>
        <v>0</v>
      </c>
      <c r="AE340" s="116" t="n">
        <f aca="false">IF($G$3=1,F340*(R340-Q340),F340*(Q340-R340))</f>
        <v>0</v>
      </c>
      <c r="AG340" s="116" t="n">
        <f aca="false">AC340+AE340</f>
        <v>0</v>
      </c>
    </row>
    <row r="341" customFormat="false" ht="12" hidden="false" customHeight="true" outlineLevel="0" collapsed="false">
      <c r="A341" s="120" t="n">
        <f aca="false">EDATE(A340,1)</f>
        <v>47362</v>
      </c>
      <c r="B341" s="121" t="e">
        <f aca="false">VLOOKUP(A341,'Inputs-Summary'!$A$32:$B$41,2,FALSE())</f>
        <v>#N/A</v>
      </c>
      <c r="C341" s="122"/>
      <c r="D341" s="123" t="e">
        <f aca="false">B341+C341</f>
        <v>#N/A</v>
      </c>
      <c r="E341" s="111" t="n">
        <f aca="false">IF(Z341=0,0,IF(AND(Z341=1,$H$3=1),D341*U341,IF($H$3=2,D341,"N/A")))</f>
        <v>0</v>
      </c>
      <c r="F341" s="111" t="n">
        <f aca="false">E341*Y341</f>
        <v>0</v>
      </c>
      <c r="G341" s="124" t="n">
        <f aca="false">VLOOKUP($A341,Table,MATCH(G$4,Curves,0))</f>
        <v>3</v>
      </c>
      <c r="H341" s="125" t="n">
        <f aca="false">G341+$H$7</f>
        <v>3</v>
      </c>
      <c r="I341" s="124" t="n">
        <f aca="false">H341</f>
        <v>3</v>
      </c>
      <c r="J341" s="124" t="n">
        <f aca="false">VLOOKUP($A341,Table,MATCH(J$4,Curves,0))</f>
        <v>4</v>
      </c>
      <c r="K341" s="125" t="n">
        <f aca="false">J341+$K$7</f>
        <v>4</v>
      </c>
      <c r="L341" s="126" t="n">
        <f aca="false">K341</f>
        <v>4</v>
      </c>
      <c r="M341" s="124" t="n">
        <f aca="false">VLOOKUP($A341,Table,MATCH(M$4,Curves,0))</f>
        <v>4</v>
      </c>
      <c r="N341" s="125" t="n">
        <f aca="false">M341+$N$7</f>
        <v>4</v>
      </c>
      <c r="O341" s="126" t="n">
        <f aca="false">0.07</f>
        <v>0.07</v>
      </c>
      <c r="P341" s="114"/>
      <c r="Q341" s="126" t="n">
        <f aca="false">M341+J341+G341</f>
        <v>11</v>
      </c>
      <c r="R341" s="126" t="n">
        <f aca="false">N341+K341+H341</f>
        <v>11</v>
      </c>
      <c r="S341" s="126" t="n">
        <f aca="false">O341+L341+I341</f>
        <v>7.07</v>
      </c>
      <c r="T341" s="127"/>
      <c r="U341" s="5" t="n">
        <f aca="false">A342-A341</f>
        <v>30</v>
      </c>
      <c r="V341" s="128" t="n">
        <f aca="false">CHOOSE(F$3,A342+24,A341)</f>
        <v>47362</v>
      </c>
      <c r="W341" s="5" t="n">
        <f aca="false">V341-C$3</f>
        <v>10131</v>
      </c>
      <c r="X341" s="124" t="n">
        <f aca="false">VLOOKUP($A341,Table,MATCH(X$4,Curves,0))</f>
        <v>2</v>
      </c>
      <c r="Y341" s="129" t="n">
        <f aca="false">1/(1+CHOOSE(F$3,(X342+($K$3/10000))/2,(X341+($K$3/10000))/2))^(2*W341/365.25)</f>
        <v>1.99784542404282E-017</v>
      </c>
      <c r="Z341" s="5" t="n">
        <f aca="false">IF(AND(mthbeg&lt;=A341,mthend&gt;=A341),1,0)</f>
        <v>0</v>
      </c>
      <c r="AA341" s="5" t="n">
        <f aca="false">U341*Z341</f>
        <v>0</v>
      </c>
      <c r="AC341" s="115" t="n">
        <f aca="false">IF(G334=2,F341*(S341-Q341),F341*(Q341-S341))</f>
        <v>0</v>
      </c>
      <c r="AE341" s="116" t="n">
        <f aca="false">IF($G$3=1,F341*(R341-Q341),F341*(Q341-R341))</f>
        <v>0</v>
      </c>
      <c r="AG341" s="116" t="n">
        <f aca="false">AC341+AE341</f>
        <v>0</v>
      </c>
    </row>
    <row r="342" customFormat="false" ht="12" hidden="false" customHeight="true" outlineLevel="0" collapsed="false">
      <c r="A342" s="120" t="n">
        <f aca="false">EDATE(A341,1)</f>
        <v>47392</v>
      </c>
      <c r="B342" s="121" t="e">
        <f aca="false">VLOOKUP(A342,'Inputs-Summary'!$A$32:$B$41,2,FALSE())</f>
        <v>#N/A</v>
      </c>
      <c r="C342" s="122"/>
      <c r="D342" s="123" t="e">
        <f aca="false">B342+C342</f>
        <v>#N/A</v>
      </c>
      <c r="E342" s="111" t="n">
        <f aca="false">IF(Z342=0,0,IF(AND(Z342=1,$H$3=1),D342*U342,IF($H$3=2,D342,"N/A")))</f>
        <v>0</v>
      </c>
      <c r="F342" s="111" t="n">
        <f aca="false">E342*Y342</f>
        <v>0</v>
      </c>
      <c r="G342" s="124" t="n">
        <f aca="false">VLOOKUP($A342,Table,MATCH(G$4,Curves,0))</f>
        <v>3</v>
      </c>
      <c r="H342" s="125" t="n">
        <f aca="false">G342+$H$7</f>
        <v>3</v>
      </c>
      <c r="I342" s="124" t="n">
        <f aca="false">H342</f>
        <v>3</v>
      </c>
      <c r="J342" s="124" t="n">
        <f aca="false">VLOOKUP($A342,Table,MATCH(J$4,Curves,0))</f>
        <v>4</v>
      </c>
      <c r="K342" s="125" t="n">
        <f aca="false">J342+$K$7</f>
        <v>4</v>
      </c>
      <c r="L342" s="126" t="n">
        <f aca="false">K342</f>
        <v>4</v>
      </c>
      <c r="M342" s="124" t="n">
        <f aca="false">VLOOKUP($A342,Table,MATCH(M$4,Curves,0))</f>
        <v>4</v>
      </c>
      <c r="N342" s="125" t="n">
        <f aca="false">M342+$N$7</f>
        <v>4</v>
      </c>
      <c r="O342" s="126" t="n">
        <f aca="false">0.07</f>
        <v>0.07</v>
      </c>
      <c r="P342" s="114"/>
      <c r="Q342" s="126" t="n">
        <f aca="false">M342+J342+G342</f>
        <v>11</v>
      </c>
      <c r="R342" s="126" t="n">
        <f aca="false">N342+K342+H342</f>
        <v>11</v>
      </c>
      <c r="S342" s="126" t="n">
        <f aca="false">O342+L342+I342</f>
        <v>7.07</v>
      </c>
      <c r="T342" s="127"/>
      <c r="U342" s="5" t="n">
        <f aca="false">A343-A342</f>
        <v>31</v>
      </c>
      <c r="V342" s="128" t="n">
        <f aca="false">CHOOSE(F$3,A343+24,A342)</f>
        <v>47392</v>
      </c>
      <c r="W342" s="5" t="n">
        <f aca="false">V342-C$3</f>
        <v>10161</v>
      </c>
      <c r="X342" s="124" t="n">
        <f aca="false">VLOOKUP($A342,Table,MATCH(X$4,Curves,0))</f>
        <v>2</v>
      </c>
      <c r="Y342" s="129" t="n">
        <f aca="false">1/(1+CHOOSE(F$3,(X343+($K$3/10000))/2,(X342+($K$3/10000))/2))^(2*W342/365.25)</f>
        <v>1.78283589983067E-017</v>
      </c>
      <c r="Z342" s="5" t="n">
        <f aca="false">IF(AND(mthbeg&lt;=A342,mthend&gt;=A342),1,0)</f>
        <v>0</v>
      </c>
      <c r="AA342" s="5" t="n">
        <f aca="false">U342*Z342</f>
        <v>0</v>
      </c>
      <c r="AC342" s="115" t="n">
        <f aca="false">IF(G335=2,F342*(S342-Q342),F342*(Q342-S342))</f>
        <v>0</v>
      </c>
      <c r="AE342" s="116" t="n">
        <f aca="false">IF($G$3=1,F342*(R342-Q342),F342*(Q342-R342))</f>
        <v>0</v>
      </c>
      <c r="AG342" s="116" t="n">
        <f aca="false">AC342+AE342</f>
        <v>0</v>
      </c>
    </row>
    <row r="343" customFormat="false" ht="12" hidden="false" customHeight="true" outlineLevel="0" collapsed="false">
      <c r="A343" s="120" t="n">
        <f aca="false">EDATE(A342,1)</f>
        <v>47423</v>
      </c>
      <c r="B343" s="121" t="e">
        <f aca="false">VLOOKUP(A343,'Inputs-Summary'!$A$32:$B$41,2,FALSE())</f>
        <v>#N/A</v>
      </c>
      <c r="C343" s="122"/>
      <c r="D343" s="123" t="e">
        <f aca="false">B343+C343</f>
        <v>#N/A</v>
      </c>
      <c r="E343" s="111" t="n">
        <f aca="false">IF(Z343=0,0,IF(AND(Z343=1,$H$3=1),D343*U343,IF($H$3=2,D343,"N/A")))</f>
        <v>0</v>
      </c>
      <c r="F343" s="111" t="n">
        <f aca="false">E343*Y343</f>
        <v>0</v>
      </c>
      <c r="G343" s="124" t="n">
        <f aca="false">VLOOKUP($A343,Table,MATCH(G$4,Curves,0))</f>
        <v>3</v>
      </c>
      <c r="H343" s="125" t="n">
        <f aca="false">G343+$H$7</f>
        <v>3</v>
      </c>
      <c r="I343" s="124" t="n">
        <f aca="false">H343</f>
        <v>3</v>
      </c>
      <c r="J343" s="124" t="n">
        <f aca="false">VLOOKUP($A343,Table,MATCH(J$4,Curves,0))</f>
        <v>4</v>
      </c>
      <c r="K343" s="125" t="n">
        <f aca="false">J343+$K$7</f>
        <v>4</v>
      </c>
      <c r="L343" s="126" t="n">
        <f aca="false">K343</f>
        <v>4</v>
      </c>
      <c r="M343" s="124" t="n">
        <f aca="false">VLOOKUP($A343,Table,MATCH(M$4,Curves,0))</f>
        <v>4</v>
      </c>
      <c r="N343" s="125" t="n">
        <f aca="false">M343+$N$7</f>
        <v>4</v>
      </c>
      <c r="O343" s="126" t="n">
        <f aca="false">0.07</f>
        <v>0.07</v>
      </c>
      <c r="P343" s="114"/>
      <c r="Q343" s="126" t="n">
        <f aca="false">M343+J343+G343</f>
        <v>11</v>
      </c>
      <c r="R343" s="126" t="n">
        <f aca="false">N343+K343+H343</f>
        <v>11</v>
      </c>
      <c r="S343" s="126" t="n">
        <f aca="false">O343+L343+I343</f>
        <v>7.07</v>
      </c>
      <c r="T343" s="127"/>
      <c r="U343" s="5" t="n">
        <f aca="false">A344-A343</f>
        <v>30</v>
      </c>
      <c r="V343" s="128" t="n">
        <f aca="false">CHOOSE(F$3,A344+24,A343)</f>
        <v>47423</v>
      </c>
      <c r="W343" s="5" t="n">
        <f aca="false">V343-C$3</f>
        <v>10192</v>
      </c>
      <c r="X343" s="124" t="n">
        <f aca="false">VLOOKUP($A343,Table,MATCH(X$4,Curves,0))</f>
        <v>2</v>
      </c>
      <c r="Y343" s="129" t="n">
        <f aca="false">1/(1+CHOOSE(F$3,(X344+($K$3/10000))/2,(X343+($K$3/10000))/2))^(2*W343/365.25)</f>
        <v>1.58493883759166E-017</v>
      </c>
      <c r="Z343" s="5" t="n">
        <f aca="false">IF(AND(mthbeg&lt;=A343,mthend&gt;=A343),1,0)</f>
        <v>0</v>
      </c>
      <c r="AA343" s="5" t="n">
        <f aca="false">U343*Z343</f>
        <v>0</v>
      </c>
      <c r="AC343" s="115" t="n">
        <f aca="false">IF(G336=2,F343*(S343-Q343),F343*(Q343-S343))</f>
        <v>0</v>
      </c>
      <c r="AE343" s="116" t="n">
        <f aca="false">IF($G$3=1,F343*(R343-Q343),F343*(Q343-R343))</f>
        <v>0</v>
      </c>
      <c r="AG343" s="116" t="n">
        <f aca="false">AC343+AE343</f>
        <v>0</v>
      </c>
    </row>
    <row r="344" customFormat="false" ht="12" hidden="false" customHeight="true" outlineLevel="0" collapsed="false">
      <c r="A344" s="120" t="n">
        <f aca="false">EDATE(A343,1)</f>
        <v>47453</v>
      </c>
      <c r="B344" s="121" t="e">
        <f aca="false">VLOOKUP(A344,'Inputs-Summary'!$A$32:$B$41,2,FALSE())</f>
        <v>#N/A</v>
      </c>
      <c r="C344" s="122"/>
      <c r="D344" s="123" t="e">
        <f aca="false">B344+C344</f>
        <v>#N/A</v>
      </c>
      <c r="E344" s="111" t="n">
        <f aca="false">IF(Z344=0,0,IF(AND(Z344=1,$H$3=1),D344*U344,IF($H$3=2,D344,"N/A")))</f>
        <v>0</v>
      </c>
      <c r="F344" s="111" t="n">
        <f aca="false">E344*Y344</f>
        <v>0</v>
      </c>
      <c r="G344" s="124" t="n">
        <f aca="false">VLOOKUP($A344,Table,MATCH(G$4,Curves,0))</f>
        <v>3</v>
      </c>
      <c r="H344" s="125" t="n">
        <f aca="false">G344+$H$7</f>
        <v>3</v>
      </c>
      <c r="I344" s="124" t="n">
        <f aca="false">H344</f>
        <v>3</v>
      </c>
      <c r="J344" s="124" t="n">
        <f aca="false">VLOOKUP($A344,Table,MATCH(J$4,Curves,0))</f>
        <v>4</v>
      </c>
      <c r="K344" s="125" t="n">
        <f aca="false">J344+$K$7</f>
        <v>4</v>
      </c>
      <c r="L344" s="126" t="n">
        <f aca="false">K344</f>
        <v>4</v>
      </c>
      <c r="M344" s="124" t="n">
        <f aca="false">VLOOKUP($A344,Table,MATCH(M$4,Curves,0))</f>
        <v>4</v>
      </c>
      <c r="N344" s="125" t="n">
        <f aca="false">M344+$N$7</f>
        <v>4</v>
      </c>
      <c r="O344" s="126" t="n">
        <f aca="false">0.07</f>
        <v>0.07</v>
      </c>
      <c r="P344" s="114"/>
      <c r="Q344" s="126" t="n">
        <f aca="false">M344+J344+G344</f>
        <v>11</v>
      </c>
      <c r="R344" s="126" t="n">
        <f aca="false">N344+K344+H344</f>
        <v>11</v>
      </c>
      <c r="S344" s="126" t="n">
        <f aca="false">O344+L344+I344</f>
        <v>7.07</v>
      </c>
      <c r="T344" s="127"/>
      <c r="U344" s="5" t="n">
        <f aca="false">A345-A344</f>
        <v>31</v>
      </c>
      <c r="V344" s="128" t="n">
        <f aca="false">CHOOSE(F$3,A345+24,A344)</f>
        <v>47453</v>
      </c>
      <c r="W344" s="5" t="n">
        <f aca="false">V344-C$3</f>
        <v>10222</v>
      </c>
      <c r="X344" s="124" t="n">
        <f aca="false">VLOOKUP($A344,Table,MATCH(X$4,Curves,0))</f>
        <v>2</v>
      </c>
      <c r="Y344" s="129" t="n">
        <f aca="false">1/(1+CHOOSE(F$3,(X345+($K$3/10000))/2,(X344+($K$3/10000))/2))^(2*W344/365.25)</f>
        <v>1.41436660949288E-017</v>
      </c>
      <c r="Z344" s="5" t="n">
        <f aca="false">IF(AND(mthbeg&lt;=A344,mthend&gt;=A344),1,0)</f>
        <v>0</v>
      </c>
      <c r="AA344" s="5" t="n">
        <f aca="false">U344*Z344</f>
        <v>0</v>
      </c>
      <c r="AC344" s="115" t="n">
        <f aca="false">IF(G337=2,F344*(S344-Q344),F344*(Q344-S344))</f>
        <v>0</v>
      </c>
      <c r="AE344" s="116" t="n">
        <f aca="false">IF($G$3=1,F344*(R344-Q344),F344*(Q344-R344))</f>
        <v>0</v>
      </c>
      <c r="AG344" s="116" t="n">
        <f aca="false">AC344+AE344</f>
        <v>0</v>
      </c>
    </row>
    <row r="345" customFormat="false" ht="12" hidden="false" customHeight="true" outlineLevel="0" collapsed="false">
      <c r="A345" s="120" t="n">
        <f aca="false">EDATE(A344,1)</f>
        <v>47484</v>
      </c>
      <c r="B345" s="121" t="e">
        <f aca="false">VLOOKUP(A345,'Inputs-Summary'!$A$32:$B$41,2,FALSE())</f>
        <v>#N/A</v>
      </c>
      <c r="C345" s="122"/>
      <c r="D345" s="123" t="e">
        <f aca="false">B345+C345</f>
        <v>#N/A</v>
      </c>
      <c r="E345" s="111" t="n">
        <f aca="false">IF(Z345=0,0,IF(AND(Z345=1,$H$3=1),D345*U345,IF($H$3=2,D345,"N/A")))</f>
        <v>0</v>
      </c>
      <c r="F345" s="111" t="n">
        <f aca="false">E345*Y345</f>
        <v>0</v>
      </c>
      <c r="G345" s="124" t="n">
        <f aca="false">VLOOKUP($A345,Table,MATCH(G$4,Curves,0))</f>
        <v>3</v>
      </c>
      <c r="H345" s="125" t="n">
        <f aca="false">G345+$H$7</f>
        <v>3</v>
      </c>
      <c r="I345" s="124" t="n">
        <f aca="false">H345</f>
        <v>3</v>
      </c>
      <c r="J345" s="124" t="n">
        <f aca="false">VLOOKUP($A345,Table,MATCH(J$4,Curves,0))</f>
        <v>4</v>
      </c>
      <c r="K345" s="125" t="n">
        <f aca="false">J345+$K$7</f>
        <v>4</v>
      </c>
      <c r="L345" s="126" t="n">
        <f aca="false">K345</f>
        <v>4</v>
      </c>
      <c r="M345" s="124" t="n">
        <f aca="false">VLOOKUP($A345,Table,MATCH(M$4,Curves,0))</f>
        <v>4</v>
      </c>
      <c r="N345" s="125" t="n">
        <f aca="false">M345+$N$7</f>
        <v>4</v>
      </c>
      <c r="O345" s="126" t="n">
        <f aca="false">0.07</f>
        <v>0.07</v>
      </c>
      <c r="P345" s="114"/>
      <c r="Q345" s="126" t="n">
        <f aca="false">M345+J345+G345</f>
        <v>11</v>
      </c>
      <c r="R345" s="126" t="n">
        <f aca="false">N345+K345+H345</f>
        <v>11</v>
      </c>
      <c r="S345" s="126" t="n">
        <f aca="false">O345+L345+I345</f>
        <v>7.07</v>
      </c>
      <c r="T345" s="127"/>
      <c r="U345" s="5" t="n">
        <f aca="false">A346-A345</f>
        <v>31</v>
      </c>
      <c r="V345" s="128" t="n">
        <f aca="false">CHOOSE(F$3,A346+24,A345)</f>
        <v>47484</v>
      </c>
      <c r="W345" s="5" t="n">
        <f aca="false">V345-C$3</f>
        <v>10253</v>
      </c>
      <c r="X345" s="124" t="n">
        <f aca="false">VLOOKUP($A345,Table,MATCH(X$4,Curves,0))</f>
        <v>2</v>
      </c>
      <c r="Y345" s="129" t="n">
        <f aca="false">1/(1+CHOOSE(F$3,(X346+($K$3/10000))/2,(X345+($K$3/10000))/2))^(2*W345/365.25)</f>
        <v>1.25737010915643E-017</v>
      </c>
      <c r="Z345" s="5" t="n">
        <f aca="false">IF(AND(mthbeg&lt;=A345,mthend&gt;=A345),1,0)</f>
        <v>0</v>
      </c>
      <c r="AA345" s="5" t="n">
        <f aca="false">U345*Z345</f>
        <v>0</v>
      </c>
      <c r="AC345" s="115" t="n">
        <f aca="false">IF(G338=2,F345*(S345-Q345),F345*(Q345-S345))</f>
        <v>0</v>
      </c>
      <c r="AE345" s="116" t="n">
        <f aca="false">IF($G$3=1,F345*(R345-Q345),F345*(Q345-R345))</f>
        <v>0</v>
      </c>
      <c r="AG345" s="116" t="n">
        <f aca="false">AC345+AE345</f>
        <v>0</v>
      </c>
    </row>
    <row r="346" customFormat="false" ht="12" hidden="false" customHeight="true" outlineLevel="0" collapsed="false">
      <c r="A346" s="120" t="n">
        <f aca="false">EDATE(A345,1)</f>
        <v>47515</v>
      </c>
      <c r="B346" s="121" t="e">
        <f aca="false">VLOOKUP(A346,'Inputs-Summary'!$A$32:$B$41,2,FALSE())</f>
        <v>#N/A</v>
      </c>
      <c r="C346" s="122"/>
      <c r="D346" s="123" t="e">
        <f aca="false">B346+C346</f>
        <v>#N/A</v>
      </c>
      <c r="E346" s="111" t="n">
        <f aca="false">IF(Z346=0,0,IF(AND(Z346=1,$H$3=1),D346*U346,IF($H$3=2,D346,"N/A")))</f>
        <v>0</v>
      </c>
      <c r="F346" s="111" t="n">
        <f aca="false">E346*Y346</f>
        <v>0</v>
      </c>
      <c r="G346" s="124" t="n">
        <f aca="false">VLOOKUP($A346,Table,MATCH(G$4,Curves,0))</f>
        <v>3</v>
      </c>
      <c r="H346" s="125" t="n">
        <f aca="false">G346+$H$7</f>
        <v>3</v>
      </c>
      <c r="I346" s="124" t="n">
        <f aca="false">H346</f>
        <v>3</v>
      </c>
      <c r="J346" s="124" t="n">
        <f aca="false">VLOOKUP($A346,Table,MATCH(J$4,Curves,0))</f>
        <v>4</v>
      </c>
      <c r="K346" s="125" t="n">
        <f aca="false">J346+$K$7</f>
        <v>4</v>
      </c>
      <c r="L346" s="126" t="n">
        <f aca="false">K346</f>
        <v>4</v>
      </c>
      <c r="M346" s="124" t="n">
        <f aca="false">VLOOKUP($A346,Table,MATCH(M$4,Curves,0))</f>
        <v>4</v>
      </c>
      <c r="N346" s="125" t="n">
        <f aca="false">M346+$N$7</f>
        <v>4</v>
      </c>
      <c r="O346" s="126" t="n">
        <f aca="false">0.07</f>
        <v>0.07</v>
      </c>
      <c r="P346" s="114"/>
      <c r="Q346" s="126" t="n">
        <f aca="false">M346+J346+G346</f>
        <v>11</v>
      </c>
      <c r="R346" s="126" t="n">
        <f aca="false">N346+K346+H346</f>
        <v>11</v>
      </c>
      <c r="S346" s="126" t="n">
        <f aca="false">O346+L346+I346</f>
        <v>7.07</v>
      </c>
      <c r="T346" s="127"/>
      <c r="U346" s="5" t="n">
        <f aca="false">A347-A346</f>
        <v>28</v>
      </c>
      <c r="V346" s="128" t="n">
        <f aca="false">CHOOSE(F$3,A347+24,A346)</f>
        <v>47515</v>
      </c>
      <c r="W346" s="5" t="n">
        <f aca="false">V346-C$3</f>
        <v>10284</v>
      </c>
      <c r="X346" s="124" t="n">
        <f aca="false">VLOOKUP($A346,Table,MATCH(X$4,Curves,0))</f>
        <v>2</v>
      </c>
      <c r="Y346" s="129" t="n">
        <f aca="false">1/(1+CHOOSE(F$3,(X347+($K$3/10000))/2,(X346+($K$3/10000))/2))^(2*W346/365.25)</f>
        <v>1.11780042090142E-017</v>
      </c>
      <c r="Z346" s="5" t="n">
        <f aca="false">IF(AND(mthbeg&lt;=A346,mthend&gt;=A346),1,0)</f>
        <v>0</v>
      </c>
      <c r="AA346" s="5" t="n">
        <f aca="false">U346*Z346</f>
        <v>0</v>
      </c>
      <c r="AC346" s="115" t="n">
        <f aca="false">IF(G339=2,F346*(S346-Q346),F346*(Q346-S346))</f>
        <v>0</v>
      </c>
      <c r="AE346" s="116" t="n">
        <f aca="false">IF($G$3=1,F346*(R346-Q346),F346*(Q346-R346))</f>
        <v>0</v>
      </c>
      <c r="AG346" s="116" t="n">
        <f aca="false">AC346+AE346</f>
        <v>0</v>
      </c>
    </row>
    <row r="347" customFormat="false" ht="12" hidden="false" customHeight="true" outlineLevel="0" collapsed="false">
      <c r="A347" s="120" t="n">
        <f aca="false">EDATE(A346,1)</f>
        <v>47543</v>
      </c>
      <c r="B347" s="121" t="e">
        <f aca="false">VLOOKUP(A347,'Inputs-Summary'!$A$32:$B$41,2,FALSE())</f>
        <v>#N/A</v>
      </c>
      <c r="C347" s="122"/>
      <c r="D347" s="123" t="e">
        <f aca="false">B347+C347</f>
        <v>#N/A</v>
      </c>
      <c r="E347" s="111" t="n">
        <f aca="false">IF(Z347=0,0,IF(AND(Z347=1,$H$3=1),D347*U347,IF($H$3=2,D347,"N/A")))</f>
        <v>0</v>
      </c>
      <c r="F347" s="111" t="n">
        <f aca="false">E347*Y347</f>
        <v>0</v>
      </c>
      <c r="G347" s="124" t="n">
        <f aca="false">VLOOKUP($A347,Table,MATCH(G$4,Curves,0))</f>
        <v>3</v>
      </c>
      <c r="H347" s="125" t="n">
        <f aca="false">G347+$H$7</f>
        <v>3</v>
      </c>
      <c r="I347" s="124" t="n">
        <f aca="false">H347</f>
        <v>3</v>
      </c>
      <c r="J347" s="124" t="n">
        <f aca="false">VLOOKUP($A347,Table,MATCH(J$4,Curves,0))</f>
        <v>4</v>
      </c>
      <c r="K347" s="125" t="n">
        <f aca="false">J347+$K$7</f>
        <v>4</v>
      </c>
      <c r="L347" s="126" t="n">
        <f aca="false">K347</f>
        <v>4</v>
      </c>
      <c r="M347" s="124" t="n">
        <f aca="false">VLOOKUP($A347,Table,MATCH(M$4,Curves,0))</f>
        <v>4</v>
      </c>
      <c r="N347" s="125" t="n">
        <f aca="false">M347+$N$7</f>
        <v>4</v>
      </c>
      <c r="O347" s="126" t="n">
        <f aca="false">0.07</f>
        <v>0.07</v>
      </c>
      <c r="P347" s="114"/>
      <c r="Q347" s="126" t="n">
        <f aca="false">M347+J347+G347</f>
        <v>11</v>
      </c>
      <c r="R347" s="126" t="n">
        <f aca="false">N347+K347+H347</f>
        <v>11</v>
      </c>
      <c r="S347" s="126" t="n">
        <f aca="false">O347+L347+I347</f>
        <v>7.07</v>
      </c>
      <c r="T347" s="127"/>
      <c r="U347" s="5" t="n">
        <f aca="false">A348-A347</f>
        <v>31</v>
      </c>
      <c r="V347" s="128" t="n">
        <f aca="false">CHOOSE(F$3,A348+24,A347)</f>
        <v>47543</v>
      </c>
      <c r="W347" s="5" t="n">
        <f aca="false">V347-C$3</f>
        <v>10312</v>
      </c>
      <c r="X347" s="124" t="n">
        <f aca="false">VLOOKUP($A347,Table,MATCH(X$4,Curves,0))</f>
        <v>2</v>
      </c>
      <c r="Y347" s="129" t="n">
        <f aca="false">1/(1+CHOOSE(F$3,(X348+($K$3/10000))/2,(X347+($K$3/10000))/2))^(2*W347/365.25)</f>
        <v>1.00510274023925E-017</v>
      </c>
      <c r="Z347" s="5" t="n">
        <f aca="false">IF(AND(mthbeg&lt;=A347,mthend&gt;=A347),1,0)</f>
        <v>0</v>
      </c>
      <c r="AA347" s="5" t="n">
        <f aca="false">U347*Z347</f>
        <v>0</v>
      </c>
      <c r="AC347" s="115" t="n">
        <f aca="false">IF(G340=2,F347*(S347-Q347),F347*(Q347-S347))</f>
        <v>0</v>
      </c>
      <c r="AE347" s="116" t="n">
        <f aca="false">IF($G$3=1,F347*(R347-Q347),F347*(Q347-R347))</f>
        <v>0</v>
      </c>
      <c r="AG347" s="116" t="n">
        <f aca="false">AC347+AE347</f>
        <v>0</v>
      </c>
    </row>
    <row r="348" customFormat="false" ht="12" hidden="false" customHeight="true" outlineLevel="0" collapsed="false">
      <c r="A348" s="120" t="n">
        <f aca="false">EDATE(A347,1)</f>
        <v>47574</v>
      </c>
      <c r="B348" s="121" t="e">
        <f aca="false">VLOOKUP(A348,'Inputs-Summary'!$A$32:$B$41,2,FALSE())</f>
        <v>#N/A</v>
      </c>
      <c r="C348" s="122"/>
      <c r="D348" s="123" t="e">
        <f aca="false">B348+C348</f>
        <v>#N/A</v>
      </c>
      <c r="E348" s="111" t="n">
        <f aca="false">IF(Z348=0,0,IF(AND(Z348=1,$H$3=1),D348*U348,IF($H$3=2,D348,"N/A")))</f>
        <v>0</v>
      </c>
      <c r="F348" s="111" t="n">
        <f aca="false">E348*Y348</f>
        <v>0</v>
      </c>
      <c r="G348" s="124" t="n">
        <f aca="false">VLOOKUP($A348,Table,MATCH(G$4,Curves,0))</f>
        <v>3</v>
      </c>
      <c r="H348" s="125" t="n">
        <f aca="false">G348+$H$7</f>
        <v>3</v>
      </c>
      <c r="I348" s="124" t="n">
        <f aca="false">H348</f>
        <v>3</v>
      </c>
      <c r="J348" s="124" t="n">
        <f aca="false">VLOOKUP($A348,Table,MATCH(J$4,Curves,0))</f>
        <v>4</v>
      </c>
      <c r="K348" s="125" t="n">
        <f aca="false">J348+$K$7</f>
        <v>4</v>
      </c>
      <c r="L348" s="126" t="n">
        <f aca="false">K348</f>
        <v>4</v>
      </c>
      <c r="M348" s="124" t="n">
        <f aca="false">VLOOKUP($A348,Table,MATCH(M$4,Curves,0))</f>
        <v>4</v>
      </c>
      <c r="N348" s="125" t="n">
        <f aca="false">M348+$N$7</f>
        <v>4</v>
      </c>
      <c r="O348" s="126" t="n">
        <f aca="false">0.07</f>
        <v>0.07</v>
      </c>
      <c r="P348" s="114"/>
      <c r="Q348" s="126" t="n">
        <f aca="false">M348+J348+G348</f>
        <v>11</v>
      </c>
      <c r="R348" s="126" t="n">
        <f aca="false">N348+K348+H348</f>
        <v>11</v>
      </c>
      <c r="S348" s="126" t="n">
        <f aca="false">O348+L348+I348</f>
        <v>7.07</v>
      </c>
      <c r="T348" s="127"/>
      <c r="U348" s="5" t="n">
        <f aca="false">A349-A348</f>
        <v>30</v>
      </c>
      <c r="V348" s="128" t="n">
        <f aca="false">CHOOSE(F$3,A349+24,A348)</f>
        <v>47574</v>
      </c>
      <c r="W348" s="5" t="n">
        <f aca="false">V348-C$3</f>
        <v>10343</v>
      </c>
      <c r="X348" s="124" t="n">
        <f aca="false">VLOOKUP($A348,Table,MATCH(X$4,Curves,0))</f>
        <v>2</v>
      </c>
      <c r="Y348" s="129" t="n">
        <f aca="false">1/(1+CHOOSE(F$3,(X349+($K$3/10000))/2,(X348+($K$3/10000))/2))^(2*W348/365.25)</f>
        <v>8.93535052175182E-018</v>
      </c>
      <c r="Z348" s="5" t="n">
        <f aca="false">IF(AND(mthbeg&lt;=A348,mthend&gt;=A348),1,0)</f>
        <v>0</v>
      </c>
      <c r="AA348" s="5" t="n">
        <f aca="false">U348*Z348</f>
        <v>0</v>
      </c>
      <c r="AC348" s="115" t="n">
        <f aca="false">IF(G341=2,F348*(S348-Q348),F348*(Q348-S348))</f>
        <v>0</v>
      </c>
      <c r="AE348" s="116" t="n">
        <f aca="false">IF($G$3=1,F348*(R348-Q348),F348*(Q348-R348))</f>
        <v>0</v>
      </c>
      <c r="AG348" s="116" t="n">
        <f aca="false">AC348+AE348</f>
        <v>0</v>
      </c>
    </row>
    <row r="349" customFormat="false" ht="12" hidden="false" customHeight="true" outlineLevel="0" collapsed="false">
      <c r="A349" s="120" t="n">
        <f aca="false">EDATE(A348,1)</f>
        <v>47604</v>
      </c>
      <c r="B349" s="121" t="e">
        <f aca="false">VLOOKUP(A349,'Inputs-Summary'!$A$32:$B$41,2,FALSE())</f>
        <v>#N/A</v>
      </c>
      <c r="C349" s="122"/>
      <c r="D349" s="123" t="e">
        <f aca="false">B349+C349</f>
        <v>#N/A</v>
      </c>
      <c r="E349" s="111" t="n">
        <f aca="false">IF(Z349=0,0,IF(AND(Z349=1,$H$3=1),D349*U349,IF($H$3=2,D349,"N/A")))</f>
        <v>0</v>
      </c>
      <c r="F349" s="111" t="n">
        <f aca="false">E349*Y349</f>
        <v>0</v>
      </c>
      <c r="G349" s="124" t="n">
        <f aca="false">VLOOKUP($A349,Table,MATCH(G$4,Curves,0))</f>
        <v>3</v>
      </c>
      <c r="H349" s="125" t="n">
        <f aca="false">G349+$H$7</f>
        <v>3</v>
      </c>
      <c r="I349" s="124" t="n">
        <f aca="false">H349</f>
        <v>3</v>
      </c>
      <c r="J349" s="124" t="n">
        <f aca="false">VLOOKUP($A349,Table,MATCH(J$4,Curves,0))</f>
        <v>4</v>
      </c>
      <c r="K349" s="125" t="n">
        <f aca="false">J349+$K$7</f>
        <v>4</v>
      </c>
      <c r="L349" s="126" t="n">
        <f aca="false">K349</f>
        <v>4</v>
      </c>
      <c r="M349" s="124" t="n">
        <f aca="false">VLOOKUP($A349,Table,MATCH(M$4,Curves,0))</f>
        <v>4</v>
      </c>
      <c r="N349" s="125" t="n">
        <f aca="false">M349+$N$7</f>
        <v>4</v>
      </c>
      <c r="O349" s="126" t="n">
        <f aca="false">0.07</f>
        <v>0.07</v>
      </c>
      <c r="P349" s="114"/>
      <c r="Q349" s="126" t="n">
        <f aca="false">M349+J349+G349</f>
        <v>11</v>
      </c>
      <c r="R349" s="126" t="n">
        <f aca="false">N349+K349+H349</f>
        <v>11</v>
      </c>
      <c r="S349" s="126" t="n">
        <f aca="false">O349+L349+I349</f>
        <v>7.07</v>
      </c>
      <c r="T349" s="127"/>
      <c r="U349" s="5" t="n">
        <f aca="false">A350-A349</f>
        <v>31</v>
      </c>
      <c r="V349" s="128" t="n">
        <f aca="false">CHOOSE(F$3,A350+24,A349)</f>
        <v>47604</v>
      </c>
      <c r="W349" s="5" t="n">
        <f aca="false">V349-C$3</f>
        <v>10373</v>
      </c>
      <c r="X349" s="124" t="n">
        <f aca="false">VLOOKUP($A349,Table,MATCH(X$4,Curves,0))</f>
        <v>2</v>
      </c>
      <c r="Y349" s="129" t="n">
        <f aca="false">1/(1+CHOOSE(F$3,(X350+($K$3/10000))/2,(X349+($K$3/10000))/2))^(2*W349/365.25)</f>
        <v>7.97372183855626E-018</v>
      </c>
      <c r="Z349" s="5" t="n">
        <f aca="false">IF(AND(mthbeg&lt;=A349,mthend&gt;=A349),1,0)</f>
        <v>0</v>
      </c>
      <c r="AA349" s="5" t="n">
        <f aca="false">U349*Z349</f>
        <v>0</v>
      </c>
      <c r="AC349" s="115" t="n">
        <f aca="false">IF(G342=2,F349*(S349-Q349),F349*(Q349-S349))</f>
        <v>0</v>
      </c>
      <c r="AE349" s="116" t="n">
        <f aca="false">IF($G$3=1,F349*(R349-Q349),F349*(Q349-R349))</f>
        <v>0</v>
      </c>
      <c r="AG349" s="116" t="n">
        <f aca="false">AC349+AE349</f>
        <v>0</v>
      </c>
    </row>
    <row r="350" customFormat="false" ht="12" hidden="false" customHeight="true" outlineLevel="0" collapsed="false">
      <c r="A350" s="120" t="n">
        <f aca="false">EDATE(A349,1)</f>
        <v>47635</v>
      </c>
      <c r="B350" s="121" t="e">
        <f aca="false">VLOOKUP(A350,'Inputs-Summary'!$A$32:$B$41,2,FALSE())</f>
        <v>#N/A</v>
      </c>
      <c r="C350" s="122"/>
      <c r="D350" s="123" t="e">
        <f aca="false">B350+C350</f>
        <v>#N/A</v>
      </c>
      <c r="E350" s="111" t="n">
        <f aca="false">IF(Z350=0,0,IF(AND(Z350=1,$H$3=1),D350*U350,IF($H$3=2,D350,"N/A")))</f>
        <v>0</v>
      </c>
      <c r="F350" s="111" t="n">
        <f aca="false">E350*Y350</f>
        <v>0</v>
      </c>
      <c r="G350" s="124" t="n">
        <f aca="false">VLOOKUP($A350,Table,MATCH(G$4,Curves,0))</f>
        <v>3</v>
      </c>
      <c r="H350" s="125" t="n">
        <f aca="false">G350+$H$7</f>
        <v>3</v>
      </c>
      <c r="I350" s="124" t="n">
        <f aca="false">H350</f>
        <v>3</v>
      </c>
      <c r="J350" s="124" t="n">
        <f aca="false">VLOOKUP($A350,Table,MATCH(J$4,Curves,0))</f>
        <v>4</v>
      </c>
      <c r="K350" s="125" t="n">
        <f aca="false">J350+$K$7</f>
        <v>4</v>
      </c>
      <c r="L350" s="126" t="n">
        <f aca="false">K350</f>
        <v>4</v>
      </c>
      <c r="M350" s="124" t="n">
        <f aca="false">VLOOKUP($A350,Table,MATCH(M$4,Curves,0))</f>
        <v>4</v>
      </c>
      <c r="N350" s="125" t="n">
        <f aca="false">M350+$N$7</f>
        <v>4</v>
      </c>
      <c r="O350" s="126" t="n">
        <f aca="false">0.07</f>
        <v>0.07</v>
      </c>
      <c r="P350" s="114"/>
      <c r="Q350" s="126" t="n">
        <f aca="false">M350+J350+G350</f>
        <v>11</v>
      </c>
      <c r="R350" s="126" t="n">
        <f aca="false">N350+K350+H350</f>
        <v>11</v>
      </c>
      <c r="S350" s="126" t="n">
        <f aca="false">O350+L350+I350</f>
        <v>7.07</v>
      </c>
      <c r="T350" s="127"/>
      <c r="U350" s="5" t="n">
        <f aca="false">A351-A350</f>
        <v>30</v>
      </c>
      <c r="V350" s="128" t="n">
        <f aca="false">CHOOSE(F$3,A351+24,A350)</f>
        <v>47635</v>
      </c>
      <c r="W350" s="5" t="n">
        <f aca="false">V350-C$3</f>
        <v>10404</v>
      </c>
      <c r="X350" s="124" t="n">
        <f aca="false">VLOOKUP($A350,Table,MATCH(X$4,Curves,0))</f>
        <v>2</v>
      </c>
      <c r="Y350" s="129" t="n">
        <f aca="false">1/(1+CHOOSE(F$3,(X351+($K$3/10000))/2,(X350+($K$3/10000))/2))^(2*W350/365.25)</f>
        <v>7.08862852900868E-018</v>
      </c>
      <c r="Z350" s="5" t="n">
        <f aca="false">IF(AND(mthbeg&lt;=A350,mthend&gt;=A350),1,0)</f>
        <v>0</v>
      </c>
      <c r="AA350" s="5" t="n">
        <f aca="false">U350*Z350</f>
        <v>0</v>
      </c>
      <c r="AC350" s="115" t="n">
        <f aca="false">IF(G343=2,F350*(S350-Q350),F350*(Q350-S350))</f>
        <v>0</v>
      </c>
      <c r="AE350" s="116" t="n">
        <f aca="false">IF($G$3=1,F350*(R350-Q350),F350*(Q350-R350))</f>
        <v>0</v>
      </c>
      <c r="AG350" s="116" t="n">
        <f aca="false">AC350+AE350</f>
        <v>0</v>
      </c>
    </row>
    <row r="351" customFormat="false" ht="12" hidden="false" customHeight="true" outlineLevel="0" collapsed="false">
      <c r="A351" s="120" t="n">
        <f aca="false">EDATE(A350,1)</f>
        <v>47665</v>
      </c>
      <c r="B351" s="121" t="e">
        <f aca="false">VLOOKUP(A351,'Inputs-Summary'!$A$32:$B$41,2,FALSE())</f>
        <v>#N/A</v>
      </c>
      <c r="C351" s="122"/>
      <c r="D351" s="123" t="e">
        <f aca="false">B351+C351</f>
        <v>#N/A</v>
      </c>
      <c r="E351" s="111" t="n">
        <f aca="false">IF(Z351=0,0,IF(AND(Z351=1,$H$3=1),D351*U351,IF($H$3=2,D351,"N/A")))</f>
        <v>0</v>
      </c>
      <c r="F351" s="111" t="n">
        <f aca="false">E351*Y351</f>
        <v>0</v>
      </c>
      <c r="G351" s="124" t="n">
        <f aca="false">VLOOKUP($A351,Table,MATCH(G$4,Curves,0))</f>
        <v>3</v>
      </c>
      <c r="H351" s="125" t="n">
        <f aca="false">G351+$H$7</f>
        <v>3</v>
      </c>
      <c r="I351" s="124" t="n">
        <f aca="false">H351</f>
        <v>3</v>
      </c>
      <c r="J351" s="124" t="n">
        <f aca="false">VLOOKUP($A351,Table,MATCH(J$4,Curves,0))</f>
        <v>4</v>
      </c>
      <c r="K351" s="125" t="n">
        <f aca="false">J351+$K$7</f>
        <v>4</v>
      </c>
      <c r="L351" s="126" t="n">
        <f aca="false">K351</f>
        <v>4</v>
      </c>
      <c r="M351" s="124" t="n">
        <f aca="false">VLOOKUP($A351,Table,MATCH(M$4,Curves,0))</f>
        <v>4</v>
      </c>
      <c r="N351" s="125" t="n">
        <f aca="false">M351+$N$7</f>
        <v>4</v>
      </c>
      <c r="O351" s="126" t="n">
        <f aca="false">0.07</f>
        <v>0.07</v>
      </c>
      <c r="P351" s="114"/>
      <c r="Q351" s="126" t="n">
        <f aca="false">M351+J351+G351</f>
        <v>11</v>
      </c>
      <c r="R351" s="126" t="n">
        <f aca="false">N351+K351+H351</f>
        <v>11</v>
      </c>
      <c r="S351" s="126" t="n">
        <f aca="false">O351+L351+I351</f>
        <v>7.07</v>
      </c>
      <c r="T351" s="127"/>
      <c r="U351" s="5" t="n">
        <f aca="false">A352-A351</f>
        <v>31</v>
      </c>
      <c r="V351" s="128" t="n">
        <f aca="false">CHOOSE(F$3,A352+24,A351)</f>
        <v>47665</v>
      </c>
      <c r="W351" s="5" t="n">
        <f aca="false">V351-C$3</f>
        <v>10434</v>
      </c>
      <c r="X351" s="124" t="n">
        <f aca="false">VLOOKUP($A351,Table,MATCH(X$4,Curves,0))</f>
        <v>2</v>
      </c>
      <c r="Y351" s="129" t="n">
        <f aca="false">1/(1+CHOOSE(F$3,(X352+($K$3/10000))/2,(X351+($K$3/10000))/2))^(2*W351/365.25)</f>
        <v>6.32574536047276E-018</v>
      </c>
      <c r="Z351" s="5" t="n">
        <f aca="false">IF(AND(mthbeg&lt;=A351,mthend&gt;=A351),1,0)</f>
        <v>0</v>
      </c>
      <c r="AA351" s="5" t="n">
        <f aca="false">U351*Z351</f>
        <v>0</v>
      </c>
      <c r="AC351" s="115" t="n">
        <f aca="false">IF(G344=2,F351*(S351-Q351),F351*(Q351-S351))</f>
        <v>0</v>
      </c>
      <c r="AE351" s="116" t="n">
        <f aca="false">IF($G$3=1,F351*(R351-Q351),F351*(Q351-R351))</f>
        <v>0</v>
      </c>
      <c r="AG351" s="116" t="n">
        <f aca="false">AC351+AE351</f>
        <v>0</v>
      </c>
    </row>
    <row r="352" customFormat="false" ht="12" hidden="false" customHeight="true" outlineLevel="0" collapsed="false">
      <c r="A352" s="120" t="n">
        <f aca="false">EDATE(A351,1)</f>
        <v>47696</v>
      </c>
      <c r="B352" s="121" t="e">
        <f aca="false">VLOOKUP(A352,'Inputs-Summary'!$A$32:$B$41,2,FALSE())</f>
        <v>#N/A</v>
      </c>
      <c r="C352" s="122"/>
      <c r="D352" s="123" t="e">
        <f aca="false">B352+C352</f>
        <v>#N/A</v>
      </c>
      <c r="E352" s="111" t="n">
        <f aca="false">IF(Z352=0,0,IF(AND(Z352=1,$H$3=1),D352*U352,IF($H$3=2,D352,"N/A")))</f>
        <v>0</v>
      </c>
      <c r="F352" s="111" t="n">
        <f aca="false">E352*Y352</f>
        <v>0</v>
      </c>
      <c r="G352" s="124" t="n">
        <f aca="false">VLOOKUP($A352,Table,MATCH(G$4,Curves,0))</f>
        <v>3</v>
      </c>
      <c r="H352" s="125" t="n">
        <f aca="false">G352+$H$7</f>
        <v>3</v>
      </c>
      <c r="I352" s="124" t="n">
        <f aca="false">H352</f>
        <v>3</v>
      </c>
      <c r="J352" s="124" t="n">
        <f aca="false">VLOOKUP($A352,Table,MATCH(J$4,Curves,0))</f>
        <v>4</v>
      </c>
      <c r="K352" s="125" t="n">
        <f aca="false">J352+$K$7</f>
        <v>4</v>
      </c>
      <c r="L352" s="126" t="n">
        <f aca="false">K352</f>
        <v>4</v>
      </c>
      <c r="M352" s="124" t="n">
        <f aca="false">VLOOKUP($A352,Table,MATCH(M$4,Curves,0))</f>
        <v>4</v>
      </c>
      <c r="N352" s="125" t="n">
        <f aca="false">M352+$N$7</f>
        <v>4</v>
      </c>
      <c r="O352" s="126" t="n">
        <f aca="false">0.07</f>
        <v>0.07</v>
      </c>
      <c r="P352" s="114"/>
      <c r="Q352" s="126" t="n">
        <f aca="false">M352+J352+G352</f>
        <v>11</v>
      </c>
      <c r="R352" s="126" t="n">
        <f aca="false">N352+K352+H352</f>
        <v>11</v>
      </c>
      <c r="S352" s="126" t="n">
        <f aca="false">O352+L352+I352</f>
        <v>7.07</v>
      </c>
      <c r="T352" s="127"/>
      <c r="U352" s="5" t="n">
        <f aca="false">A353-A352</f>
        <v>31</v>
      </c>
      <c r="V352" s="128" t="n">
        <f aca="false">CHOOSE(F$3,A353+24,A352)</f>
        <v>47696</v>
      </c>
      <c r="W352" s="5" t="n">
        <f aca="false">V352-C$3</f>
        <v>10465</v>
      </c>
      <c r="X352" s="124" t="n">
        <f aca="false">VLOOKUP($A352,Table,MATCH(X$4,Curves,0))</f>
        <v>2</v>
      </c>
      <c r="Y352" s="129" t="n">
        <f aca="false">1/(1+CHOOSE(F$3,(X353+($K$3/10000))/2,(X352+($K$3/10000))/2))^(2*W352/365.25)</f>
        <v>5.62357954508362E-018</v>
      </c>
      <c r="Z352" s="5" t="n">
        <f aca="false">IF(AND(mthbeg&lt;=A352,mthend&gt;=A352),1,0)</f>
        <v>0</v>
      </c>
      <c r="AA352" s="5" t="n">
        <f aca="false">U352*Z352</f>
        <v>0</v>
      </c>
      <c r="AC352" s="115" t="n">
        <f aca="false">IF(G345=2,F352*(S352-Q352),F352*(Q352-S352))</f>
        <v>0</v>
      </c>
      <c r="AE352" s="116" t="n">
        <f aca="false">IF($G$3=1,F352*(R352-Q352),F352*(Q352-R352))</f>
        <v>0</v>
      </c>
      <c r="AG352" s="116" t="n">
        <f aca="false">AC352+AE352</f>
        <v>0</v>
      </c>
    </row>
    <row r="353" customFormat="false" ht="12" hidden="false" customHeight="true" outlineLevel="0" collapsed="false">
      <c r="A353" s="120" t="n">
        <f aca="false">EDATE(A352,1)</f>
        <v>47727</v>
      </c>
      <c r="B353" s="121" t="e">
        <f aca="false">VLOOKUP(A353,'Inputs-Summary'!$A$32:$B$41,2,FALSE())</f>
        <v>#N/A</v>
      </c>
      <c r="C353" s="122"/>
      <c r="D353" s="123" t="e">
        <f aca="false">B353+C353</f>
        <v>#N/A</v>
      </c>
      <c r="E353" s="111" t="n">
        <f aca="false">IF(Z353=0,0,IF(AND(Z353=1,$H$3=1),D353*U353,IF($H$3=2,D353,"N/A")))</f>
        <v>0</v>
      </c>
      <c r="F353" s="111" t="n">
        <f aca="false">E353*Y353</f>
        <v>0</v>
      </c>
      <c r="G353" s="124" t="n">
        <f aca="false">VLOOKUP($A353,Table,MATCH(G$4,Curves,0))</f>
        <v>3</v>
      </c>
      <c r="H353" s="125" t="n">
        <f aca="false">G353+$H$7</f>
        <v>3</v>
      </c>
      <c r="I353" s="124" t="n">
        <f aca="false">H353</f>
        <v>3</v>
      </c>
      <c r="J353" s="124" t="n">
        <f aca="false">VLOOKUP($A353,Table,MATCH(J$4,Curves,0))</f>
        <v>4</v>
      </c>
      <c r="K353" s="125" t="n">
        <f aca="false">J353+$K$7</f>
        <v>4</v>
      </c>
      <c r="L353" s="126" t="n">
        <f aca="false">K353</f>
        <v>4</v>
      </c>
      <c r="M353" s="124" t="n">
        <f aca="false">VLOOKUP($A353,Table,MATCH(M$4,Curves,0))</f>
        <v>4</v>
      </c>
      <c r="N353" s="125" t="n">
        <f aca="false">M353+$N$7</f>
        <v>4</v>
      </c>
      <c r="O353" s="126" t="n">
        <f aca="false">0.07</f>
        <v>0.07</v>
      </c>
      <c r="P353" s="114"/>
      <c r="Q353" s="126" t="n">
        <f aca="false">M353+J353+G353</f>
        <v>11</v>
      </c>
      <c r="R353" s="126" t="n">
        <f aca="false">N353+K353+H353</f>
        <v>11</v>
      </c>
      <c r="S353" s="126" t="n">
        <f aca="false">O353+L353+I353</f>
        <v>7.07</v>
      </c>
      <c r="T353" s="127"/>
      <c r="U353" s="5" t="n">
        <f aca="false">A354-A353</f>
        <v>30</v>
      </c>
      <c r="V353" s="128" t="n">
        <f aca="false">CHOOSE(F$3,A354+24,A353)</f>
        <v>47727</v>
      </c>
      <c r="W353" s="5" t="n">
        <f aca="false">V353-C$3</f>
        <v>10496</v>
      </c>
      <c r="X353" s="124" t="n">
        <f aca="false">VLOOKUP($A353,Table,MATCH(X$4,Curves,0))</f>
        <v>2</v>
      </c>
      <c r="Y353" s="129" t="n">
        <f aca="false">1/(1+CHOOSE(F$3,(X354+($K$3/10000))/2,(X353+($K$3/10000))/2))^(2*W353/365.25)</f>
        <v>4.9993550321348E-018</v>
      </c>
      <c r="Z353" s="5" t="n">
        <f aca="false">IF(AND(mthbeg&lt;=A353,mthend&gt;=A353),1,0)</f>
        <v>0</v>
      </c>
      <c r="AA353" s="5" t="n">
        <f aca="false">U353*Z353</f>
        <v>0</v>
      </c>
      <c r="AC353" s="115" t="n">
        <f aca="false">IF(G346=2,F353*(S353-Q353),F353*(Q353-S353))</f>
        <v>0</v>
      </c>
      <c r="AE353" s="116" t="n">
        <f aca="false">IF($G$3=1,F353*(R353-Q353),F353*(Q353-R353))</f>
        <v>0</v>
      </c>
      <c r="AG353" s="116" t="n">
        <f aca="false">AC353+AE353</f>
        <v>0</v>
      </c>
    </row>
    <row r="354" customFormat="false" ht="12" hidden="false" customHeight="true" outlineLevel="0" collapsed="false">
      <c r="A354" s="120" t="n">
        <f aca="false">EDATE(A353,1)</f>
        <v>47757</v>
      </c>
      <c r="B354" s="121" t="e">
        <f aca="false">VLOOKUP(A354,'Inputs-Summary'!$A$32:$B$41,2,FALSE())</f>
        <v>#N/A</v>
      </c>
      <c r="C354" s="122"/>
      <c r="D354" s="123" t="e">
        <f aca="false">B354+C354</f>
        <v>#N/A</v>
      </c>
      <c r="E354" s="111" t="n">
        <f aca="false">IF(Z354=0,0,IF(AND(Z354=1,$H$3=1),D354*U354,IF($H$3=2,D354,"N/A")))</f>
        <v>0</v>
      </c>
      <c r="F354" s="111" t="n">
        <f aca="false">E354*Y354</f>
        <v>0</v>
      </c>
      <c r="G354" s="124" t="n">
        <f aca="false">VLOOKUP($A354,Table,MATCH(G$4,Curves,0))</f>
        <v>3</v>
      </c>
      <c r="H354" s="125" t="n">
        <f aca="false">G354+$H$7</f>
        <v>3</v>
      </c>
      <c r="I354" s="124" t="n">
        <f aca="false">H354</f>
        <v>3</v>
      </c>
      <c r="J354" s="124" t="n">
        <f aca="false">VLOOKUP($A354,Table,MATCH(J$4,Curves,0))</f>
        <v>4</v>
      </c>
      <c r="K354" s="125" t="n">
        <f aca="false">J354+$K$7</f>
        <v>4</v>
      </c>
      <c r="L354" s="126" t="n">
        <f aca="false">K354</f>
        <v>4</v>
      </c>
      <c r="M354" s="124" t="n">
        <f aca="false">VLOOKUP($A354,Table,MATCH(M$4,Curves,0))</f>
        <v>4</v>
      </c>
      <c r="N354" s="125" t="n">
        <f aca="false">M354+$N$7</f>
        <v>4</v>
      </c>
      <c r="O354" s="126" t="n">
        <f aca="false">0.07</f>
        <v>0.07</v>
      </c>
      <c r="P354" s="114"/>
      <c r="Q354" s="126" t="n">
        <f aca="false">M354+J354+G354</f>
        <v>11</v>
      </c>
      <c r="R354" s="126" t="n">
        <f aca="false">N354+K354+H354</f>
        <v>11</v>
      </c>
      <c r="S354" s="126" t="n">
        <f aca="false">O354+L354+I354</f>
        <v>7.07</v>
      </c>
      <c r="T354" s="127"/>
      <c r="U354" s="5" t="n">
        <f aca="false">A355-A354</f>
        <v>31</v>
      </c>
      <c r="V354" s="128" t="n">
        <f aca="false">CHOOSE(F$3,A355+24,A354)</f>
        <v>47757</v>
      </c>
      <c r="W354" s="5" t="n">
        <f aca="false">V354-C$3</f>
        <v>10526</v>
      </c>
      <c r="X354" s="124" t="n">
        <f aca="false">VLOOKUP($A354,Table,MATCH(X$4,Curves,0))</f>
        <v>2</v>
      </c>
      <c r="Y354" s="129" t="n">
        <f aca="false">1/(1+CHOOSE(F$3,(X355+($K$3/10000))/2,(X354+($K$3/10000))/2))^(2*W354/365.25)</f>
        <v>4.46132094106298E-018</v>
      </c>
      <c r="Z354" s="5" t="n">
        <f aca="false">IF(AND(mthbeg&lt;=A354,mthend&gt;=A354),1,0)</f>
        <v>0</v>
      </c>
      <c r="AA354" s="5" t="n">
        <f aca="false">U354*Z354</f>
        <v>0</v>
      </c>
      <c r="AC354" s="115" t="n">
        <f aca="false">IF(G347=2,F354*(S354-Q354),F354*(Q354-S354))</f>
        <v>0</v>
      </c>
      <c r="AE354" s="116" t="n">
        <f aca="false">IF($G$3=1,F354*(R354-Q354),F354*(Q354-R354))</f>
        <v>0</v>
      </c>
      <c r="AG354" s="116" t="n">
        <f aca="false">AC354+AE354</f>
        <v>0</v>
      </c>
    </row>
    <row r="355" customFormat="false" ht="12" hidden="false" customHeight="true" outlineLevel="0" collapsed="false">
      <c r="A355" s="120" t="n">
        <f aca="false">EDATE(A354,1)</f>
        <v>47788</v>
      </c>
      <c r="B355" s="121" t="e">
        <f aca="false">VLOOKUP(A355,'Inputs-Summary'!$A$32:$B$41,2,FALSE())</f>
        <v>#N/A</v>
      </c>
      <c r="C355" s="122"/>
      <c r="D355" s="123" t="e">
        <f aca="false">B355+C355</f>
        <v>#N/A</v>
      </c>
      <c r="E355" s="111" t="n">
        <f aca="false">IF(Z355=0,0,IF(AND(Z355=1,$H$3=1),D355*U355,IF($H$3=2,D355,"N/A")))</f>
        <v>0</v>
      </c>
      <c r="F355" s="111" t="n">
        <f aca="false">E355*Y355</f>
        <v>0</v>
      </c>
      <c r="G355" s="124" t="n">
        <f aca="false">VLOOKUP($A355,Table,MATCH(G$4,Curves,0))</f>
        <v>3</v>
      </c>
      <c r="H355" s="125" t="n">
        <f aca="false">G355+$H$7</f>
        <v>3</v>
      </c>
      <c r="I355" s="124" t="n">
        <f aca="false">H355</f>
        <v>3</v>
      </c>
      <c r="J355" s="124" t="n">
        <f aca="false">VLOOKUP($A355,Table,MATCH(J$4,Curves,0))</f>
        <v>4</v>
      </c>
      <c r="K355" s="125" t="n">
        <f aca="false">J355+$K$7</f>
        <v>4</v>
      </c>
      <c r="L355" s="126" t="n">
        <f aca="false">K355</f>
        <v>4</v>
      </c>
      <c r="M355" s="124" t="n">
        <f aca="false">VLOOKUP($A355,Table,MATCH(M$4,Curves,0))</f>
        <v>4</v>
      </c>
      <c r="N355" s="125" t="n">
        <f aca="false">M355+$N$7</f>
        <v>4</v>
      </c>
      <c r="O355" s="126" t="n">
        <f aca="false">0.07</f>
        <v>0.07</v>
      </c>
      <c r="P355" s="114"/>
      <c r="Q355" s="126" t="n">
        <f aca="false">M355+J355+G355</f>
        <v>11</v>
      </c>
      <c r="R355" s="126" t="n">
        <f aca="false">N355+K355+H355</f>
        <v>11</v>
      </c>
      <c r="S355" s="126" t="n">
        <f aca="false">O355+L355+I355</f>
        <v>7.07</v>
      </c>
      <c r="T355" s="127"/>
      <c r="U355" s="5" t="n">
        <f aca="false">A356-A355</f>
        <v>30</v>
      </c>
      <c r="V355" s="128" t="n">
        <f aca="false">CHOOSE(F$3,A356+24,A355)</f>
        <v>47788</v>
      </c>
      <c r="W355" s="5" t="n">
        <f aca="false">V355-C$3</f>
        <v>10557</v>
      </c>
      <c r="X355" s="124" t="n">
        <f aca="false">VLOOKUP($A355,Table,MATCH(X$4,Curves,0))</f>
        <v>2</v>
      </c>
      <c r="Y355" s="129" t="n">
        <f aca="false">1/(1+CHOOSE(F$3,(X356+($K$3/10000))/2,(X355+($K$3/10000))/2))^(2*W355/365.25)</f>
        <v>3.96610861780562E-018</v>
      </c>
      <c r="Z355" s="5" t="n">
        <f aca="false">IF(AND(mthbeg&lt;=A355,mthend&gt;=A355),1,0)</f>
        <v>0</v>
      </c>
      <c r="AA355" s="5" t="n">
        <f aca="false">U355*Z355</f>
        <v>0</v>
      </c>
      <c r="AC355" s="115" t="n">
        <f aca="false">IF(G348=2,F355*(S355-Q355),F355*(Q355-S355))</f>
        <v>0</v>
      </c>
      <c r="AE355" s="116" t="n">
        <f aca="false">IF($G$3=1,F355*(R355-Q355),F355*(Q355-R355))</f>
        <v>0</v>
      </c>
      <c r="AG355" s="116" t="n">
        <f aca="false">AC355+AE355</f>
        <v>0</v>
      </c>
    </row>
    <row r="356" customFormat="false" ht="12" hidden="false" customHeight="true" outlineLevel="0" collapsed="false">
      <c r="A356" s="120" t="n">
        <f aca="false">EDATE(A355,1)</f>
        <v>47818</v>
      </c>
      <c r="B356" s="121" t="e">
        <f aca="false">VLOOKUP(A356,'Inputs-Summary'!$A$32:$B$41,2,FALSE())</f>
        <v>#N/A</v>
      </c>
      <c r="C356" s="122"/>
      <c r="D356" s="123" t="e">
        <f aca="false">B356+C356</f>
        <v>#N/A</v>
      </c>
      <c r="E356" s="111" t="n">
        <f aca="false">IF(Z356=0,0,IF(AND(Z356=1,$H$3=1),D356*U356,IF($H$3=2,D356,"N/A")))</f>
        <v>0</v>
      </c>
      <c r="F356" s="111" t="n">
        <f aca="false">E356*Y356</f>
        <v>0</v>
      </c>
      <c r="G356" s="124" t="n">
        <f aca="false">VLOOKUP($A356,Table,MATCH(G$4,Curves,0))</f>
        <v>3</v>
      </c>
      <c r="H356" s="125" t="n">
        <f aca="false">G356+$H$7</f>
        <v>3</v>
      </c>
      <c r="I356" s="124" t="n">
        <f aca="false">H356</f>
        <v>3</v>
      </c>
      <c r="J356" s="124" t="n">
        <f aca="false">VLOOKUP($A356,Table,MATCH(J$4,Curves,0))</f>
        <v>4</v>
      </c>
      <c r="K356" s="125" t="n">
        <f aca="false">J356+$K$7</f>
        <v>4</v>
      </c>
      <c r="L356" s="126" t="n">
        <f aca="false">K356</f>
        <v>4</v>
      </c>
      <c r="M356" s="124" t="n">
        <f aca="false">VLOOKUP($A356,Table,MATCH(M$4,Curves,0))</f>
        <v>4</v>
      </c>
      <c r="N356" s="125" t="n">
        <f aca="false">M356+$N$7</f>
        <v>4</v>
      </c>
      <c r="O356" s="126" t="n">
        <f aca="false">0.07</f>
        <v>0.07</v>
      </c>
      <c r="P356" s="114"/>
      <c r="Q356" s="126" t="n">
        <f aca="false">M356+J356+G356</f>
        <v>11</v>
      </c>
      <c r="R356" s="126" t="n">
        <f aca="false">N356+K356+H356</f>
        <v>11</v>
      </c>
      <c r="S356" s="126" t="n">
        <f aca="false">O356+L356+I356</f>
        <v>7.07</v>
      </c>
      <c r="T356" s="127"/>
      <c r="U356" s="5" t="n">
        <f aca="false">A357-A356</f>
        <v>31</v>
      </c>
      <c r="V356" s="128" t="n">
        <f aca="false">CHOOSE(F$3,A357+24,A356)</f>
        <v>47818</v>
      </c>
      <c r="W356" s="5" t="n">
        <f aca="false">V356-C$3</f>
        <v>10587</v>
      </c>
      <c r="X356" s="124" t="n">
        <f aca="false">VLOOKUP($A356,Table,MATCH(X$4,Curves,0))</f>
        <v>2</v>
      </c>
      <c r="Y356" s="129" t="n">
        <f aca="false">1/(1+CHOOSE(F$3,(X357+($K$3/10000))/2,(X356+($K$3/10000))/2))^(2*W356/365.25)</f>
        <v>3.5392732297292E-018</v>
      </c>
      <c r="Z356" s="5" t="n">
        <f aca="false">IF(AND(mthbeg&lt;=A356,mthend&gt;=A356),1,0)</f>
        <v>0</v>
      </c>
      <c r="AA356" s="5" t="n">
        <f aca="false">U356*Z356</f>
        <v>0</v>
      </c>
      <c r="AC356" s="115" t="n">
        <f aca="false">IF(G349=2,F356*(S356-Q356),F356*(Q356-S356))</f>
        <v>0</v>
      </c>
      <c r="AE356" s="116" t="n">
        <f aca="false">IF($G$3=1,F356*(R356-Q356),F356*(Q356-R356))</f>
        <v>0</v>
      </c>
      <c r="AG356" s="116" t="n">
        <f aca="false">AC356+AE356</f>
        <v>0</v>
      </c>
    </row>
    <row r="357" customFormat="false" ht="12" hidden="false" customHeight="true" outlineLevel="0" collapsed="false">
      <c r="A357" s="120" t="n">
        <f aca="false">EDATE(A356,1)</f>
        <v>47849</v>
      </c>
      <c r="B357" s="121" t="e">
        <f aca="false">VLOOKUP(A357,'Inputs-Summary'!$A$32:$B$41,2,FALSE())</f>
        <v>#N/A</v>
      </c>
      <c r="C357" s="122"/>
      <c r="D357" s="123" t="e">
        <f aca="false">B357+C357</f>
        <v>#N/A</v>
      </c>
      <c r="E357" s="111" t="n">
        <f aca="false">IF(Z357=0,0,IF(AND(Z357=1,$H$3=1),D357*U357,IF($H$3=2,D357,"N/A")))</f>
        <v>0</v>
      </c>
      <c r="F357" s="111" t="n">
        <f aca="false">E357*Y357</f>
        <v>0</v>
      </c>
      <c r="G357" s="124" t="n">
        <f aca="false">VLOOKUP($A357,Table,MATCH(G$4,Curves,0))</f>
        <v>3</v>
      </c>
      <c r="H357" s="125" t="n">
        <f aca="false">G357+$H$7</f>
        <v>3</v>
      </c>
      <c r="I357" s="124" t="n">
        <f aca="false">H357</f>
        <v>3</v>
      </c>
      <c r="J357" s="124" t="n">
        <f aca="false">VLOOKUP($A357,Table,MATCH(J$4,Curves,0))</f>
        <v>4</v>
      </c>
      <c r="K357" s="125" t="n">
        <f aca="false">J357+$K$7</f>
        <v>4</v>
      </c>
      <c r="L357" s="126" t="n">
        <f aca="false">K357</f>
        <v>4</v>
      </c>
      <c r="M357" s="124" t="n">
        <f aca="false">VLOOKUP($A357,Table,MATCH(M$4,Curves,0))</f>
        <v>4</v>
      </c>
      <c r="N357" s="125" t="n">
        <f aca="false">M357+$N$7</f>
        <v>4</v>
      </c>
      <c r="O357" s="126" t="n">
        <f aca="false">0.07</f>
        <v>0.07</v>
      </c>
      <c r="P357" s="114"/>
      <c r="Q357" s="126" t="n">
        <f aca="false">M357+J357+G357</f>
        <v>11</v>
      </c>
      <c r="R357" s="126" t="n">
        <f aca="false">N357+K357+H357</f>
        <v>11</v>
      </c>
      <c r="S357" s="126" t="n">
        <f aca="false">O357+L357+I357</f>
        <v>7.07</v>
      </c>
      <c r="T357" s="127"/>
      <c r="U357" s="5" t="n">
        <f aca="false">A358-A357</f>
        <v>31</v>
      </c>
      <c r="V357" s="128" t="n">
        <f aca="false">CHOOSE(F$3,A358+24,A357)</f>
        <v>47849</v>
      </c>
      <c r="W357" s="5" t="n">
        <f aca="false">V357-C$3</f>
        <v>10618</v>
      </c>
      <c r="X357" s="124" t="n">
        <f aca="false">VLOOKUP($A357,Table,MATCH(X$4,Curves,0))</f>
        <v>2</v>
      </c>
      <c r="Y357" s="129" t="n">
        <f aca="false">1/(1+CHOOSE(F$3,(X358+($K$3/10000))/2,(X357+($K$3/10000))/2))^(2*W357/365.25)</f>
        <v>3.14640938023462E-018</v>
      </c>
      <c r="Z357" s="5" t="n">
        <f aca="false">IF(AND(mthbeg&lt;=A357,mthend&gt;=A357),1,0)</f>
        <v>0</v>
      </c>
      <c r="AA357" s="5" t="n">
        <f aca="false">U357*Z357</f>
        <v>0</v>
      </c>
      <c r="AC357" s="115" t="n">
        <f aca="false">IF(G350=2,F357*(S357-Q357),F357*(Q357-S357))</f>
        <v>0</v>
      </c>
      <c r="AE357" s="116" t="n">
        <f aca="false">IF($G$3=1,F357*(R357-Q357),F357*(Q357-R357))</f>
        <v>0</v>
      </c>
      <c r="AG357" s="116" t="n">
        <f aca="false">AC357+AE357</f>
        <v>0</v>
      </c>
    </row>
    <row r="358" customFormat="false" ht="12" hidden="false" customHeight="true" outlineLevel="0" collapsed="false">
      <c r="A358" s="120" t="n">
        <f aca="false">EDATE(A357,1)</f>
        <v>47880</v>
      </c>
      <c r="B358" s="121" t="e">
        <f aca="false">VLOOKUP(A358,'Inputs-Summary'!$A$32:$B$41,2,FALSE())</f>
        <v>#N/A</v>
      </c>
      <c r="C358" s="122"/>
      <c r="D358" s="123" t="e">
        <f aca="false">B358+C358</f>
        <v>#N/A</v>
      </c>
      <c r="E358" s="111" t="n">
        <f aca="false">IF(Z358=0,0,IF(AND(Z358=1,$H$3=1),D358*U358,IF($H$3=2,D358,"N/A")))</f>
        <v>0</v>
      </c>
      <c r="F358" s="111" t="n">
        <f aca="false">E358*Y358</f>
        <v>0</v>
      </c>
      <c r="G358" s="124" t="n">
        <f aca="false">VLOOKUP($A358,Table,MATCH(G$4,Curves,0))</f>
        <v>3</v>
      </c>
      <c r="H358" s="125" t="n">
        <f aca="false">G358+$H$7</f>
        <v>3</v>
      </c>
      <c r="I358" s="124" t="n">
        <f aca="false">H358</f>
        <v>3</v>
      </c>
      <c r="J358" s="124" t="n">
        <f aca="false">VLOOKUP($A358,Table,MATCH(J$4,Curves,0))</f>
        <v>4</v>
      </c>
      <c r="K358" s="125" t="n">
        <f aca="false">J358+$K$7</f>
        <v>4</v>
      </c>
      <c r="L358" s="126" t="n">
        <f aca="false">K358</f>
        <v>4</v>
      </c>
      <c r="M358" s="124" t="n">
        <f aca="false">VLOOKUP($A358,Table,MATCH(M$4,Curves,0))</f>
        <v>4</v>
      </c>
      <c r="N358" s="125" t="n">
        <f aca="false">M358+$N$7</f>
        <v>4</v>
      </c>
      <c r="O358" s="126" t="n">
        <f aca="false">0.07</f>
        <v>0.07</v>
      </c>
      <c r="P358" s="114"/>
      <c r="Q358" s="126" t="n">
        <f aca="false">M358+J358+G358</f>
        <v>11</v>
      </c>
      <c r="R358" s="126" t="n">
        <f aca="false">N358+K358+H358</f>
        <v>11</v>
      </c>
      <c r="S358" s="126" t="n">
        <f aca="false">O358+L358+I358</f>
        <v>7.07</v>
      </c>
      <c r="T358" s="127"/>
      <c r="U358" s="5" t="n">
        <f aca="false">A359-A358</f>
        <v>28</v>
      </c>
      <c r="V358" s="128" t="n">
        <f aca="false">CHOOSE(F$3,A359+24,A358)</f>
        <v>47880</v>
      </c>
      <c r="W358" s="5" t="n">
        <f aca="false">V358-C$3</f>
        <v>10649</v>
      </c>
      <c r="X358" s="124" t="n">
        <f aca="false">VLOOKUP($A358,Table,MATCH(X$4,Curves,0))</f>
        <v>2</v>
      </c>
      <c r="Y358" s="129" t="n">
        <f aca="false">1/(1+CHOOSE(F$3,(X359+($K$3/10000))/2,(X358+($K$3/10000))/2))^(2*W358/365.25)</f>
        <v>2.79715391987012E-018</v>
      </c>
      <c r="Z358" s="5" t="n">
        <f aca="false">IF(AND(mthbeg&lt;=A358,mthend&gt;=A358),1,0)</f>
        <v>0</v>
      </c>
      <c r="AA358" s="5" t="n">
        <f aca="false">U358*Z358</f>
        <v>0</v>
      </c>
      <c r="AC358" s="115" t="n">
        <f aca="false">IF(G351=2,F358*(S358-Q358),F358*(Q358-S358))</f>
        <v>0</v>
      </c>
      <c r="AE358" s="116" t="n">
        <f aca="false">IF($G$3=1,F358*(R358-Q358),F358*(Q358-R358))</f>
        <v>0</v>
      </c>
      <c r="AG358" s="116" t="n">
        <f aca="false">AC358+AE358</f>
        <v>0</v>
      </c>
    </row>
    <row r="359" customFormat="false" ht="12" hidden="false" customHeight="true" outlineLevel="0" collapsed="false">
      <c r="A359" s="120" t="n">
        <f aca="false">EDATE(A358,1)</f>
        <v>47908</v>
      </c>
      <c r="B359" s="121" t="e">
        <f aca="false">VLOOKUP(A359,'Inputs-Summary'!$A$32:$B$41,2,FALSE())</f>
        <v>#N/A</v>
      </c>
      <c r="C359" s="122"/>
      <c r="D359" s="123" t="e">
        <f aca="false">B359+C359</f>
        <v>#N/A</v>
      </c>
      <c r="E359" s="111" t="n">
        <f aca="false">IF(Z359=0,0,IF(AND(Z359=1,$H$3=1),D359*U359,IF($H$3=2,D359,"N/A")))</f>
        <v>0</v>
      </c>
      <c r="F359" s="111" t="n">
        <f aca="false">E359*Y359</f>
        <v>0</v>
      </c>
      <c r="G359" s="124" t="n">
        <f aca="false">VLOOKUP($A359,Table,MATCH(G$4,Curves,0))</f>
        <v>3</v>
      </c>
      <c r="H359" s="125" t="n">
        <f aca="false">G359+$H$7</f>
        <v>3</v>
      </c>
      <c r="I359" s="124" t="n">
        <f aca="false">H359</f>
        <v>3</v>
      </c>
      <c r="J359" s="124" t="n">
        <f aca="false">VLOOKUP($A359,Table,MATCH(J$4,Curves,0))</f>
        <v>4</v>
      </c>
      <c r="K359" s="125" t="n">
        <f aca="false">J359+$K$7</f>
        <v>4</v>
      </c>
      <c r="L359" s="126" t="n">
        <f aca="false">K359</f>
        <v>4</v>
      </c>
      <c r="M359" s="124" t="n">
        <f aca="false">VLOOKUP($A359,Table,MATCH(M$4,Curves,0))</f>
        <v>4</v>
      </c>
      <c r="N359" s="125" t="n">
        <f aca="false">M359+$N$7</f>
        <v>4</v>
      </c>
      <c r="O359" s="126" t="n">
        <f aca="false">0.07</f>
        <v>0.07</v>
      </c>
      <c r="P359" s="114"/>
      <c r="Q359" s="126" t="n">
        <f aca="false">M359+J359+G359</f>
        <v>11</v>
      </c>
      <c r="R359" s="126" t="n">
        <f aca="false">N359+K359+H359</f>
        <v>11</v>
      </c>
      <c r="S359" s="126" t="n">
        <f aca="false">O359+L359+I359</f>
        <v>7.07</v>
      </c>
      <c r="T359" s="127"/>
      <c r="U359" s="5" t="n">
        <f aca="false">A360-A359</f>
        <v>31</v>
      </c>
      <c r="V359" s="128" t="n">
        <f aca="false">CHOOSE(F$3,A360+24,A359)</f>
        <v>47908</v>
      </c>
      <c r="W359" s="5" t="n">
        <f aca="false">V359-C$3</f>
        <v>10677</v>
      </c>
      <c r="X359" s="124" t="n">
        <f aca="false">VLOOKUP($A359,Table,MATCH(X$4,Curves,0))</f>
        <v>2</v>
      </c>
      <c r="Y359" s="129" t="n">
        <f aca="false">1/(1+CHOOSE(F$3,(X360+($K$3/10000))/2,(X359+($K$3/10000))/2))^(2*W359/365.25)</f>
        <v>2.51514225362807E-018</v>
      </c>
      <c r="Z359" s="5" t="n">
        <f aca="false">IF(AND(mthbeg&lt;=A359,mthend&gt;=A359),1,0)</f>
        <v>0</v>
      </c>
      <c r="AA359" s="5" t="n">
        <f aca="false">U359*Z359</f>
        <v>0</v>
      </c>
      <c r="AC359" s="115" t="n">
        <f aca="false">IF(G352=2,F359*(S359-Q359),F359*(Q359-S359))</f>
        <v>0</v>
      </c>
      <c r="AE359" s="116" t="n">
        <f aca="false">IF($G$3=1,F359*(R359-Q359),F359*(Q359-R359))</f>
        <v>0</v>
      </c>
      <c r="AG359" s="116" t="n">
        <f aca="false">AC359+AE359</f>
        <v>0</v>
      </c>
    </row>
    <row r="360" customFormat="false" ht="12" hidden="false" customHeight="true" outlineLevel="0" collapsed="false">
      <c r="A360" s="120" t="n">
        <f aca="false">EDATE(A359,1)</f>
        <v>47939</v>
      </c>
      <c r="B360" s="121" t="e">
        <f aca="false">VLOOKUP(A360,'Inputs-Summary'!$A$32:$B$41,2,FALSE())</f>
        <v>#N/A</v>
      </c>
      <c r="C360" s="122"/>
      <c r="D360" s="123" t="e">
        <f aca="false">B360+C360</f>
        <v>#N/A</v>
      </c>
      <c r="E360" s="111" t="n">
        <f aca="false">IF(Z360=0,0,IF(AND(Z360=1,$H$3=1),D360*U360,IF($H$3=2,D360,"N/A")))</f>
        <v>0</v>
      </c>
      <c r="F360" s="111" t="n">
        <f aca="false">E360*Y360</f>
        <v>0</v>
      </c>
      <c r="G360" s="124" t="n">
        <f aca="false">VLOOKUP($A360,Table,MATCH(G$4,Curves,0))</f>
        <v>3</v>
      </c>
      <c r="H360" s="125" t="n">
        <f aca="false">G360+$H$7</f>
        <v>3</v>
      </c>
      <c r="I360" s="124" t="n">
        <f aca="false">H360</f>
        <v>3</v>
      </c>
      <c r="J360" s="124" t="n">
        <f aca="false">VLOOKUP($A360,Table,MATCH(J$4,Curves,0))</f>
        <v>4</v>
      </c>
      <c r="K360" s="125" t="n">
        <f aca="false">J360+$K$7</f>
        <v>4</v>
      </c>
      <c r="L360" s="126" t="n">
        <f aca="false">K360</f>
        <v>4</v>
      </c>
      <c r="M360" s="124" t="n">
        <f aca="false">VLOOKUP($A360,Table,MATCH(M$4,Curves,0))</f>
        <v>4</v>
      </c>
      <c r="N360" s="125" t="n">
        <f aca="false">M360+$N$7</f>
        <v>4</v>
      </c>
      <c r="O360" s="126" t="n">
        <f aca="false">0.07</f>
        <v>0.07</v>
      </c>
      <c r="P360" s="114"/>
      <c r="Q360" s="126" t="n">
        <f aca="false">M360+J360+G360</f>
        <v>11</v>
      </c>
      <c r="R360" s="126" t="n">
        <f aca="false">N360+K360+H360</f>
        <v>11</v>
      </c>
      <c r="S360" s="126" t="n">
        <f aca="false">O360+L360+I360</f>
        <v>7.07</v>
      </c>
      <c r="T360" s="127"/>
      <c r="U360" s="5" t="n">
        <f aca="false">A361-A360</f>
        <v>30</v>
      </c>
      <c r="V360" s="128" t="n">
        <f aca="false">CHOOSE(F$3,A361+24,A360)</f>
        <v>47939</v>
      </c>
      <c r="W360" s="5" t="n">
        <f aca="false">V360-C$3</f>
        <v>10708</v>
      </c>
      <c r="X360" s="124" t="n">
        <f aca="false">VLOOKUP($A360,Table,MATCH(X$4,Curves,0))</f>
        <v>2</v>
      </c>
      <c r="Y360" s="129" t="n">
        <f aca="false">1/(1+CHOOSE(F$3,(X361+($K$3/10000))/2,(X360+($K$3/10000))/2))^(2*W360/365.25)</f>
        <v>2.23595825068451E-018</v>
      </c>
      <c r="Z360" s="5" t="n">
        <f aca="false">IF(AND(mthbeg&lt;=A360,mthend&gt;=A360),1,0)</f>
        <v>0</v>
      </c>
      <c r="AA360" s="5" t="n">
        <f aca="false">U360*Z360</f>
        <v>0</v>
      </c>
      <c r="AC360" s="115" t="n">
        <f aca="false">IF(G353=2,F360*(S360-Q360),F360*(Q360-S360))</f>
        <v>0</v>
      </c>
      <c r="AE360" s="116" t="n">
        <f aca="false">IF($G$3=1,F360*(R360-Q360),F360*(Q360-R360))</f>
        <v>0</v>
      </c>
      <c r="AG360" s="116" t="n">
        <f aca="false">AC360+AE360</f>
        <v>0</v>
      </c>
    </row>
    <row r="361" customFormat="false" ht="12" hidden="false" customHeight="true" outlineLevel="0" collapsed="false">
      <c r="A361" s="120" t="n">
        <f aca="false">EDATE(A360,1)</f>
        <v>47969</v>
      </c>
      <c r="B361" s="121" t="e">
        <f aca="false">VLOOKUP(A361,'Inputs-Summary'!$A$32:$B$41,2,FALSE())</f>
        <v>#N/A</v>
      </c>
      <c r="C361" s="122"/>
      <c r="D361" s="123" t="e">
        <f aca="false">B361+C361</f>
        <v>#N/A</v>
      </c>
      <c r="E361" s="111" t="n">
        <f aca="false">IF(Z361=0,0,IF(AND(Z361=1,$H$3=1),D361*U361,IF($H$3=2,D361,"N/A")))</f>
        <v>0</v>
      </c>
      <c r="F361" s="111" t="n">
        <f aca="false">E361*Y361</f>
        <v>0</v>
      </c>
      <c r="G361" s="124" t="n">
        <f aca="false">VLOOKUP($A361,Table,MATCH(G$4,Curves,0))</f>
        <v>3</v>
      </c>
      <c r="H361" s="125" t="n">
        <f aca="false">G361+$H$7</f>
        <v>3</v>
      </c>
      <c r="I361" s="124" t="n">
        <f aca="false">H361</f>
        <v>3</v>
      </c>
      <c r="J361" s="124" t="n">
        <f aca="false">VLOOKUP($A361,Table,MATCH(J$4,Curves,0))</f>
        <v>4</v>
      </c>
      <c r="K361" s="125" t="n">
        <f aca="false">J361+$K$7</f>
        <v>4</v>
      </c>
      <c r="L361" s="126" t="n">
        <f aca="false">K361</f>
        <v>4</v>
      </c>
      <c r="M361" s="124" t="n">
        <f aca="false">VLOOKUP($A361,Table,MATCH(M$4,Curves,0))</f>
        <v>4</v>
      </c>
      <c r="N361" s="125" t="n">
        <f aca="false">M361+$N$7</f>
        <v>4</v>
      </c>
      <c r="O361" s="126" t="n">
        <f aca="false">0.07</f>
        <v>0.07</v>
      </c>
      <c r="P361" s="114"/>
      <c r="Q361" s="126" t="n">
        <f aca="false">M361+J361+G361</f>
        <v>11</v>
      </c>
      <c r="R361" s="126" t="n">
        <f aca="false">N361+K361+H361</f>
        <v>11</v>
      </c>
      <c r="S361" s="126" t="n">
        <f aca="false">O361+L361+I361</f>
        <v>7.07</v>
      </c>
      <c r="T361" s="127"/>
      <c r="U361" s="5" t="n">
        <f aca="false">A362-A361</f>
        <v>31</v>
      </c>
      <c r="V361" s="128" t="n">
        <f aca="false">CHOOSE(F$3,A362+24,A361)</f>
        <v>47969</v>
      </c>
      <c r="W361" s="5" t="n">
        <f aca="false">V361-C$3</f>
        <v>10738</v>
      </c>
      <c r="X361" s="124" t="n">
        <f aca="false">VLOOKUP($A361,Table,MATCH(X$4,Curves,0))</f>
        <v>2</v>
      </c>
      <c r="Y361" s="129" t="n">
        <f aca="false">1/(1+CHOOSE(F$3,(X362+($K$3/10000))/2,(X361+($K$3/10000))/2))^(2*W361/365.25)</f>
        <v>1.99532285724899E-018</v>
      </c>
      <c r="Z361" s="5" t="n">
        <f aca="false">IF(AND(mthbeg&lt;=A361,mthend&gt;=A361),1,0)</f>
        <v>0</v>
      </c>
      <c r="AA361" s="5" t="n">
        <f aca="false">U361*Z361</f>
        <v>0</v>
      </c>
      <c r="AC361" s="115" t="n">
        <f aca="false">IF(G354=2,F361*(S361-Q361),F361*(Q361-S361))</f>
        <v>0</v>
      </c>
      <c r="AE361" s="116" t="n">
        <f aca="false">IF($G$3=1,F361*(R361-Q361),F361*(Q361-R361))</f>
        <v>0</v>
      </c>
      <c r="AG361" s="116" t="n">
        <f aca="false">AC361+AE361</f>
        <v>0</v>
      </c>
    </row>
    <row r="362" customFormat="false" ht="12" hidden="false" customHeight="true" outlineLevel="0" collapsed="false">
      <c r="A362" s="120" t="n">
        <f aca="false">EDATE(A361,1)</f>
        <v>48000</v>
      </c>
      <c r="B362" s="121" t="e">
        <f aca="false">VLOOKUP(A362,'Inputs-Summary'!$A$32:$B$41,2,FALSE())</f>
        <v>#N/A</v>
      </c>
      <c r="C362" s="122"/>
      <c r="D362" s="123" t="e">
        <f aca="false">B362+C362</f>
        <v>#N/A</v>
      </c>
      <c r="E362" s="111" t="n">
        <f aca="false">IF(Z362=0,0,IF(AND(Z362=1,$H$3=1),D362*U362,IF($H$3=2,D362,"N/A")))</f>
        <v>0</v>
      </c>
      <c r="F362" s="111" t="n">
        <f aca="false">E362*Y362</f>
        <v>0</v>
      </c>
      <c r="G362" s="124" t="n">
        <f aca="false">VLOOKUP($A362,Table,MATCH(G$4,Curves,0))</f>
        <v>3</v>
      </c>
      <c r="H362" s="125" t="n">
        <f aca="false">G362+$H$7</f>
        <v>3</v>
      </c>
      <c r="I362" s="124" t="n">
        <f aca="false">H362</f>
        <v>3</v>
      </c>
      <c r="J362" s="124" t="n">
        <f aca="false">VLOOKUP($A362,Table,MATCH(J$4,Curves,0))</f>
        <v>4</v>
      </c>
      <c r="K362" s="125" t="n">
        <f aca="false">J362+$K$7</f>
        <v>4</v>
      </c>
      <c r="L362" s="126" t="n">
        <f aca="false">K362</f>
        <v>4</v>
      </c>
      <c r="M362" s="124" t="n">
        <f aca="false">VLOOKUP($A362,Table,MATCH(M$4,Curves,0))</f>
        <v>4</v>
      </c>
      <c r="N362" s="125" t="n">
        <f aca="false">M362+$N$7</f>
        <v>4</v>
      </c>
      <c r="O362" s="126" t="n">
        <f aca="false">0.07</f>
        <v>0.07</v>
      </c>
      <c r="P362" s="114"/>
      <c r="Q362" s="126" t="n">
        <f aca="false">M362+J362+G362</f>
        <v>11</v>
      </c>
      <c r="R362" s="126" t="n">
        <f aca="false">N362+K362+H362</f>
        <v>11</v>
      </c>
      <c r="S362" s="126" t="n">
        <f aca="false">O362+L362+I362</f>
        <v>7.07</v>
      </c>
      <c r="T362" s="127"/>
      <c r="U362" s="5" t="n">
        <f aca="false">A363-A362</f>
        <v>30</v>
      </c>
      <c r="V362" s="128" t="n">
        <f aca="false">CHOOSE(F$3,A363+24,A362)</f>
        <v>48000</v>
      </c>
      <c r="W362" s="5" t="n">
        <f aca="false">V362-C$3</f>
        <v>10769</v>
      </c>
      <c r="X362" s="124" t="n">
        <f aca="false">VLOOKUP($A362,Table,MATCH(X$4,Curves,0))</f>
        <v>2</v>
      </c>
      <c r="Y362" s="129" t="n">
        <f aca="false">1/(1+CHOOSE(F$3,(X363+($K$3/10000))/2,(X362+($K$3/10000))/2))^(2*W362/365.25)</f>
        <v>1.77383947131009E-018</v>
      </c>
      <c r="Z362" s="5" t="n">
        <f aca="false">IF(AND(mthbeg&lt;=A362,mthend&gt;=A362),1,0)</f>
        <v>0</v>
      </c>
      <c r="AA362" s="5" t="n">
        <f aca="false">U362*Z362</f>
        <v>0</v>
      </c>
      <c r="AC362" s="115" t="n">
        <f aca="false">IF(G355=2,F362*(S362-Q362),F362*(Q362-S362))</f>
        <v>0</v>
      </c>
      <c r="AE362" s="116" t="n">
        <f aca="false">IF($G$3=1,F362*(R362-Q362),F362*(Q362-R362))</f>
        <v>0</v>
      </c>
      <c r="AG362" s="116" t="n">
        <f aca="false">AC362+AE362</f>
        <v>0</v>
      </c>
    </row>
    <row r="363" customFormat="false" ht="12" hidden="false" customHeight="true" outlineLevel="0" collapsed="false">
      <c r="A363" s="120" t="n">
        <f aca="false">EDATE(A362,1)</f>
        <v>48030</v>
      </c>
      <c r="B363" s="121" t="e">
        <f aca="false">VLOOKUP(A363,'Inputs-Summary'!$A$32:$B$41,2,FALSE())</f>
        <v>#N/A</v>
      </c>
      <c r="C363" s="122"/>
      <c r="D363" s="123" t="e">
        <f aca="false">B363+C363</f>
        <v>#N/A</v>
      </c>
      <c r="E363" s="111" t="n">
        <f aca="false">IF(Z363=0,0,IF(AND(Z363=1,$H$3=1),D363*U363,IF($H$3=2,D363,"N/A")))</f>
        <v>0</v>
      </c>
      <c r="F363" s="111" t="n">
        <f aca="false">E363*Y363</f>
        <v>0</v>
      </c>
      <c r="G363" s="124" t="n">
        <f aca="false">VLOOKUP($A363,Table,MATCH(G$4,Curves,0))</f>
        <v>3</v>
      </c>
      <c r="H363" s="125" t="n">
        <f aca="false">G363+$H$7</f>
        <v>3</v>
      </c>
      <c r="I363" s="124" t="n">
        <f aca="false">H363</f>
        <v>3</v>
      </c>
      <c r="J363" s="124" t="n">
        <f aca="false">VLOOKUP($A363,Table,MATCH(J$4,Curves,0))</f>
        <v>4</v>
      </c>
      <c r="K363" s="125" t="n">
        <f aca="false">J363+$K$7</f>
        <v>4</v>
      </c>
      <c r="L363" s="126" t="n">
        <f aca="false">K363</f>
        <v>4</v>
      </c>
      <c r="M363" s="124" t="n">
        <f aca="false">VLOOKUP($A363,Table,MATCH(M$4,Curves,0))</f>
        <v>4</v>
      </c>
      <c r="N363" s="125" t="n">
        <f aca="false">M363+$N$7</f>
        <v>4</v>
      </c>
      <c r="O363" s="126" t="n">
        <f aca="false">0.07</f>
        <v>0.07</v>
      </c>
      <c r="P363" s="114"/>
      <c r="Q363" s="126" t="n">
        <f aca="false">M363+J363+G363</f>
        <v>11</v>
      </c>
      <c r="R363" s="126" t="n">
        <f aca="false">N363+K363+H363</f>
        <v>11</v>
      </c>
      <c r="S363" s="126" t="n">
        <f aca="false">O363+L363+I363</f>
        <v>7.07</v>
      </c>
      <c r="T363" s="127"/>
      <c r="U363" s="5" t="n">
        <f aca="false">A364-A363</f>
        <v>31</v>
      </c>
      <c r="V363" s="128" t="n">
        <f aca="false">CHOOSE(F$3,A364+24,A363)</f>
        <v>48030</v>
      </c>
      <c r="W363" s="5" t="n">
        <f aca="false">V363-C$3</f>
        <v>10799</v>
      </c>
      <c r="X363" s="124" t="n">
        <f aca="false">VLOOKUP($A363,Table,MATCH(X$4,Curves,0))</f>
        <v>2</v>
      </c>
      <c r="Y363" s="129" t="n">
        <f aca="false">1/(1+CHOOSE(F$3,(X364+($K$3/10000))/2,(X363+($K$3/10000))/2))^(2*W363/365.25)</f>
        <v>1.58293762466807E-018</v>
      </c>
      <c r="Z363" s="5" t="n">
        <f aca="false">IF(AND(mthbeg&lt;=A363,mthend&gt;=A363),1,0)</f>
        <v>0</v>
      </c>
      <c r="AA363" s="5" t="n">
        <f aca="false">U363*Z363</f>
        <v>0</v>
      </c>
      <c r="AC363" s="115" t="n">
        <f aca="false">IF(G356=2,F363*(S363-Q363),F363*(Q363-S363))</f>
        <v>0</v>
      </c>
      <c r="AE363" s="116" t="n">
        <f aca="false">IF($G$3=1,F363*(R363-Q363),F363*(Q363-R363))</f>
        <v>0</v>
      </c>
      <c r="AG363" s="116" t="n">
        <f aca="false">AC363+AE363</f>
        <v>0</v>
      </c>
    </row>
    <row r="364" customFormat="false" ht="12" hidden="false" customHeight="true" outlineLevel="0" collapsed="false">
      <c r="A364" s="120" t="n">
        <f aca="false">EDATE(A363,1)</f>
        <v>48061</v>
      </c>
      <c r="B364" s="121" t="e">
        <f aca="false">VLOOKUP(A364,'Inputs-Summary'!$A$32:$B$41,2,FALSE())</f>
        <v>#N/A</v>
      </c>
      <c r="C364" s="122"/>
      <c r="D364" s="123" t="e">
        <f aca="false">B364+C364</f>
        <v>#N/A</v>
      </c>
      <c r="E364" s="111" t="n">
        <f aca="false">IF(Z364=0,0,IF(AND(Z364=1,$H$3=1),D364*U364,IF($H$3=2,D364,"N/A")))</f>
        <v>0</v>
      </c>
      <c r="F364" s="111" t="n">
        <f aca="false">E364*Y364</f>
        <v>0</v>
      </c>
      <c r="G364" s="124" t="n">
        <f aca="false">VLOOKUP($A364,Table,MATCH(G$4,Curves,0))</f>
        <v>3</v>
      </c>
      <c r="H364" s="125" t="n">
        <f aca="false">G364+$H$7</f>
        <v>3</v>
      </c>
      <c r="I364" s="124" t="n">
        <f aca="false">H364</f>
        <v>3</v>
      </c>
      <c r="J364" s="124" t="n">
        <f aca="false">VLOOKUP($A364,Table,MATCH(J$4,Curves,0))</f>
        <v>4</v>
      </c>
      <c r="K364" s="125" t="n">
        <f aca="false">J364+$K$7</f>
        <v>4</v>
      </c>
      <c r="L364" s="126" t="n">
        <f aca="false">K364</f>
        <v>4</v>
      </c>
      <c r="M364" s="124" t="n">
        <f aca="false">VLOOKUP($A364,Table,MATCH(M$4,Curves,0))</f>
        <v>4</v>
      </c>
      <c r="N364" s="125" t="n">
        <f aca="false">M364+$N$7</f>
        <v>4</v>
      </c>
      <c r="O364" s="126" t="n">
        <f aca="false">0.07</f>
        <v>0.07</v>
      </c>
      <c r="P364" s="114"/>
      <c r="Q364" s="126" t="n">
        <f aca="false">M364+J364+G364</f>
        <v>11</v>
      </c>
      <c r="R364" s="126" t="n">
        <f aca="false">N364+K364+H364</f>
        <v>11</v>
      </c>
      <c r="S364" s="126" t="n">
        <f aca="false">O364+L364+I364</f>
        <v>7.07</v>
      </c>
      <c r="T364" s="127"/>
      <c r="U364" s="5" t="n">
        <f aca="false">A365-A364</f>
        <v>31</v>
      </c>
      <c r="V364" s="128" t="n">
        <f aca="false">CHOOSE(F$3,A365+24,A364)</f>
        <v>48061</v>
      </c>
      <c r="W364" s="5" t="n">
        <f aca="false">V364-C$3</f>
        <v>10830</v>
      </c>
      <c r="X364" s="124" t="n">
        <f aca="false">VLOOKUP($A364,Table,MATCH(X$4,Curves,0))</f>
        <v>2</v>
      </c>
      <c r="Y364" s="129" t="n">
        <f aca="false">1/(1+CHOOSE(F$3,(X365+($K$3/10000))/2,(X364+($K$3/10000))/2))^(2*W364/365.25)</f>
        <v>1.40722952631803E-018</v>
      </c>
      <c r="Z364" s="5" t="n">
        <f aca="false">IF(AND(mthbeg&lt;=A364,mthend&gt;=A364),1,0)</f>
        <v>0</v>
      </c>
      <c r="AA364" s="5" t="n">
        <f aca="false">U364*Z364</f>
        <v>0</v>
      </c>
      <c r="AC364" s="115" t="n">
        <f aca="false">IF(G357=2,F364*(S364-Q364),F364*(Q364-S364))</f>
        <v>0</v>
      </c>
      <c r="AE364" s="116" t="n">
        <f aca="false">IF($G$3=1,F364*(R364-Q364),F364*(Q364-R364))</f>
        <v>0</v>
      </c>
      <c r="AG364" s="116" t="n">
        <f aca="false">AC364+AE364</f>
        <v>0</v>
      </c>
    </row>
    <row r="365" customFormat="false" ht="12" hidden="false" customHeight="true" outlineLevel="0" collapsed="false">
      <c r="A365" s="120" t="n">
        <f aca="false">EDATE(A364,1)</f>
        <v>48092</v>
      </c>
      <c r="B365" s="121" t="e">
        <f aca="false">VLOOKUP(A365,'Inputs-Summary'!$A$32:$B$41,2,FALSE())</f>
        <v>#N/A</v>
      </c>
      <c r="C365" s="122"/>
      <c r="D365" s="123" t="e">
        <f aca="false">B365+C365</f>
        <v>#N/A</v>
      </c>
      <c r="E365" s="111" t="n">
        <f aca="false">IF(Z365=0,0,IF(AND(Z365=1,$H$3=1),D365*U365,IF($H$3=2,D365,"N/A")))</f>
        <v>0</v>
      </c>
      <c r="F365" s="111" t="n">
        <f aca="false">E365*Y365</f>
        <v>0</v>
      </c>
      <c r="G365" s="124" t="n">
        <f aca="false">VLOOKUP($A365,Table,MATCH(G$4,Curves,0))</f>
        <v>3</v>
      </c>
      <c r="H365" s="125" t="n">
        <f aca="false">G365+$H$7</f>
        <v>3</v>
      </c>
      <c r="I365" s="124" t="n">
        <f aca="false">H365</f>
        <v>3</v>
      </c>
      <c r="J365" s="124" t="n">
        <f aca="false">VLOOKUP($A365,Table,MATCH(J$4,Curves,0))</f>
        <v>4</v>
      </c>
      <c r="K365" s="125" t="n">
        <f aca="false">J365+$K$7</f>
        <v>4</v>
      </c>
      <c r="L365" s="126" t="n">
        <f aca="false">K365</f>
        <v>4</v>
      </c>
      <c r="M365" s="124" t="n">
        <f aca="false">VLOOKUP($A365,Table,MATCH(M$4,Curves,0))</f>
        <v>4</v>
      </c>
      <c r="N365" s="125" t="n">
        <f aca="false">M365+$N$7</f>
        <v>4</v>
      </c>
      <c r="O365" s="126" t="n">
        <f aca="false">0.07</f>
        <v>0.07</v>
      </c>
      <c r="P365" s="114"/>
      <c r="Q365" s="126" t="n">
        <f aca="false">M365+J365+G365</f>
        <v>11</v>
      </c>
      <c r="R365" s="126" t="n">
        <f aca="false">N365+K365+H365</f>
        <v>11</v>
      </c>
      <c r="S365" s="126" t="n">
        <f aca="false">O365+L365+I365</f>
        <v>7.07</v>
      </c>
      <c r="T365" s="127"/>
      <c r="U365" s="5" t="n">
        <f aca="false">A366-A365</f>
        <v>30</v>
      </c>
      <c r="V365" s="128" t="n">
        <f aca="false">CHOOSE(F$3,A366+24,A365)</f>
        <v>48092</v>
      </c>
      <c r="W365" s="5" t="n">
        <f aca="false">V365-C$3</f>
        <v>10861</v>
      </c>
      <c r="X365" s="124" t="n">
        <f aca="false">VLOOKUP($A365,Table,MATCH(X$4,Curves,0))</f>
        <v>2</v>
      </c>
      <c r="Y365" s="129" t="n">
        <f aca="false">1/(1+CHOOSE(F$3,(X366+($K$3/10000))/2,(X365+($K$3/10000))/2))^(2*W365/365.25)</f>
        <v>1.25102525133076E-018</v>
      </c>
      <c r="Z365" s="5" t="n">
        <f aca="false">IF(AND(mthbeg&lt;=A365,mthend&gt;=A365),1,0)</f>
        <v>0</v>
      </c>
      <c r="AA365" s="5" t="n">
        <f aca="false">U365*Z365</f>
        <v>0</v>
      </c>
      <c r="AC365" s="115" t="n">
        <f aca="false">IF(G358=2,F365*(S365-Q365),F365*(Q365-S365))</f>
        <v>0</v>
      </c>
      <c r="AE365" s="116" t="n">
        <f aca="false">IF($G$3=1,F365*(R365-Q365),F365*(Q365-R365))</f>
        <v>0</v>
      </c>
      <c r="AG365" s="116" t="n">
        <f aca="false">AC365+AE365</f>
        <v>0</v>
      </c>
    </row>
    <row r="366" customFormat="false" ht="12" hidden="false" customHeight="true" outlineLevel="0" collapsed="false">
      <c r="A366" s="120" t="n">
        <f aca="false">EDATE(A365,1)</f>
        <v>48122</v>
      </c>
      <c r="B366" s="121" t="e">
        <f aca="false">VLOOKUP(A366,'Inputs-Summary'!$A$32:$B$41,2,FALSE())</f>
        <v>#N/A</v>
      </c>
      <c r="C366" s="122"/>
      <c r="D366" s="123" t="e">
        <f aca="false">B366+C366</f>
        <v>#N/A</v>
      </c>
      <c r="E366" s="111" t="n">
        <f aca="false">IF(Z366=0,0,IF(AND(Z366=1,$H$3=1),D366*U366,IF($H$3=2,D366,"N/A")))</f>
        <v>0</v>
      </c>
      <c r="F366" s="111" t="n">
        <f aca="false">E366*Y366</f>
        <v>0</v>
      </c>
      <c r="G366" s="124" t="n">
        <f aca="false">VLOOKUP($A366,Table,MATCH(G$4,Curves,0))</f>
        <v>3</v>
      </c>
      <c r="H366" s="125" t="n">
        <f aca="false">G366+$H$7</f>
        <v>3</v>
      </c>
      <c r="I366" s="124" t="n">
        <f aca="false">H366</f>
        <v>3</v>
      </c>
      <c r="J366" s="124" t="n">
        <f aca="false">VLOOKUP($A366,Table,MATCH(J$4,Curves,0))</f>
        <v>4</v>
      </c>
      <c r="K366" s="125" t="n">
        <f aca="false">J366+$K$7</f>
        <v>4</v>
      </c>
      <c r="L366" s="126" t="n">
        <f aca="false">K366</f>
        <v>4</v>
      </c>
      <c r="M366" s="124" t="n">
        <f aca="false">VLOOKUP($A366,Table,MATCH(M$4,Curves,0))</f>
        <v>4</v>
      </c>
      <c r="N366" s="125" t="n">
        <f aca="false">M366+$N$7</f>
        <v>4</v>
      </c>
      <c r="O366" s="126" t="n">
        <f aca="false">0.07</f>
        <v>0.07</v>
      </c>
      <c r="P366" s="114"/>
      <c r="Q366" s="126" t="n">
        <f aca="false">M366+J366+G366</f>
        <v>11</v>
      </c>
      <c r="R366" s="126" t="n">
        <f aca="false">N366+K366+H366</f>
        <v>11</v>
      </c>
      <c r="S366" s="126" t="n">
        <f aca="false">O366+L366+I366</f>
        <v>7.07</v>
      </c>
      <c r="T366" s="127"/>
      <c r="U366" s="5" t="n">
        <f aca="false">A367-A366</f>
        <v>31</v>
      </c>
      <c r="V366" s="128" t="n">
        <f aca="false">CHOOSE(F$3,A367+24,A366)</f>
        <v>48122</v>
      </c>
      <c r="W366" s="5" t="n">
        <f aca="false">V366-C$3</f>
        <v>10891</v>
      </c>
      <c r="X366" s="124" t="n">
        <f aca="false">VLOOKUP($A366,Table,MATCH(X$4,Curves,0))</f>
        <v>2</v>
      </c>
      <c r="Y366" s="129" t="n">
        <f aca="false">1/(1+CHOOSE(F$3,(X367+($K$3/10000))/2,(X366+($K$3/10000))/2))^(2*W366/365.25)</f>
        <v>1.11638903732292E-018</v>
      </c>
      <c r="Z366" s="5" t="n">
        <f aca="false">IF(AND(mthbeg&lt;=A366,mthend&gt;=A366),1,0)</f>
        <v>0</v>
      </c>
      <c r="AA366" s="5" t="n">
        <f aca="false">U366*Z366</f>
        <v>0</v>
      </c>
      <c r="AC366" s="115" t="n">
        <f aca="false">IF(G359=2,F366*(S366-Q366),F366*(Q366-S366))</f>
        <v>0</v>
      </c>
      <c r="AE366" s="116" t="n">
        <f aca="false">IF($G$3=1,F366*(R366-Q366),F366*(Q366-R366))</f>
        <v>0</v>
      </c>
      <c r="AG366" s="116" t="n">
        <f aca="false">AC366+AE366</f>
        <v>0</v>
      </c>
    </row>
    <row r="367" customFormat="false" ht="12" hidden="false" customHeight="true" outlineLevel="0" collapsed="false">
      <c r="A367" s="120" t="n">
        <f aca="false">EDATE(A366,1)</f>
        <v>48153</v>
      </c>
      <c r="B367" s="121" t="e">
        <f aca="false">VLOOKUP(A367,'Inputs-Summary'!$A$32:$B$41,2,FALSE())</f>
        <v>#N/A</v>
      </c>
      <c r="C367" s="122"/>
      <c r="D367" s="123" t="e">
        <f aca="false">B367+C367</f>
        <v>#N/A</v>
      </c>
      <c r="E367" s="111" t="n">
        <f aca="false">IF(Z367=0,0,IF(AND(Z367=1,$H$3=1),D367*U367,IF($H$3=2,D367,"N/A")))</f>
        <v>0</v>
      </c>
      <c r="F367" s="111" t="n">
        <f aca="false">E367*Y367</f>
        <v>0</v>
      </c>
      <c r="G367" s="124" t="n">
        <f aca="false">VLOOKUP($A367,Table,MATCH(G$4,Curves,0))</f>
        <v>3</v>
      </c>
      <c r="H367" s="125" t="n">
        <f aca="false">G367+$H$7</f>
        <v>3</v>
      </c>
      <c r="I367" s="124" t="n">
        <f aca="false">H367</f>
        <v>3</v>
      </c>
      <c r="J367" s="124" t="n">
        <f aca="false">VLOOKUP($A367,Table,MATCH(J$4,Curves,0))</f>
        <v>4</v>
      </c>
      <c r="K367" s="125" t="n">
        <f aca="false">J367+$K$7</f>
        <v>4</v>
      </c>
      <c r="L367" s="126" t="n">
        <f aca="false">K367</f>
        <v>4</v>
      </c>
      <c r="M367" s="124" t="n">
        <f aca="false">VLOOKUP($A367,Table,MATCH(M$4,Curves,0))</f>
        <v>4</v>
      </c>
      <c r="N367" s="125" t="n">
        <f aca="false">M367+$N$7</f>
        <v>4</v>
      </c>
      <c r="O367" s="126" t="n">
        <f aca="false">0.07</f>
        <v>0.07</v>
      </c>
      <c r="P367" s="114"/>
      <c r="Q367" s="126" t="n">
        <f aca="false">M367+J367+G367</f>
        <v>11</v>
      </c>
      <c r="R367" s="126" t="n">
        <f aca="false">N367+K367+H367</f>
        <v>11</v>
      </c>
      <c r="S367" s="126" t="n">
        <f aca="false">O367+L367+I367</f>
        <v>7.07</v>
      </c>
      <c r="T367" s="127"/>
      <c r="U367" s="5" t="n">
        <f aca="false">A368-A367</f>
        <v>30</v>
      </c>
      <c r="V367" s="128" t="n">
        <f aca="false">CHOOSE(F$3,A368+24,A367)</f>
        <v>48153</v>
      </c>
      <c r="W367" s="5" t="n">
        <f aca="false">V367-C$3</f>
        <v>10922</v>
      </c>
      <c r="X367" s="124" t="n">
        <f aca="false">VLOOKUP($A367,Table,MATCH(X$4,Curves,0))</f>
        <v>2</v>
      </c>
      <c r="Y367" s="129" t="n">
        <f aca="false">1/(1+CHOOSE(F$3,(X368+($K$3/10000))/2,(X367+($K$3/10000))/2))^(2*W367/365.25)</f>
        <v>9.92468428127745E-019</v>
      </c>
      <c r="Z367" s="5" t="n">
        <f aca="false">IF(AND(mthbeg&lt;=A367,mthend&gt;=A367),1,0)</f>
        <v>0</v>
      </c>
      <c r="AA367" s="5" t="n">
        <f aca="false">U367*Z367</f>
        <v>0</v>
      </c>
      <c r="AC367" s="115" t="n">
        <f aca="false">IF(G360=2,F367*(S367-Q367),F367*(Q367-S367))</f>
        <v>0</v>
      </c>
      <c r="AE367" s="116" t="n">
        <f aca="false">IF($G$3=1,F367*(R367-Q367),F367*(Q367-R367))</f>
        <v>0</v>
      </c>
      <c r="AG367" s="116" t="n">
        <f aca="false">AC367+AE367</f>
        <v>0</v>
      </c>
    </row>
    <row r="368" customFormat="false" ht="12" hidden="false" customHeight="true" outlineLevel="0" collapsed="false">
      <c r="A368" s="120" t="n">
        <f aca="false">EDATE(A367,1)</f>
        <v>48183</v>
      </c>
      <c r="B368" s="121" t="e">
        <f aca="false">VLOOKUP(A368,'Inputs-Summary'!$A$32:$B$41,2,FALSE())</f>
        <v>#N/A</v>
      </c>
      <c r="C368" s="122"/>
      <c r="D368" s="123" t="e">
        <f aca="false">B368+C368</f>
        <v>#N/A</v>
      </c>
      <c r="E368" s="111" t="n">
        <f aca="false">IF(Z368=0,0,IF(AND(Z368=1,$H$3=1),D368*U368,IF($H$3=2,D368,"N/A")))</f>
        <v>0</v>
      </c>
      <c r="F368" s="111" t="n">
        <f aca="false">E368*Y368</f>
        <v>0</v>
      </c>
      <c r="G368" s="124" t="n">
        <f aca="false">VLOOKUP($A368,Table,MATCH(G$4,Curves,0))</f>
        <v>3</v>
      </c>
      <c r="H368" s="125" t="n">
        <f aca="false">G368+$H$7</f>
        <v>3</v>
      </c>
      <c r="I368" s="124" t="n">
        <f aca="false">H368</f>
        <v>3</v>
      </c>
      <c r="J368" s="124" t="n">
        <f aca="false">VLOOKUP($A368,Table,MATCH(J$4,Curves,0))</f>
        <v>4</v>
      </c>
      <c r="K368" s="125" t="n">
        <f aca="false">J368+$K$7</f>
        <v>4</v>
      </c>
      <c r="L368" s="126" t="n">
        <f aca="false">K368</f>
        <v>4</v>
      </c>
      <c r="M368" s="124" t="n">
        <f aca="false">VLOOKUP($A368,Table,MATCH(M$4,Curves,0))</f>
        <v>4</v>
      </c>
      <c r="N368" s="125" t="n">
        <f aca="false">M368+$N$7</f>
        <v>4</v>
      </c>
      <c r="O368" s="126" t="n">
        <f aca="false">0.07</f>
        <v>0.07</v>
      </c>
      <c r="P368" s="114"/>
      <c r="Q368" s="126" t="n">
        <f aca="false">M368+J368+G368</f>
        <v>11</v>
      </c>
      <c r="R368" s="126" t="n">
        <f aca="false">N368+K368+H368</f>
        <v>11</v>
      </c>
      <c r="S368" s="126" t="n">
        <f aca="false">O368+L368+I368</f>
        <v>7.07</v>
      </c>
      <c r="T368" s="127"/>
      <c r="U368" s="5" t="n">
        <f aca="false">A369-A368</f>
        <v>31</v>
      </c>
      <c r="V368" s="128" t="n">
        <f aca="false">CHOOSE(F$3,A369+24,A368)</f>
        <v>48183</v>
      </c>
      <c r="W368" s="5" t="n">
        <f aca="false">V368-C$3</f>
        <v>10952</v>
      </c>
      <c r="X368" s="124" t="n">
        <f aca="false">VLOOKUP($A368,Table,MATCH(X$4,Curves,0))</f>
        <v>2</v>
      </c>
      <c r="Y368" s="129" t="n">
        <f aca="false">1/(1+CHOOSE(F$3,(X369+($K$3/10000))/2,(X368+($K$3/10000))/2))^(2*W368/365.25)</f>
        <v>8.85658280576137E-019</v>
      </c>
      <c r="Z368" s="5" t="n">
        <f aca="false">IF(AND(mthbeg&lt;=A368,mthend&gt;=A368),1,0)</f>
        <v>0</v>
      </c>
      <c r="AA368" s="5" t="n">
        <f aca="false">U368*Z368</f>
        <v>0</v>
      </c>
      <c r="AC368" s="115" t="n">
        <f aca="false">IF(G361=2,F368*(S368-Q368),F368*(Q368-S368))</f>
        <v>0</v>
      </c>
      <c r="AE368" s="116" t="n">
        <f aca="false">IF($G$3=1,F368*(R368-Q368),F368*(Q368-R368))</f>
        <v>0</v>
      </c>
      <c r="AG368" s="116" t="n">
        <f aca="false">AC368+AE368</f>
        <v>0</v>
      </c>
    </row>
    <row r="369" customFormat="false" ht="12" hidden="false" customHeight="true" outlineLevel="0" collapsed="false">
      <c r="A369" s="120" t="n">
        <f aca="false">EDATE(A368,1)</f>
        <v>48214</v>
      </c>
      <c r="B369" s="121" t="e">
        <f aca="false">VLOOKUP(A369,'Inputs-Summary'!$A$32:$B$41,2,FALSE())</f>
        <v>#N/A</v>
      </c>
      <c r="C369" s="122"/>
      <c r="D369" s="123" t="e">
        <f aca="false">B369+C369</f>
        <v>#N/A</v>
      </c>
      <c r="E369" s="111" t="n">
        <f aca="false">IF(Z369=0,0,IF(AND(Z369=1,$H$3=1),D369*U369,IF($H$3=2,D369,"N/A")))</f>
        <v>0</v>
      </c>
      <c r="F369" s="111" t="n">
        <f aca="false">E369*Y369</f>
        <v>0</v>
      </c>
      <c r="G369" s="124" t="n">
        <f aca="false">VLOOKUP($A369,Table,MATCH(G$4,Curves,0))</f>
        <v>3</v>
      </c>
      <c r="H369" s="125" t="n">
        <f aca="false">G369+$H$7</f>
        <v>3</v>
      </c>
      <c r="I369" s="124" t="n">
        <f aca="false">H369</f>
        <v>3</v>
      </c>
      <c r="J369" s="124" t="n">
        <f aca="false">VLOOKUP($A369,Table,MATCH(J$4,Curves,0))</f>
        <v>4</v>
      </c>
      <c r="K369" s="125" t="n">
        <f aca="false">J369+$K$7</f>
        <v>4</v>
      </c>
      <c r="L369" s="126" t="n">
        <f aca="false">K369</f>
        <v>4</v>
      </c>
      <c r="M369" s="124" t="n">
        <f aca="false">VLOOKUP($A369,Table,MATCH(M$4,Curves,0))</f>
        <v>4</v>
      </c>
      <c r="N369" s="125" t="n">
        <f aca="false">M369+$N$7</f>
        <v>4</v>
      </c>
      <c r="O369" s="126" t="n">
        <f aca="false">0.07</f>
        <v>0.07</v>
      </c>
      <c r="P369" s="114"/>
      <c r="Q369" s="126" t="n">
        <f aca="false">M369+J369+G369</f>
        <v>11</v>
      </c>
      <c r="R369" s="126" t="n">
        <f aca="false">N369+K369+H369</f>
        <v>11</v>
      </c>
      <c r="S369" s="126" t="n">
        <f aca="false">O369+L369+I369</f>
        <v>7.07</v>
      </c>
      <c r="T369" s="127"/>
      <c r="U369" s="5" t="n">
        <f aca="false">A370-A369</f>
        <v>31</v>
      </c>
      <c r="V369" s="128" t="n">
        <f aca="false">CHOOSE(F$3,A370+24,A369)</f>
        <v>48214</v>
      </c>
      <c r="W369" s="5" t="n">
        <f aca="false">V369-C$3</f>
        <v>10983</v>
      </c>
      <c r="X369" s="124" t="n">
        <f aca="false">VLOOKUP($A369,Table,MATCH(X$4,Curves,0))</f>
        <v>2</v>
      </c>
      <c r="Y369" s="129" t="n">
        <f aca="false">1/(1+CHOOSE(F$3,(X370+($K$3/10000))/2,(X369+($K$3/10000))/2))^(2*W369/365.25)</f>
        <v>7.87349080110563E-019</v>
      </c>
      <c r="Z369" s="5" t="n">
        <f aca="false">IF(AND(mthbeg&lt;=A369,mthend&gt;=A369),1,0)</f>
        <v>0</v>
      </c>
      <c r="AA369" s="5" t="n">
        <f aca="false">U369*Z369</f>
        <v>0</v>
      </c>
      <c r="AC369" s="115" t="n">
        <f aca="false">IF(G362=2,F369*(S369-Q369),F369*(Q369-S369))</f>
        <v>0</v>
      </c>
      <c r="AE369" s="116" t="n">
        <f aca="false">IF($G$3=1,F369*(R369-Q369),F369*(Q369-R369))</f>
        <v>0</v>
      </c>
      <c r="AG369" s="130" t="n">
        <f aca="false">AC369+AE369</f>
        <v>0</v>
      </c>
    </row>
    <row r="370" customFormat="false" ht="13.5" hidden="false" customHeight="false" outlineLevel="0" collapsed="false">
      <c r="A370" s="120" t="n">
        <f aca="false">EDATE(A369,1)</f>
        <v>48245</v>
      </c>
      <c r="X370" s="124" t="n">
        <f aca="false">VLOOKUP($A370,Table,MATCH(X$4,Curves,0))</f>
        <v>2</v>
      </c>
      <c r="AE370" s="130" t="n">
        <f aca="false">IF($G$3=1,F370*(R370-Q370),F370*(Q370-R370))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3" activeCellId="0" sqref="G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2" width="14.14"/>
    <col collapsed="false" customWidth="true" hidden="false" outlineLevel="0" max="2" min="2" style="72" width="14.56"/>
    <col collapsed="false" customWidth="true" hidden="false" outlineLevel="0" max="4" min="3" style="72" width="16.42"/>
    <col collapsed="false" customWidth="true" hidden="false" outlineLevel="0" max="5" min="5" style="72" width="14.85"/>
    <col collapsed="false" customWidth="true" hidden="false" outlineLevel="0" max="6" min="6" style="72" width="13.85"/>
    <col collapsed="false" customWidth="true" hidden="false" outlineLevel="0" max="7" min="7" style="72" width="10.71"/>
    <col collapsed="false" customWidth="true" hidden="false" outlineLevel="0" max="8" min="8" style="72" width="18.14"/>
    <col collapsed="false" customWidth="true" hidden="false" outlineLevel="0" max="9" min="9" style="72" width="22.56"/>
    <col collapsed="false" customWidth="true" hidden="false" outlineLevel="0" max="10" min="10" style="72" width="25.85"/>
    <col collapsed="false" customWidth="true" hidden="false" outlineLevel="0" max="12" min="11" style="5" width="19.28"/>
    <col collapsed="false" customWidth="true" hidden="false" outlineLevel="0" max="13" min="13" style="5" width="24.99"/>
    <col collapsed="false" customWidth="true" hidden="false" outlineLevel="0" max="15" min="14" style="5" width="19.28"/>
    <col collapsed="false" customWidth="true" hidden="false" outlineLevel="0" max="16" min="16" style="5" width="3.14"/>
    <col collapsed="false" customWidth="true" hidden="false" outlineLevel="0" max="17" min="17" style="5" width="16.7"/>
    <col collapsed="false" customWidth="true" hidden="false" outlineLevel="0" max="18" min="18" style="5" width="18.56"/>
    <col collapsed="false" customWidth="true" hidden="false" outlineLevel="0" max="19" min="19" style="5" width="16.7"/>
    <col collapsed="false" customWidth="true" hidden="false" outlineLevel="0" max="20" min="20" style="72" width="3.14"/>
    <col collapsed="false" customWidth="true" hidden="false" outlineLevel="0" max="27" min="21" style="5" width="10.71"/>
    <col collapsed="false" customWidth="true" hidden="false" outlineLevel="0" max="28" min="28" style="72" width="4.28"/>
    <col collapsed="false" customWidth="true" hidden="false" outlineLevel="0" max="29" min="29" style="72" width="18.41"/>
    <col collapsed="false" customWidth="true" hidden="false" outlineLevel="0" max="30" min="30" style="72" width="3.85"/>
    <col collapsed="false" customWidth="true" hidden="false" outlineLevel="0" max="31" min="31" style="72" width="13.85"/>
    <col collapsed="false" customWidth="true" hidden="false" outlineLevel="0" max="32" min="32" style="72" width="2.84"/>
    <col collapsed="false" customWidth="true" hidden="false" outlineLevel="0" max="33" min="33" style="72" width="12.14"/>
    <col collapsed="false" customWidth="false" hidden="false" outlineLevel="0" max="257" min="34" style="72" width="9.14"/>
  </cols>
  <sheetData>
    <row r="1" customFormat="false" ht="13.5" hidden="false" customHeight="false" outlineLevel="0" collapsed="false">
      <c r="A1" s="73"/>
      <c r="B1" s="74" t="s">
        <v>36</v>
      </c>
      <c r="C1" s="75"/>
      <c r="D1" s="75"/>
      <c r="E1" s="0"/>
      <c r="H1" s="76" t="s">
        <v>37</v>
      </c>
      <c r="I1" s="5" t="s">
        <v>38</v>
      </c>
      <c r="J1" s="5" t="s">
        <v>26</v>
      </c>
      <c r="K1" s="77" t="s">
        <v>39</v>
      </c>
      <c r="L1" s="78" t="s">
        <v>40</v>
      </c>
      <c r="M1" s="79"/>
    </row>
    <row r="2" customFormat="false" ht="12.75" hidden="false" customHeight="false" outlineLevel="0" collapsed="false">
      <c r="A2" s="76" t="s">
        <v>1</v>
      </c>
      <c r="B2" s="80" t="s">
        <v>41</v>
      </c>
      <c r="C2" s="80" t="s">
        <v>42</v>
      </c>
      <c r="D2" s="81" t="s">
        <v>3</v>
      </c>
      <c r="E2" s="80" t="s">
        <v>0</v>
      </c>
      <c r="F2" s="80" t="s">
        <v>43</v>
      </c>
      <c r="G2" s="80" t="s">
        <v>44</v>
      </c>
      <c r="H2" s="82" t="s">
        <v>45</v>
      </c>
      <c r="I2" s="80" t="s">
        <v>46</v>
      </c>
      <c r="J2" s="80" t="s">
        <v>46</v>
      </c>
      <c r="K2" s="83" t="s">
        <v>47</v>
      </c>
      <c r="L2" s="84"/>
    </row>
    <row r="3" customFormat="false" ht="13.5" hidden="false" customHeight="false" outlineLevel="0" collapsed="false">
      <c r="A3" s="85" t="n">
        <f aca="false">'Inputs-Summary'!B3</f>
        <v>37288</v>
      </c>
      <c r="B3" s="86" t="n">
        <f aca="false">'Inputs-Summary'!B4</f>
        <v>37530</v>
      </c>
      <c r="C3" s="87" t="n">
        <v>37231</v>
      </c>
      <c r="D3" s="87" t="n">
        <f aca="false">'Inputs-Summary'!B5</f>
        <v>37260</v>
      </c>
      <c r="E3" s="88" t="str">
        <f aca="false">CONCATENATE(INT(Z8/12)," Y - ",Z8-INT(Z8/12)*12," M")</f>
        <v>0 Y - 9 M</v>
      </c>
      <c r="F3" s="89" t="n">
        <v>2</v>
      </c>
      <c r="G3" s="89" t="n">
        <f aca="false">'Inputs-Summary'!B9</f>
        <v>1</v>
      </c>
      <c r="H3" s="90" t="n">
        <f aca="false">'Inputs-Summary'!B8</f>
        <v>1</v>
      </c>
      <c r="I3" s="91" t="s">
        <v>48</v>
      </c>
      <c r="J3" s="91" t="s">
        <v>48</v>
      </c>
      <c r="K3" s="92" t="n">
        <v>0</v>
      </c>
      <c r="L3" s="63"/>
      <c r="AC3" s="72" t="s">
        <v>49</v>
      </c>
      <c r="AE3" s="72" t="s">
        <v>50</v>
      </c>
      <c r="AG3" s="72" t="s">
        <v>51</v>
      </c>
    </row>
    <row r="4" customFormat="false" ht="12.75" hidden="false" customHeight="false" outlineLevel="0" collapsed="false">
      <c r="A4" s="93"/>
      <c r="B4" s="93"/>
      <c r="C4" s="94"/>
      <c r="D4" s="94" t="s">
        <v>52</v>
      </c>
      <c r="E4" s="94" t="s">
        <v>53</v>
      </c>
      <c r="F4" s="94" t="s">
        <v>54</v>
      </c>
      <c r="G4" s="95" t="s">
        <v>55</v>
      </c>
      <c r="H4" s="96"/>
      <c r="I4" s="96"/>
      <c r="J4" s="95" t="str">
        <f aca="false">CONCATENATE(I3,"-","D")</f>
        <v>IF-TENN/LA_OFF-D</v>
      </c>
      <c r="K4" s="96" t="str">
        <f aca="false">I3</f>
        <v>IF-TENN/LA_OFF</v>
      </c>
      <c r="L4" s="96" t="str">
        <f aca="false">I3</f>
        <v>IF-TENN/LA_OFF</v>
      </c>
      <c r="M4" s="95" t="str">
        <f aca="false">CONCATENATE(J3,"-","I")</f>
        <v>IF-TENN/LA_OFF-I</v>
      </c>
      <c r="N4" s="96" t="str">
        <f aca="false">J3</f>
        <v>IF-TENN/LA_OFF</v>
      </c>
      <c r="O4" s="96" t="str">
        <f aca="false">J3</f>
        <v>IF-TENN/LA_OFF</v>
      </c>
      <c r="Q4" s="96" t="str">
        <f aca="false">K4</f>
        <v>IF-TENN/LA_OFF</v>
      </c>
      <c r="R4" s="96" t="str">
        <f aca="false">J4</f>
        <v>IF-TENN/LA_OFF-D</v>
      </c>
      <c r="S4" s="96" t="str">
        <f aca="false">K4</f>
        <v>IF-TENN/LA_OFF</v>
      </c>
      <c r="U4" s="97"/>
      <c r="V4" s="97"/>
      <c r="W4" s="97" t="s">
        <v>56</v>
      </c>
      <c r="X4" s="95" t="s">
        <v>57</v>
      </c>
      <c r="Y4" s="97"/>
      <c r="Z4" s="97"/>
      <c r="AA4" s="97"/>
      <c r="AC4" s="98"/>
      <c r="AE4" s="99"/>
      <c r="AG4" s="99"/>
    </row>
    <row r="5" customFormat="false" ht="12.75" hidden="false" customHeight="false" outlineLevel="0" collapsed="false">
      <c r="A5" s="94" t="s">
        <v>58</v>
      </c>
      <c r="B5" s="94" t="str">
        <f aca="false">IF($H$3=1,"Daily","Monthly")</f>
        <v>Daily</v>
      </c>
      <c r="C5" s="94"/>
      <c r="D5" s="94" t="str">
        <f aca="false">IF($H$3=1,"Daily","Monthly")</f>
        <v>Daily</v>
      </c>
      <c r="E5" s="94" t="s">
        <v>59</v>
      </c>
      <c r="F5" s="94" t="s">
        <v>59</v>
      </c>
      <c r="G5" s="94" t="s">
        <v>60</v>
      </c>
      <c r="H5" s="94" t="s">
        <v>60</v>
      </c>
      <c r="I5" s="94" t="s">
        <v>60</v>
      </c>
      <c r="J5" s="94" t="s">
        <v>38</v>
      </c>
      <c r="K5" s="94" t="s">
        <v>38</v>
      </c>
      <c r="L5" s="94" t="s">
        <v>38</v>
      </c>
      <c r="M5" s="94" t="s">
        <v>26</v>
      </c>
      <c r="N5" s="94" t="s">
        <v>26</v>
      </c>
      <c r="O5" s="94" t="s">
        <v>26</v>
      </c>
      <c r="Q5" s="94" t="s">
        <v>24</v>
      </c>
      <c r="R5" s="94" t="s">
        <v>24</v>
      </c>
      <c r="S5" s="94" t="s">
        <v>24</v>
      </c>
      <c r="U5" s="100" t="s">
        <v>61</v>
      </c>
      <c r="V5" s="100" t="s">
        <v>62</v>
      </c>
      <c r="W5" s="100" t="s">
        <v>62</v>
      </c>
      <c r="X5" s="101" t="s">
        <v>63</v>
      </c>
      <c r="Y5" s="100" t="s">
        <v>62</v>
      </c>
      <c r="Z5" s="100" t="s">
        <v>64</v>
      </c>
      <c r="AA5" s="100" t="s">
        <v>64</v>
      </c>
      <c r="AC5" s="102" t="s">
        <v>65</v>
      </c>
      <c r="AE5" s="102" t="s">
        <v>66</v>
      </c>
      <c r="AG5" s="102" t="s">
        <v>67</v>
      </c>
    </row>
    <row r="6" customFormat="false" ht="12.75" hidden="false" customHeight="false" outlineLevel="0" collapsed="false">
      <c r="A6" s="103" t="s">
        <v>68</v>
      </c>
      <c r="B6" s="103" t="s">
        <v>69</v>
      </c>
      <c r="C6" s="103"/>
      <c r="D6" s="103" t="s">
        <v>69</v>
      </c>
      <c r="E6" s="103" t="s">
        <v>70</v>
      </c>
      <c r="F6" s="103" t="s">
        <v>70</v>
      </c>
      <c r="G6" s="103" t="s">
        <v>20</v>
      </c>
      <c r="H6" s="103" t="str">
        <f aca="false">CHOOSE(G3,"Bid","Offer")</f>
        <v>Bid</v>
      </c>
      <c r="I6" s="103" t="s">
        <v>22</v>
      </c>
      <c r="J6" s="103" t="s">
        <v>20</v>
      </c>
      <c r="K6" s="103" t="str">
        <f aca="false">H6</f>
        <v>Bid</v>
      </c>
      <c r="L6" s="103" t="s">
        <v>22</v>
      </c>
      <c r="M6" s="103" t="s">
        <v>20</v>
      </c>
      <c r="N6" s="103" t="str">
        <f aca="false">K6</f>
        <v>Bid</v>
      </c>
      <c r="O6" s="103" t="s">
        <v>22</v>
      </c>
      <c r="Q6" s="103" t="s">
        <v>20</v>
      </c>
      <c r="R6" s="103" t="str">
        <f aca="false">K6</f>
        <v>Bid</v>
      </c>
      <c r="S6" s="103" t="s">
        <v>22</v>
      </c>
      <c r="U6" s="104" t="s">
        <v>71</v>
      </c>
      <c r="V6" s="104" t="s">
        <v>72</v>
      </c>
      <c r="W6" s="104" t="s">
        <v>71</v>
      </c>
      <c r="X6" s="105" t="s">
        <v>73</v>
      </c>
      <c r="Y6" s="104" t="s">
        <v>74</v>
      </c>
      <c r="Z6" s="104" t="s">
        <v>75</v>
      </c>
      <c r="AA6" s="104" t="s">
        <v>71</v>
      </c>
      <c r="AC6" s="102" t="s">
        <v>76</v>
      </c>
      <c r="AE6" s="102" t="s">
        <v>77</v>
      </c>
      <c r="AG6" s="102" t="s">
        <v>77</v>
      </c>
    </row>
    <row r="7" customFormat="false" ht="13.5" hidden="false" customHeight="false" outlineLevel="0" collapsed="false">
      <c r="A7" s="106"/>
      <c r="B7" s="106"/>
      <c r="C7" s="106"/>
      <c r="D7" s="106"/>
      <c r="H7" s="107"/>
      <c r="K7" s="107"/>
      <c r="N7" s="107"/>
      <c r="W7" s="108"/>
      <c r="AC7" s="109"/>
      <c r="AE7" s="109"/>
      <c r="AG7" s="109"/>
    </row>
    <row r="8" customFormat="false" ht="13.5" hidden="false" customHeight="false" outlineLevel="0" collapsed="false">
      <c r="A8" s="110" t="s">
        <v>78</v>
      </c>
      <c r="B8" s="111"/>
      <c r="C8" s="111"/>
      <c r="D8" s="111" t="e">
        <f aca="false">SUM(D10:D370)</f>
        <v>#N/A</v>
      </c>
      <c r="E8" s="111" t="n">
        <f aca="false">SUM(E10:E370)</f>
        <v>510500</v>
      </c>
      <c r="F8" s="111" t="n">
        <f aca="false">SUM(F10:F370)</f>
        <v>296215.382675848</v>
      </c>
      <c r="G8" s="112" t="n">
        <f aca="false">SUMPRODUCT($F10:$F370,G10:G370)/SUM($F10:$F370)</f>
        <v>3</v>
      </c>
      <c r="H8" s="112" t="n">
        <f aca="false">SUMPRODUCT($F10:$F370,H10:H370)/SUM($F10:$F370)</f>
        <v>3</v>
      </c>
      <c r="I8" s="112" t="n">
        <f aca="false">SUMPRODUCT($F10:$F370,I10:I370)/SUM($F10:$F370)</f>
        <v>3</v>
      </c>
      <c r="J8" s="112" t="n">
        <f aca="false">SUMPRODUCT($F10:$F370,J10:J370)/SUM($F10:$F370)</f>
        <v>4</v>
      </c>
      <c r="K8" s="112" t="n">
        <f aca="false">SUMPRODUCT($F10:$F370,K10:K370)/SUM($F10:$F370)</f>
        <v>4</v>
      </c>
      <c r="L8" s="112" t="n">
        <f aca="false">SUMPRODUCT($F10:$F370,L10:L370)/SUM($F10:$F370)</f>
        <v>4</v>
      </c>
      <c r="M8" s="112" t="n">
        <f aca="false">SUMPRODUCT($F10:$F370,M10:M370)/SUM($F10:$F370)</f>
        <v>4</v>
      </c>
      <c r="N8" s="112" t="n">
        <f aca="false">SUMPRODUCT($F10:$F370,N10:N370)/SUM($F10:$F370)</f>
        <v>4</v>
      </c>
      <c r="O8" s="112" t="n">
        <f aca="false">SUMPRODUCT($F10:$F370,O10:O370)/SUM($F10:$F370)</f>
        <v>0.12</v>
      </c>
      <c r="P8" s="112"/>
      <c r="Q8" s="112" t="n">
        <f aca="false">SUMPRODUCT($F10:$F370,Q10:Q370)/SUM($F10:$F370)</f>
        <v>11</v>
      </c>
      <c r="R8" s="112" t="n">
        <f aca="false">SUMPRODUCT($F10:$F370,R10:R370)/SUM($F10:$F370)</f>
        <v>11</v>
      </c>
      <c r="S8" s="112" t="n">
        <f aca="false">SUMPRODUCT($F10:$F370,S10:S370)/SUM($F10:$F370)</f>
        <v>7.12</v>
      </c>
      <c r="X8" s="113"/>
      <c r="Z8" s="114" t="n">
        <f aca="false">SUM(Z10:Z370)</f>
        <v>9</v>
      </c>
      <c r="AA8" s="114" t="n">
        <f aca="false">SUM(AA10:AA370)</f>
        <v>273</v>
      </c>
      <c r="AC8" s="115" t="n">
        <f aca="false">SUM(AC10:AC370)</f>
        <v>1149315.68478229</v>
      </c>
      <c r="AE8" s="116" t="n">
        <f aca="false">SUM(AE10:AE370)</f>
        <v>0</v>
      </c>
      <c r="AG8" s="116" t="n">
        <f aca="false">AC8+AE8</f>
        <v>1149315.68478229</v>
      </c>
    </row>
    <row r="9" customFormat="false" ht="12.75" hidden="false" customHeight="false" outlineLevel="0" collapsed="false">
      <c r="B9" s="117"/>
      <c r="C9" s="117"/>
      <c r="D9" s="117"/>
      <c r="E9" s="117"/>
      <c r="F9" s="117"/>
      <c r="H9" s="118"/>
      <c r="I9" s="118"/>
      <c r="J9" s="118"/>
      <c r="K9" s="119"/>
      <c r="L9" s="119"/>
      <c r="M9" s="119"/>
      <c r="N9" s="119"/>
      <c r="O9" s="119"/>
      <c r="Q9" s="119"/>
      <c r="R9" s="119"/>
      <c r="S9" s="119"/>
      <c r="AC9" s="109"/>
      <c r="AE9" s="109"/>
      <c r="AG9" s="109"/>
    </row>
    <row r="10" customFormat="false" ht="12.75" hidden="false" customHeight="false" outlineLevel="0" collapsed="false">
      <c r="A10" s="120" t="n">
        <f aca="false">A3</f>
        <v>37288</v>
      </c>
      <c r="B10" s="121" t="n">
        <f aca="false">VLOOKUP(A10,'Inputs-Summary'!$A$32:$E$41,3,FALSE())</f>
        <v>4000</v>
      </c>
      <c r="C10" s="122"/>
      <c r="D10" s="123" t="n">
        <f aca="false">B10+C10</f>
        <v>4000</v>
      </c>
      <c r="E10" s="111" t="n">
        <f aca="false">IF(Z10=0,0,IF(AND(Z10=1,$H$3=1),D10*U10,IF($H$3=2,D10,"N/A")))</f>
        <v>112000</v>
      </c>
      <c r="F10" s="111" t="n">
        <f aca="false">E10*Y10</f>
        <v>90211.5300181085</v>
      </c>
      <c r="G10" s="124" t="n">
        <f aca="false">VLOOKUP($A10,Table,MATCH(G$4,Curves,0))</f>
        <v>3</v>
      </c>
      <c r="H10" s="125" t="n">
        <f aca="false">G10+$H$7</f>
        <v>3</v>
      </c>
      <c r="I10" s="124" t="n">
        <f aca="false">H10</f>
        <v>3</v>
      </c>
      <c r="J10" s="124" t="n">
        <f aca="false">VLOOKUP($A10,Table,MATCH(J$4,Curves,0))</f>
        <v>4</v>
      </c>
      <c r="K10" s="125" t="n">
        <f aca="false">J10+$K$7</f>
        <v>4</v>
      </c>
      <c r="L10" s="126" t="n">
        <f aca="false">K10</f>
        <v>4</v>
      </c>
      <c r="M10" s="124" t="n">
        <f aca="false">VLOOKUP($A10,Table,MATCH(M$4,Curves,0))</f>
        <v>4</v>
      </c>
      <c r="N10" s="125" t="n">
        <f aca="false">M10+$N$7</f>
        <v>4</v>
      </c>
      <c r="O10" s="126" t="n">
        <v>0.12</v>
      </c>
      <c r="P10" s="114"/>
      <c r="Q10" s="126" t="n">
        <f aca="false">M10+J10+G10</f>
        <v>11</v>
      </c>
      <c r="R10" s="126" t="n">
        <f aca="false">N10+K10+H10</f>
        <v>11</v>
      </c>
      <c r="S10" s="126" t="n">
        <f aca="false">O10+L10+I10</f>
        <v>7.12</v>
      </c>
      <c r="T10" s="127"/>
      <c r="U10" s="5" t="n">
        <f aca="false">A11-A10</f>
        <v>28</v>
      </c>
      <c r="V10" s="128" t="n">
        <f aca="false">CHOOSE(F$3,A11+24,A10)</f>
        <v>37288</v>
      </c>
      <c r="W10" s="5" t="n">
        <f aca="false">V10-C$3</f>
        <v>57</v>
      </c>
      <c r="X10" s="124" t="n">
        <f aca="false">VLOOKUP($A10,Table,MATCH(X$4,Curves,0))</f>
        <v>2</v>
      </c>
      <c r="Y10" s="129" t="n">
        <f aca="false">1/(1+CHOOSE(F$3,(X11+($K$3/10000))/2,(X10+($K$3/10000))/2))^(2*W10/365.25)</f>
        <v>0.805460089447397</v>
      </c>
      <c r="Z10" s="5" t="n">
        <f aca="false">IF(AND(mthbeg&lt;=A10,mthend&gt;=A10),1,0)</f>
        <v>1</v>
      </c>
      <c r="AA10" s="5" t="n">
        <f aca="false">U10*Z10</f>
        <v>28</v>
      </c>
      <c r="AC10" s="115" t="n">
        <f aca="false">IF(G3=1,F10*(Q10-S10),F10*(S10-Q10))</f>
        <v>350020.736470261</v>
      </c>
      <c r="AE10" s="116" t="n">
        <f aca="false">IF($G$3=1,F10*(R10-Q10),F10*(Q10-R10))</f>
        <v>0</v>
      </c>
      <c r="AG10" s="116" t="n">
        <f aca="false">AC10+AE10</f>
        <v>350020.736470261</v>
      </c>
    </row>
    <row r="11" customFormat="false" ht="12.75" hidden="false" customHeight="false" outlineLevel="0" collapsed="false">
      <c r="A11" s="120" t="n">
        <f aca="false">EDATE(A10,1)</f>
        <v>37316</v>
      </c>
      <c r="B11" s="121" t="n">
        <f aca="false">VLOOKUP(A11,'Inputs-Summary'!$A$32:$E$41,3,FALSE())</f>
        <v>2500</v>
      </c>
      <c r="C11" s="122"/>
      <c r="D11" s="123" t="n">
        <f aca="false">B11+C11</f>
        <v>2500</v>
      </c>
      <c r="E11" s="111" t="n">
        <f aca="false">IF(Z11=0,0,IF(AND(Z11=1,$H$3=1),D11*U11,IF($H$3=2,D11,"N/A")))</f>
        <v>77500</v>
      </c>
      <c r="F11" s="111" t="n">
        <f aca="false">E11*Y11</f>
        <v>56129.5960474909</v>
      </c>
      <c r="G11" s="124" t="n">
        <f aca="false">VLOOKUP($A11,Table,MATCH(G$4,Curves,0))</f>
        <v>3</v>
      </c>
      <c r="H11" s="125" t="n">
        <f aca="false">G11+$H$7</f>
        <v>3</v>
      </c>
      <c r="I11" s="124" t="n">
        <f aca="false">H11</f>
        <v>3</v>
      </c>
      <c r="J11" s="124" t="n">
        <f aca="false">VLOOKUP($A11,Table,MATCH(J$4,Curves,0))</f>
        <v>4</v>
      </c>
      <c r="K11" s="125" t="n">
        <f aca="false">J11+$K$7</f>
        <v>4</v>
      </c>
      <c r="L11" s="126" t="n">
        <f aca="false">K11</f>
        <v>4</v>
      </c>
      <c r="M11" s="124" t="n">
        <f aca="false">VLOOKUP($A11,Table,MATCH(M$4,Curves,0))</f>
        <v>4</v>
      </c>
      <c r="N11" s="125" t="n">
        <f aca="false">M11+$N$7</f>
        <v>4</v>
      </c>
      <c r="O11" s="126" t="n">
        <v>0.12</v>
      </c>
      <c r="P11" s="114"/>
      <c r="Q11" s="126" t="n">
        <f aca="false">M11+J11+G11</f>
        <v>11</v>
      </c>
      <c r="R11" s="126" t="n">
        <f aca="false">N11+K11+H11</f>
        <v>11</v>
      </c>
      <c r="S11" s="126" t="n">
        <f aca="false">O11+L11+I11</f>
        <v>7.12</v>
      </c>
      <c r="T11" s="127"/>
      <c r="U11" s="5" t="n">
        <f aca="false">A12-A11</f>
        <v>31</v>
      </c>
      <c r="V11" s="128" t="n">
        <f aca="false">CHOOSE(F$3,A12+24,A11)</f>
        <v>37316</v>
      </c>
      <c r="W11" s="5" t="n">
        <f aca="false">V11-C$3</f>
        <v>85</v>
      </c>
      <c r="X11" s="124" t="n">
        <f aca="false">VLOOKUP($A11,Table,MATCH(X$4,Curves,0))</f>
        <v>2</v>
      </c>
      <c r="Y11" s="129" t="n">
        <f aca="false">1/(1+CHOOSE(F$3,(X12+($K$3/10000))/2,(X11+($K$3/10000))/2))^(2*W11/365.25)</f>
        <v>0.724252852225689</v>
      </c>
      <c r="Z11" s="5" t="n">
        <f aca="false">IF(AND(mthbeg&lt;=A11,mthend&gt;=A11),1,0)</f>
        <v>1</v>
      </c>
      <c r="AA11" s="5" t="n">
        <f aca="false">U11*Z11</f>
        <v>31</v>
      </c>
      <c r="AC11" s="115" t="n">
        <f aca="false">IF(G4=2,F11*(S11-Q11),F11*(Q11-S11))</f>
        <v>217782.832664265</v>
      </c>
      <c r="AE11" s="116" t="n">
        <f aca="false">IF($G$3=1,F11*(R11-Q11),F11*(Q11-R11))</f>
        <v>0</v>
      </c>
      <c r="AG11" s="116" t="n">
        <f aca="false">AC11+AE11</f>
        <v>217782.832664265</v>
      </c>
    </row>
    <row r="12" customFormat="false" ht="12.75" hidden="false" customHeight="false" outlineLevel="0" collapsed="false">
      <c r="A12" s="120" t="n">
        <f aca="false">EDATE(A11,1)</f>
        <v>37347</v>
      </c>
      <c r="B12" s="121" t="n">
        <f aca="false">VLOOKUP(A12,'Inputs-Summary'!$A$32:$E$41,3,FALSE())</f>
        <v>1500</v>
      </c>
      <c r="C12" s="122"/>
      <c r="D12" s="123" t="n">
        <f aca="false">B12+C12</f>
        <v>1500</v>
      </c>
      <c r="E12" s="111" t="n">
        <f aca="false">IF(Z12=0,0,IF(AND(Z12=1,$H$3=1),D12*U12,IF($H$3=2,D12,"N/A")))</f>
        <v>45000</v>
      </c>
      <c r="F12" s="111" t="n">
        <f aca="false">E12*Y12</f>
        <v>28973.6937217341</v>
      </c>
      <c r="G12" s="124" t="n">
        <f aca="false">VLOOKUP($A12,Table,MATCH(G$4,Curves,0))</f>
        <v>3</v>
      </c>
      <c r="H12" s="125" t="n">
        <f aca="false">G12+$H$7</f>
        <v>3</v>
      </c>
      <c r="I12" s="124" t="n">
        <f aca="false">H12</f>
        <v>3</v>
      </c>
      <c r="J12" s="124" t="n">
        <f aca="false">VLOOKUP($A12,Table,MATCH(J$4,Curves,0))</f>
        <v>4</v>
      </c>
      <c r="K12" s="125" t="n">
        <f aca="false">J12+$K$7</f>
        <v>4</v>
      </c>
      <c r="L12" s="126" t="n">
        <f aca="false">K12</f>
        <v>4</v>
      </c>
      <c r="M12" s="124" t="n">
        <f aca="false">VLOOKUP($A12,Table,MATCH(M$4,Curves,0))</f>
        <v>4</v>
      </c>
      <c r="N12" s="125" t="n">
        <f aca="false">M12+$N$7</f>
        <v>4</v>
      </c>
      <c r="O12" s="126" t="n">
        <v>0.12</v>
      </c>
      <c r="P12" s="114"/>
      <c r="Q12" s="126" t="n">
        <f aca="false">M12+J12+G12</f>
        <v>11</v>
      </c>
      <c r="R12" s="126" t="n">
        <f aca="false">N12+K12+H12</f>
        <v>11</v>
      </c>
      <c r="S12" s="126" t="n">
        <f aca="false">O12+L12+I12</f>
        <v>7.12</v>
      </c>
      <c r="T12" s="127"/>
      <c r="U12" s="5" t="n">
        <f aca="false">A13-A12</f>
        <v>30</v>
      </c>
      <c r="V12" s="128" t="n">
        <f aca="false">CHOOSE(F$3,A13+24,A12)</f>
        <v>37347</v>
      </c>
      <c r="W12" s="5" t="n">
        <f aca="false">V12-C$3</f>
        <v>116</v>
      </c>
      <c r="X12" s="124" t="n">
        <f aca="false">VLOOKUP($A12,Table,MATCH(X$4,Curves,0))</f>
        <v>2</v>
      </c>
      <c r="Y12" s="129" t="n">
        <f aca="false">1/(1+CHOOSE(F$3,(X13+($K$3/10000))/2,(X12+($K$3/10000))/2))^(2*W12/365.25)</f>
        <v>0.64385986048298</v>
      </c>
      <c r="Z12" s="5" t="n">
        <f aca="false">IF(AND(mthbeg&lt;=A12,mthend&gt;=A12),1,0)</f>
        <v>1</v>
      </c>
      <c r="AA12" s="5" t="n">
        <f aca="false">U12*Z12</f>
        <v>30</v>
      </c>
      <c r="AC12" s="115" t="n">
        <f aca="false">IF(G5=2,F12*(S12-Q12),F12*(Q12-S12))</f>
        <v>112417.931640328</v>
      </c>
      <c r="AE12" s="116" t="n">
        <f aca="false">IF($G$3=1,F12*(R12-Q12),F12*(Q12-R12))</f>
        <v>0</v>
      </c>
      <c r="AG12" s="116" t="n">
        <f aca="false">AC12+AE12</f>
        <v>112417.931640328</v>
      </c>
    </row>
    <row r="13" customFormat="false" ht="12.75" hidden="false" customHeight="false" outlineLevel="0" collapsed="false">
      <c r="A13" s="120" t="n">
        <f aca="false">EDATE(A12,1)</f>
        <v>37377</v>
      </c>
      <c r="B13" s="121" t="n">
        <f aca="false">VLOOKUP(A13,'Inputs-Summary'!$A$32:$E$41,3,FALSE())</f>
        <v>1500</v>
      </c>
      <c r="C13" s="122"/>
      <c r="D13" s="123" t="n">
        <f aca="false">B13+C13</f>
        <v>1500</v>
      </c>
      <c r="E13" s="111" t="n">
        <f aca="false">IF(Z13=0,0,IF(AND(Z13=1,$H$3=1),D13*U13,IF($H$3=2,D13,"N/A")))</f>
        <v>46500</v>
      </c>
      <c r="F13" s="111" t="n">
        <f aca="false">E13*Y13</f>
        <v>26717.3753214532</v>
      </c>
      <c r="G13" s="124" t="n">
        <f aca="false">VLOOKUP($A13,Table,MATCH(G$4,Curves,0))</f>
        <v>3</v>
      </c>
      <c r="H13" s="125" t="n">
        <f aca="false">G13+$H$7</f>
        <v>3</v>
      </c>
      <c r="I13" s="124" t="n">
        <f aca="false">H13</f>
        <v>3</v>
      </c>
      <c r="J13" s="124" t="n">
        <f aca="false">VLOOKUP($A13,Table,MATCH(J$4,Curves,0))</f>
        <v>4</v>
      </c>
      <c r="K13" s="125" t="n">
        <f aca="false">J13+$K$7</f>
        <v>4</v>
      </c>
      <c r="L13" s="126" t="n">
        <f aca="false">K13</f>
        <v>4</v>
      </c>
      <c r="M13" s="124" t="n">
        <f aca="false">VLOOKUP($A13,Table,MATCH(M$4,Curves,0))</f>
        <v>4</v>
      </c>
      <c r="N13" s="125" t="n">
        <f aca="false">M13+$N$7</f>
        <v>4</v>
      </c>
      <c r="O13" s="126" t="n">
        <v>0.12</v>
      </c>
      <c r="P13" s="114"/>
      <c r="Q13" s="126" t="n">
        <f aca="false">M13+J13+G13</f>
        <v>11</v>
      </c>
      <c r="R13" s="126" t="n">
        <f aca="false">N13+K13+H13</f>
        <v>11</v>
      </c>
      <c r="S13" s="126" t="n">
        <f aca="false">O13+L13+I13</f>
        <v>7.12</v>
      </c>
      <c r="T13" s="127"/>
      <c r="U13" s="5" t="n">
        <f aca="false">A14-A13</f>
        <v>31</v>
      </c>
      <c r="V13" s="128" t="n">
        <f aca="false">CHOOSE(F$3,A14+24,A13)</f>
        <v>37377</v>
      </c>
      <c r="W13" s="5" t="n">
        <f aca="false">V13-C$3</f>
        <v>146</v>
      </c>
      <c r="X13" s="124" t="n">
        <f aca="false">VLOOKUP($A13,Table,MATCH(X$4,Curves,0))</f>
        <v>2</v>
      </c>
      <c r="Y13" s="129" t="n">
        <f aca="false">1/(1+CHOOSE(F$3,(X14+($K$3/10000))/2,(X13+($K$3/10000))/2))^(2*W13/365.25)</f>
        <v>0.574567211214048</v>
      </c>
      <c r="Z13" s="5" t="n">
        <f aca="false">IF(AND(mthbeg&lt;=A13,mthend&gt;=A13),1,0)</f>
        <v>1</v>
      </c>
      <c r="AA13" s="5" t="n">
        <f aca="false">U13*Z13</f>
        <v>31</v>
      </c>
      <c r="AC13" s="115" t="n">
        <f aca="false">IF(G6=2,F13*(S13-Q13),F13*(Q13-S13))</f>
        <v>103663.416247239</v>
      </c>
      <c r="AE13" s="116" t="n">
        <f aca="false">IF($G$3=1,F13*(R13-Q13),F13*(Q13-R13))</f>
        <v>0</v>
      </c>
      <c r="AG13" s="116" t="n">
        <f aca="false">AC13+AE13</f>
        <v>103663.416247239</v>
      </c>
    </row>
    <row r="14" customFormat="false" ht="12.75" hidden="false" customHeight="false" outlineLevel="0" collapsed="false">
      <c r="A14" s="120" t="n">
        <f aca="false">EDATE(A13,1)</f>
        <v>37408</v>
      </c>
      <c r="B14" s="121" t="n">
        <f aca="false">VLOOKUP(A14,'Inputs-Summary'!$A$32:$E$41,3,FALSE())</f>
        <v>1500</v>
      </c>
      <c r="C14" s="122"/>
      <c r="D14" s="123" t="n">
        <f aca="false">B14+C14</f>
        <v>1500</v>
      </c>
      <c r="E14" s="111" t="n">
        <f aca="false">IF(Z14=0,0,IF(AND(Z14=1,$H$3=1),D14*U14,IF($H$3=2,D14,"N/A")))</f>
        <v>45000</v>
      </c>
      <c r="F14" s="111" t="n">
        <f aca="false">E14*Y14</f>
        <v>22985.5282573042</v>
      </c>
      <c r="G14" s="124" t="n">
        <f aca="false">VLOOKUP($A14,Table,MATCH(G$4,Curves,0))</f>
        <v>3</v>
      </c>
      <c r="H14" s="125" t="n">
        <f aca="false">G14+$H$7</f>
        <v>3</v>
      </c>
      <c r="I14" s="124" t="n">
        <f aca="false">H14</f>
        <v>3</v>
      </c>
      <c r="J14" s="124" t="n">
        <f aca="false">VLOOKUP($A14,Table,MATCH(J$4,Curves,0))</f>
        <v>4</v>
      </c>
      <c r="K14" s="125" t="n">
        <f aca="false">J14+$K$7</f>
        <v>4</v>
      </c>
      <c r="L14" s="126" t="n">
        <f aca="false">K14</f>
        <v>4</v>
      </c>
      <c r="M14" s="124" t="n">
        <f aca="false">VLOOKUP($A14,Table,MATCH(M$4,Curves,0))</f>
        <v>4</v>
      </c>
      <c r="N14" s="125" t="n">
        <f aca="false">M14+$N$7</f>
        <v>4</v>
      </c>
      <c r="O14" s="126" t="n">
        <v>0.12</v>
      </c>
      <c r="P14" s="114"/>
      <c r="Q14" s="126" t="n">
        <f aca="false">M14+J14+G14</f>
        <v>11</v>
      </c>
      <c r="R14" s="126" t="n">
        <f aca="false">N14+K14+H14</f>
        <v>11</v>
      </c>
      <c r="S14" s="126" t="n">
        <f aca="false">O14+L14+I14</f>
        <v>7.12</v>
      </c>
      <c r="T14" s="127"/>
      <c r="U14" s="5" t="n">
        <f aca="false">A15-A14</f>
        <v>30</v>
      </c>
      <c r="V14" s="128" t="n">
        <f aca="false">CHOOSE(F$3,A15+24,A14)</f>
        <v>37408</v>
      </c>
      <c r="W14" s="5" t="n">
        <f aca="false">V14-C$3</f>
        <v>177</v>
      </c>
      <c r="X14" s="124" t="n">
        <f aca="false">VLOOKUP($A14,Table,MATCH(X$4,Curves,0))</f>
        <v>2</v>
      </c>
      <c r="Y14" s="129" t="n">
        <f aca="false">1/(1+CHOOSE(F$3,(X15+($K$3/10000))/2,(X14+($K$3/10000))/2))^(2*W14/365.25)</f>
        <v>0.510789516828982</v>
      </c>
      <c r="Z14" s="5" t="n">
        <f aca="false">IF(AND(mthbeg&lt;=A14,mthend&gt;=A14),1,0)</f>
        <v>1</v>
      </c>
      <c r="AA14" s="5" t="n">
        <f aca="false">U14*Z14</f>
        <v>30</v>
      </c>
      <c r="AC14" s="115" t="n">
        <f aca="false">IF(G7=2,F14*(S14-Q14),F14*(Q14-S14))</f>
        <v>89183.8496383403</v>
      </c>
      <c r="AE14" s="116" t="n">
        <f aca="false">IF($G$3=1,F14*(R14-Q14),F14*(Q14-R14))</f>
        <v>0</v>
      </c>
      <c r="AG14" s="116" t="n">
        <f aca="false">AC14+AE14</f>
        <v>89183.8496383403</v>
      </c>
    </row>
    <row r="15" customFormat="false" ht="12.75" hidden="false" customHeight="false" outlineLevel="0" collapsed="false">
      <c r="A15" s="120" t="n">
        <f aca="false">EDATE(A14,1)</f>
        <v>37438</v>
      </c>
      <c r="B15" s="121" t="n">
        <f aca="false">VLOOKUP(A15,'Inputs-Summary'!$A$32:$E$41,3,FALSE())</f>
        <v>1500</v>
      </c>
      <c r="C15" s="122"/>
      <c r="D15" s="123" t="n">
        <f aca="false">B15+C15</f>
        <v>1500</v>
      </c>
      <c r="E15" s="111" t="n">
        <f aca="false">IF(Z15=0,0,IF(AND(Z15=1,$H$3=1),D15*U15,IF($H$3=2,D15,"N/A")))</f>
        <v>46500</v>
      </c>
      <c r="F15" s="111" t="n">
        <f aca="false">E15*Y15</f>
        <v>21195.5365895098</v>
      </c>
      <c r="G15" s="124" t="n">
        <f aca="false">VLOOKUP($A15,Table,MATCH(G$4,Curves,0))</f>
        <v>3</v>
      </c>
      <c r="H15" s="125" t="n">
        <f aca="false">G15+$H$7</f>
        <v>3</v>
      </c>
      <c r="I15" s="124" t="n">
        <f aca="false">H15</f>
        <v>3</v>
      </c>
      <c r="J15" s="124" t="n">
        <f aca="false">VLOOKUP($A15,Table,MATCH(J$4,Curves,0))</f>
        <v>4</v>
      </c>
      <c r="K15" s="125" t="n">
        <f aca="false">J15+$K$7</f>
        <v>4</v>
      </c>
      <c r="L15" s="126" t="n">
        <f aca="false">K15</f>
        <v>4</v>
      </c>
      <c r="M15" s="124" t="n">
        <f aca="false">VLOOKUP($A15,Table,MATCH(M$4,Curves,0))</f>
        <v>4</v>
      </c>
      <c r="N15" s="125" t="n">
        <f aca="false">M15+$N$7</f>
        <v>4</v>
      </c>
      <c r="O15" s="126" t="n">
        <v>0.12</v>
      </c>
      <c r="P15" s="114"/>
      <c r="Q15" s="126" t="n">
        <f aca="false">M15+J15+G15</f>
        <v>11</v>
      </c>
      <c r="R15" s="126" t="n">
        <f aca="false">N15+K15+H15</f>
        <v>11</v>
      </c>
      <c r="S15" s="126" t="n">
        <f aca="false">O15+L15+I15</f>
        <v>7.12</v>
      </c>
      <c r="T15" s="127"/>
      <c r="U15" s="5" t="n">
        <f aca="false">A16-A15</f>
        <v>31</v>
      </c>
      <c r="V15" s="128" t="n">
        <f aca="false">CHOOSE(F$3,A16+24,A15)</f>
        <v>37438</v>
      </c>
      <c r="W15" s="5" t="n">
        <f aca="false">V15-C$3</f>
        <v>207</v>
      </c>
      <c r="X15" s="124" t="n">
        <f aca="false">VLOOKUP($A15,Table,MATCH(X$4,Curves,0))</f>
        <v>2</v>
      </c>
      <c r="Y15" s="129" t="n">
        <f aca="false">1/(1+CHOOSE(F$3,(X16+($K$3/10000))/2,(X15+($K$3/10000))/2))^(2*W15/365.25)</f>
        <v>0.455817991172253</v>
      </c>
      <c r="Z15" s="5" t="n">
        <f aca="false">IF(AND(mthbeg&lt;=A15,mthend&gt;=A15),1,0)</f>
        <v>1</v>
      </c>
      <c r="AA15" s="5" t="n">
        <f aca="false">U15*Z15</f>
        <v>31</v>
      </c>
      <c r="AC15" s="115" t="n">
        <f aca="false">IF(G8=2,F15*(S15-Q15),F15*(Q15-S15))</f>
        <v>82238.6819672979</v>
      </c>
      <c r="AE15" s="116" t="n">
        <f aca="false">IF($G$3=1,F15*(R15-Q15),F15*(Q15-R15))</f>
        <v>0</v>
      </c>
      <c r="AG15" s="116" t="n">
        <f aca="false">AC15+AE15</f>
        <v>82238.6819672979</v>
      </c>
    </row>
    <row r="16" customFormat="false" ht="12.75" hidden="false" customHeight="false" outlineLevel="0" collapsed="false">
      <c r="A16" s="120" t="n">
        <f aca="false">EDATE(A15,1)</f>
        <v>37469</v>
      </c>
      <c r="B16" s="121" t="n">
        <f aca="false">VLOOKUP(A16,'Inputs-Summary'!$A$32:$E$41,3,FALSE())</f>
        <v>1500</v>
      </c>
      <c r="C16" s="122"/>
      <c r="D16" s="123" t="n">
        <f aca="false">B16+C16</f>
        <v>1500</v>
      </c>
      <c r="E16" s="111" t="n">
        <f aca="false">IF(Z16=0,0,IF(AND(Z16=1,$H$3=1),D16*U16,IF($H$3=2,D16,"N/A")))</f>
        <v>46500</v>
      </c>
      <c r="F16" s="111" t="n">
        <f aca="false">E16*Y16</f>
        <v>18842.8049533329</v>
      </c>
      <c r="G16" s="124" t="n">
        <f aca="false">VLOOKUP($A16,Table,MATCH(G$4,Curves,0))</f>
        <v>3</v>
      </c>
      <c r="H16" s="125" t="n">
        <f aca="false">G16+$H$7</f>
        <v>3</v>
      </c>
      <c r="I16" s="124" t="n">
        <f aca="false">H16</f>
        <v>3</v>
      </c>
      <c r="J16" s="124" t="n">
        <f aca="false">VLOOKUP($A16,Table,MATCH(J$4,Curves,0))</f>
        <v>4</v>
      </c>
      <c r="K16" s="125" t="n">
        <f aca="false">J16+$K$7</f>
        <v>4</v>
      </c>
      <c r="L16" s="126" t="n">
        <f aca="false">K16</f>
        <v>4</v>
      </c>
      <c r="M16" s="124" t="n">
        <f aca="false">VLOOKUP($A16,Table,MATCH(M$4,Curves,0))</f>
        <v>4</v>
      </c>
      <c r="N16" s="125" t="n">
        <f aca="false">M16+$N$7</f>
        <v>4</v>
      </c>
      <c r="O16" s="126" t="n">
        <v>0.12</v>
      </c>
      <c r="P16" s="114"/>
      <c r="Q16" s="126" t="n">
        <f aca="false">M16+J16+G16</f>
        <v>11</v>
      </c>
      <c r="R16" s="126" t="n">
        <f aca="false">N16+K16+H16</f>
        <v>11</v>
      </c>
      <c r="S16" s="126" t="n">
        <f aca="false">O16+L16+I16</f>
        <v>7.12</v>
      </c>
      <c r="T16" s="127"/>
      <c r="U16" s="5" t="n">
        <f aca="false">A17-A16</f>
        <v>31</v>
      </c>
      <c r="V16" s="128" t="n">
        <f aca="false">CHOOSE(F$3,A17+24,A16)</f>
        <v>37469</v>
      </c>
      <c r="W16" s="5" t="n">
        <f aca="false">V16-C$3</f>
        <v>238</v>
      </c>
      <c r="X16" s="124" t="n">
        <f aca="false">VLOOKUP($A16,Table,MATCH(X$4,Curves,0))</f>
        <v>2</v>
      </c>
      <c r="Y16" s="129" t="n">
        <f aca="false">1/(1+CHOOSE(F$3,(X17+($K$3/10000))/2,(X16+($K$3/10000))/2))^(2*W16/365.25)</f>
        <v>0.405221611899631</v>
      </c>
      <c r="Z16" s="5" t="n">
        <f aca="false">IF(AND(mthbeg&lt;=A16,mthend&gt;=A16),1,0)</f>
        <v>1</v>
      </c>
      <c r="AA16" s="5" t="n">
        <f aca="false">U16*Z16</f>
        <v>31</v>
      </c>
      <c r="AC16" s="115" t="n">
        <f aca="false">IF(G9=2,F16*(S16-Q16),F16*(Q16-S16))</f>
        <v>73110.0832189315</v>
      </c>
      <c r="AE16" s="116" t="n">
        <f aca="false">IF($G$3=1,F16*(R16-Q16),F16*(Q16-R16))</f>
        <v>0</v>
      </c>
      <c r="AG16" s="116" t="n">
        <f aca="false">AC16+AE16</f>
        <v>73110.0832189315</v>
      </c>
    </row>
    <row r="17" customFormat="false" ht="12.75" hidden="false" customHeight="false" outlineLevel="0" collapsed="false">
      <c r="A17" s="120" t="n">
        <f aca="false">EDATE(A16,1)</f>
        <v>37500</v>
      </c>
      <c r="B17" s="121" t="n">
        <f aca="false">VLOOKUP(A17,'Inputs-Summary'!$A$32:$E$41,3,FALSE())</f>
        <v>1500</v>
      </c>
      <c r="C17" s="122"/>
      <c r="D17" s="123" t="n">
        <f aca="false">B17+C17</f>
        <v>1500</v>
      </c>
      <c r="E17" s="111" t="n">
        <f aca="false">IF(Z17=0,0,IF(AND(Z17=1,$H$3=1),D17*U17,IF($H$3=2,D17,"N/A")))</f>
        <v>45000</v>
      </c>
      <c r="F17" s="111" t="n">
        <f aca="false">E17*Y17</f>
        <v>16210.8672910669</v>
      </c>
      <c r="G17" s="124" t="n">
        <f aca="false">VLOOKUP($A17,Table,MATCH(G$4,Curves,0))</f>
        <v>3</v>
      </c>
      <c r="H17" s="125" t="n">
        <f aca="false">G17+$H$7</f>
        <v>3</v>
      </c>
      <c r="I17" s="124" t="n">
        <f aca="false">H17</f>
        <v>3</v>
      </c>
      <c r="J17" s="124" t="n">
        <f aca="false">VLOOKUP($A17,Table,MATCH(J$4,Curves,0))</f>
        <v>4</v>
      </c>
      <c r="K17" s="125" t="n">
        <f aca="false">J17+$K$7</f>
        <v>4</v>
      </c>
      <c r="L17" s="126" t="n">
        <f aca="false">K17</f>
        <v>4</v>
      </c>
      <c r="M17" s="124" t="n">
        <f aca="false">VLOOKUP($A17,Table,MATCH(M$4,Curves,0))</f>
        <v>4</v>
      </c>
      <c r="N17" s="125" t="n">
        <f aca="false">M17+$N$7</f>
        <v>4</v>
      </c>
      <c r="O17" s="126" t="n">
        <v>0.12</v>
      </c>
      <c r="P17" s="114"/>
      <c r="Q17" s="126" t="n">
        <f aca="false">M17+J17+G17</f>
        <v>11</v>
      </c>
      <c r="R17" s="126" t="n">
        <f aca="false">N17+K17+H17</f>
        <v>11</v>
      </c>
      <c r="S17" s="126" t="n">
        <f aca="false">O17+L17+I17</f>
        <v>7.12</v>
      </c>
      <c r="T17" s="127"/>
      <c r="U17" s="5" t="n">
        <f aca="false">A18-A17</f>
        <v>30</v>
      </c>
      <c r="V17" s="128" t="n">
        <f aca="false">CHOOSE(F$3,A18+24,A17)</f>
        <v>37500</v>
      </c>
      <c r="W17" s="5" t="n">
        <f aca="false">V17-C$3</f>
        <v>269</v>
      </c>
      <c r="X17" s="124" t="n">
        <f aca="false">VLOOKUP($A17,Table,MATCH(X$4,Curves,0))</f>
        <v>2</v>
      </c>
      <c r="Y17" s="129" t="n">
        <f aca="false">1/(1+CHOOSE(F$3,(X18+($K$3/10000))/2,(X17+($K$3/10000))/2))^(2*W17/365.25)</f>
        <v>0.360241495357042</v>
      </c>
      <c r="Z17" s="5" t="n">
        <f aca="false">IF(AND(mthbeg&lt;=A17,mthend&gt;=A17),1,0)</f>
        <v>1</v>
      </c>
      <c r="AA17" s="5" t="n">
        <f aca="false">U17*Z17</f>
        <v>30</v>
      </c>
      <c r="AC17" s="115" t="n">
        <f aca="false">IF(G10=2,F17*(S17-Q17),F17*(Q17-S17))</f>
        <v>62898.1650893395</v>
      </c>
      <c r="AE17" s="116" t="n">
        <f aca="false">IF($G$3=1,F17*(R17-Q17),F17*(Q17-R17))</f>
        <v>0</v>
      </c>
      <c r="AG17" s="116" t="n">
        <f aca="false">AC17+AE17</f>
        <v>62898.1650893395</v>
      </c>
    </row>
    <row r="18" customFormat="false" ht="12.75" hidden="false" customHeight="false" outlineLevel="0" collapsed="false">
      <c r="A18" s="120" t="n">
        <f aca="false">EDATE(A17,1)</f>
        <v>37530</v>
      </c>
      <c r="B18" s="121" t="n">
        <f aca="false">VLOOKUP(A18,'Inputs-Summary'!$A$32:$E$41,3,FALSE())</f>
        <v>1500</v>
      </c>
      <c r="C18" s="122"/>
      <c r="D18" s="123" t="n">
        <f aca="false">B18+C18</f>
        <v>1500</v>
      </c>
      <c r="E18" s="111" t="n">
        <f aca="false">IF(Z18=0,0,IF(AND(Z18=1,$H$3=1),D18*U18,IF($H$3=2,D18,"N/A")))</f>
        <v>46500</v>
      </c>
      <c r="F18" s="111" t="n">
        <f aca="false">E18*Y18</f>
        <v>14948.4504758471</v>
      </c>
      <c r="G18" s="124" t="n">
        <f aca="false">VLOOKUP($A18,Table,MATCH(G$4,Curves,0))</f>
        <v>3</v>
      </c>
      <c r="H18" s="125" t="n">
        <f aca="false">G18+$H$7</f>
        <v>3</v>
      </c>
      <c r="I18" s="124" t="n">
        <f aca="false">H18</f>
        <v>3</v>
      </c>
      <c r="J18" s="124" t="n">
        <f aca="false">VLOOKUP($A18,Table,MATCH(J$4,Curves,0))</f>
        <v>4</v>
      </c>
      <c r="K18" s="125" t="n">
        <f aca="false">J18+$K$7</f>
        <v>4</v>
      </c>
      <c r="L18" s="126" t="n">
        <f aca="false">K18</f>
        <v>4</v>
      </c>
      <c r="M18" s="124" t="n">
        <f aca="false">VLOOKUP($A18,Table,MATCH(M$4,Curves,0))</f>
        <v>4</v>
      </c>
      <c r="N18" s="125" t="n">
        <f aca="false">M18+$N$7</f>
        <v>4</v>
      </c>
      <c r="O18" s="126" t="n">
        <v>0.12</v>
      </c>
      <c r="P18" s="114"/>
      <c r="Q18" s="126" t="n">
        <f aca="false">M18+J18+G18</f>
        <v>11</v>
      </c>
      <c r="R18" s="126" t="n">
        <f aca="false">N18+K18+H18</f>
        <v>11</v>
      </c>
      <c r="S18" s="126" t="n">
        <f aca="false">O18+L18+I18</f>
        <v>7.12</v>
      </c>
      <c r="T18" s="127"/>
      <c r="U18" s="5" t="n">
        <f aca="false">A19-A18</f>
        <v>31</v>
      </c>
      <c r="V18" s="128" t="n">
        <f aca="false">CHOOSE(F$3,A19+24,A18)</f>
        <v>37530</v>
      </c>
      <c r="W18" s="5" t="n">
        <f aca="false">V18-C$3</f>
        <v>299</v>
      </c>
      <c r="X18" s="124" t="n">
        <f aca="false">VLOOKUP($A18,Table,MATCH(X$4,Curves,0))</f>
        <v>2</v>
      </c>
      <c r="Y18" s="129" t="n">
        <f aca="false">1/(1+CHOOSE(F$3,(X19+($K$3/10000))/2,(X18+($K$3/10000))/2))^(2*W18/365.25)</f>
        <v>0.321472053244023</v>
      </c>
      <c r="Z18" s="5" t="n">
        <f aca="false">IF(AND(mthbeg&lt;=A18,mthend&gt;=A18),1,0)</f>
        <v>1</v>
      </c>
      <c r="AA18" s="5" t="n">
        <f aca="false">U18*Z18</f>
        <v>31</v>
      </c>
      <c r="AC18" s="115" t="n">
        <f aca="false">IF(G11=2,F18*(S18-Q18),F18*(Q18-S18))</f>
        <v>57999.9878462867</v>
      </c>
      <c r="AE18" s="116" t="n">
        <f aca="false">IF($G$3=1,F18*(R18-Q18),F18*(Q18-R18))</f>
        <v>0</v>
      </c>
      <c r="AG18" s="116" t="n">
        <f aca="false">AC18+AE18</f>
        <v>57999.9878462867</v>
      </c>
    </row>
    <row r="19" customFormat="false" ht="12.75" hidden="false" customHeight="false" outlineLevel="0" collapsed="false">
      <c r="A19" s="120" t="n">
        <f aca="false">EDATE(A18,1)</f>
        <v>37561</v>
      </c>
      <c r="B19" s="121" t="e">
        <f aca="false">VLOOKUP(A19,'Inputs-Summary'!$A$32:$E$41,3,FALSE())</f>
        <v>#N/A</v>
      </c>
      <c r="C19" s="122"/>
      <c r="D19" s="123" t="e">
        <f aca="false">B19+C19</f>
        <v>#N/A</v>
      </c>
      <c r="E19" s="111" t="n">
        <f aca="false">IF(Z19=0,0,IF(AND(Z19=1,$H$3=1),D19*U19,IF($H$3=2,D19,"N/A")))</f>
        <v>0</v>
      </c>
      <c r="F19" s="111" t="n">
        <f aca="false">E19*Y19</f>
        <v>0</v>
      </c>
      <c r="G19" s="124" t="n">
        <f aca="false">VLOOKUP($A19,Table,MATCH(G$4,Curves,0))</f>
        <v>3</v>
      </c>
      <c r="H19" s="125" t="n">
        <f aca="false">G19+$H$7</f>
        <v>3</v>
      </c>
      <c r="I19" s="124" t="n">
        <f aca="false">H19</f>
        <v>3</v>
      </c>
      <c r="J19" s="124" t="n">
        <f aca="false">VLOOKUP($A19,Table,MATCH(J$4,Curves,0))</f>
        <v>4</v>
      </c>
      <c r="K19" s="125" t="n">
        <f aca="false">J19+$K$7</f>
        <v>4</v>
      </c>
      <c r="L19" s="126" t="n">
        <f aca="false">K19</f>
        <v>4</v>
      </c>
      <c r="M19" s="124" t="n">
        <f aca="false">VLOOKUP($A19,Table,MATCH(M$4,Curves,0))</f>
        <v>4</v>
      </c>
      <c r="N19" s="125" t="n">
        <f aca="false">M19+$N$7</f>
        <v>4</v>
      </c>
      <c r="O19" s="126" t="n">
        <v>0.12</v>
      </c>
      <c r="P19" s="114"/>
      <c r="Q19" s="126" t="n">
        <f aca="false">M19+J19+G19</f>
        <v>11</v>
      </c>
      <c r="R19" s="126" t="n">
        <f aca="false">N19+K19+H19</f>
        <v>11</v>
      </c>
      <c r="S19" s="126" t="n">
        <f aca="false">O19+L19+I19</f>
        <v>7.12</v>
      </c>
      <c r="T19" s="127"/>
      <c r="U19" s="5" t="n">
        <f aca="false">A20-A19</f>
        <v>30</v>
      </c>
      <c r="V19" s="128" t="n">
        <f aca="false">CHOOSE(F$3,A20+24,A19)</f>
        <v>37561</v>
      </c>
      <c r="W19" s="5" t="n">
        <f aca="false">V19-C$3</f>
        <v>330</v>
      </c>
      <c r="X19" s="124" t="n">
        <f aca="false">VLOOKUP($A19,Table,MATCH(X$4,Curves,0))</f>
        <v>2</v>
      </c>
      <c r="Y19" s="129" t="n">
        <f aca="false">1/(1+CHOOSE(F$3,(X20+($K$3/10000))/2,(X19+($K$3/10000))/2))^(2*W19/365.25)</f>
        <v>0.285788244692165</v>
      </c>
      <c r="Z19" s="5" t="n">
        <f aca="false">IF(AND(mthbeg&lt;=A19,mthend&gt;=A19),1,0)</f>
        <v>0</v>
      </c>
      <c r="AA19" s="5" t="n">
        <f aca="false">U19*Z19</f>
        <v>0</v>
      </c>
      <c r="AC19" s="115" t="n">
        <f aca="false">IF(G12=2,F19*(S19-Q19),F19*(Q19-S19))</f>
        <v>0</v>
      </c>
      <c r="AE19" s="116" t="n">
        <f aca="false">IF($G$3=1,F19*(R19-Q19),F19*(Q19-R19))</f>
        <v>0</v>
      </c>
      <c r="AG19" s="116" t="n">
        <f aca="false">AC19+AE19</f>
        <v>0</v>
      </c>
    </row>
    <row r="20" customFormat="false" ht="12.75" hidden="false" customHeight="false" outlineLevel="0" collapsed="false">
      <c r="A20" s="120" t="n">
        <f aca="false">EDATE(A19,1)</f>
        <v>37591</v>
      </c>
      <c r="B20" s="121" t="e">
        <f aca="false">VLOOKUP(A20,'Inputs-Summary'!$A$32:$E$41,3,FALSE())</f>
        <v>#N/A</v>
      </c>
      <c r="C20" s="122"/>
      <c r="D20" s="123" t="e">
        <f aca="false">B20+C20</f>
        <v>#N/A</v>
      </c>
      <c r="E20" s="111" t="n">
        <f aca="false">IF(Z20=0,0,IF(AND(Z20=1,$H$3=1),D20*U20,IF($H$3=2,D20,"N/A")))</f>
        <v>0</v>
      </c>
      <c r="F20" s="111" t="n">
        <f aca="false">E20*Y20</f>
        <v>0</v>
      </c>
      <c r="G20" s="124" t="n">
        <f aca="false">VLOOKUP($A20,Table,MATCH(G$4,Curves,0))</f>
        <v>3</v>
      </c>
      <c r="H20" s="125" t="n">
        <f aca="false">G20+$H$7</f>
        <v>3</v>
      </c>
      <c r="I20" s="124" t="n">
        <f aca="false">H20</f>
        <v>3</v>
      </c>
      <c r="J20" s="124" t="n">
        <f aca="false">VLOOKUP($A20,Table,MATCH(J$4,Curves,0))</f>
        <v>4</v>
      </c>
      <c r="K20" s="125" t="n">
        <f aca="false">J20+$K$7</f>
        <v>4</v>
      </c>
      <c r="L20" s="126" t="n">
        <f aca="false">K20</f>
        <v>4</v>
      </c>
      <c r="M20" s="124" t="n">
        <f aca="false">VLOOKUP($A20,Table,MATCH(M$4,Curves,0))</f>
        <v>4</v>
      </c>
      <c r="N20" s="125" t="n">
        <f aca="false">M20+$N$7</f>
        <v>4</v>
      </c>
      <c r="O20" s="126" t="n">
        <v>0.12</v>
      </c>
      <c r="P20" s="114"/>
      <c r="Q20" s="126" t="n">
        <f aca="false">M20+J20+G20</f>
        <v>11</v>
      </c>
      <c r="R20" s="126" t="n">
        <f aca="false">N20+K20+H20</f>
        <v>11</v>
      </c>
      <c r="S20" s="126" t="n">
        <f aca="false">O20+L20+I20</f>
        <v>7.12</v>
      </c>
      <c r="T20" s="127"/>
      <c r="U20" s="5" t="n">
        <f aca="false">A21-A20</f>
        <v>31</v>
      </c>
      <c r="V20" s="128" t="n">
        <f aca="false">CHOOSE(F$3,A21+24,A20)</f>
        <v>37591</v>
      </c>
      <c r="W20" s="5" t="n">
        <f aca="false">V20-C$3</f>
        <v>360</v>
      </c>
      <c r="X20" s="124" t="n">
        <f aca="false">VLOOKUP($A20,Table,MATCH(X$4,Curves,0))</f>
        <v>2</v>
      </c>
      <c r="Y20" s="129" t="n">
        <f aca="false">1/(1+CHOOSE(F$3,(X21+($K$3/10000))/2,(X20+($K$3/10000))/2))^(2*W20/365.25)</f>
        <v>0.255031513577132</v>
      </c>
      <c r="Z20" s="5" t="n">
        <f aca="false">IF(AND(mthbeg&lt;=A20,mthend&gt;=A20),1,0)</f>
        <v>0</v>
      </c>
      <c r="AA20" s="5" t="n">
        <f aca="false">U20*Z20</f>
        <v>0</v>
      </c>
      <c r="AC20" s="115" t="n">
        <f aca="false">IF(G13=2,F20*(S20-Q20),F20*(Q20-S20))</f>
        <v>0</v>
      </c>
      <c r="AE20" s="116" t="n">
        <f aca="false">IF($G$3=1,F20*(R20-Q20),F20*(Q20-R20))</f>
        <v>0</v>
      </c>
      <c r="AG20" s="116" t="n">
        <f aca="false">AC20+AE20</f>
        <v>0</v>
      </c>
    </row>
    <row r="21" customFormat="false" ht="12.75" hidden="false" customHeight="false" outlineLevel="0" collapsed="false">
      <c r="A21" s="120" t="n">
        <f aca="false">EDATE(A20,1)</f>
        <v>37622</v>
      </c>
      <c r="B21" s="121" t="e">
        <f aca="false">VLOOKUP(A21,'Inputs-Summary'!$A$32:$E$41,3,FALSE())</f>
        <v>#N/A</v>
      </c>
      <c r="C21" s="122"/>
      <c r="D21" s="123" t="e">
        <f aca="false">B21+C21</f>
        <v>#N/A</v>
      </c>
      <c r="E21" s="111" t="n">
        <f aca="false">IF(Z21=0,0,IF(AND(Z21=1,$H$3=1),D21*U21,IF($H$3=2,D21,"N/A")))</f>
        <v>0</v>
      </c>
      <c r="F21" s="111" t="n">
        <f aca="false">E21*Y21</f>
        <v>0</v>
      </c>
      <c r="G21" s="124" t="n">
        <f aca="false">VLOOKUP($A21,Table,MATCH(G$4,Curves,0))</f>
        <v>3</v>
      </c>
      <c r="H21" s="125" t="n">
        <f aca="false">G21+$H$7</f>
        <v>3</v>
      </c>
      <c r="I21" s="124" t="n">
        <f aca="false">H21</f>
        <v>3</v>
      </c>
      <c r="J21" s="124" t="n">
        <f aca="false">VLOOKUP($A21,Table,MATCH(J$4,Curves,0))</f>
        <v>4</v>
      </c>
      <c r="K21" s="125" t="n">
        <f aca="false">J21+$K$7</f>
        <v>4</v>
      </c>
      <c r="L21" s="126" t="n">
        <f aca="false">K21</f>
        <v>4</v>
      </c>
      <c r="M21" s="124" t="n">
        <f aca="false">VLOOKUP($A21,Table,MATCH(M$4,Curves,0))</f>
        <v>4</v>
      </c>
      <c r="N21" s="125" t="n">
        <f aca="false">M21+$N$7</f>
        <v>4</v>
      </c>
      <c r="O21" s="126" t="n">
        <v>0.12</v>
      </c>
      <c r="P21" s="114"/>
      <c r="Q21" s="126" t="n">
        <f aca="false">M21+J21+G21</f>
        <v>11</v>
      </c>
      <c r="R21" s="126" t="n">
        <f aca="false">N21+K21+H21</f>
        <v>11</v>
      </c>
      <c r="S21" s="126" t="n">
        <f aca="false">O21+L21+I21</f>
        <v>7.12</v>
      </c>
      <c r="T21" s="127"/>
      <c r="U21" s="5" t="n">
        <f aca="false">A22-A21</f>
        <v>31</v>
      </c>
      <c r="V21" s="128" t="n">
        <f aca="false">CHOOSE(F$3,A22+24,A21)</f>
        <v>37622</v>
      </c>
      <c r="W21" s="5" t="n">
        <f aca="false">V21-C$3</f>
        <v>391</v>
      </c>
      <c r="X21" s="124" t="n">
        <f aca="false">VLOOKUP($A21,Table,MATCH(X$4,Curves,0))</f>
        <v>2</v>
      </c>
      <c r="Y21" s="129" t="n">
        <f aca="false">1/(1+CHOOSE(F$3,(X22+($K$3/10000))/2,(X21+($K$3/10000))/2))^(2*W21/365.25)</f>
        <v>0.226722689798074</v>
      </c>
      <c r="Z21" s="5" t="n">
        <f aca="false">IF(AND(mthbeg&lt;=A21,mthend&gt;=A21),1,0)</f>
        <v>0</v>
      </c>
      <c r="AA21" s="5" t="n">
        <f aca="false">U21*Z21</f>
        <v>0</v>
      </c>
      <c r="AC21" s="115" t="n">
        <f aca="false">IF(G14=2,F21*(S21-Q21),F21*(Q21-S21))</f>
        <v>0</v>
      </c>
      <c r="AE21" s="116" t="n">
        <f aca="false">IF($G$3=1,F21*(R21-Q21),F21*(Q21-R21))</f>
        <v>0</v>
      </c>
      <c r="AG21" s="116" t="n">
        <f aca="false">AC21+AE21</f>
        <v>0</v>
      </c>
    </row>
    <row r="22" customFormat="false" ht="12.75" hidden="false" customHeight="false" outlineLevel="0" collapsed="false">
      <c r="A22" s="120" t="n">
        <f aca="false">EDATE(A21,1)</f>
        <v>37653</v>
      </c>
      <c r="B22" s="121" t="e">
        <f aca="false">VLOOKUP(A22,'Inputs-Summary'!$A$32:$E$41,3,FALSE())</f>
        <v>#N/A</v>
      </c>
      <c r="C22" s="122"/>
      <c r="D22" s="123" t="e">
        <f aca="false">B22+C22</f>
        <v>#N/A</v>
      </c>
      <c r="E22" s="111" t="n">
        <f aca="false">IF(Z22=0,0,IF(AND(Z22=1,$H$3=1),D22*U22,IF($H$3=2,D22,"N/A")))</f>
        <v>0</v>
      </c>
      <c r="F22" s="111" t="n">
        <f aca="false">E22*Y22</f>
        <v>0</v>
      </c>
      <c r="G22" s="124" t="n">
        <f aca="false">VLOOKUP($A22,Table,MATCH(G$4,Curves,0))</f>
        <v>3</v>
      </c>
      <c r="H22" s="125" t="n">
        <f aca="false">G22+$H$7</f>
        <v>3</v>
      </c>
      <c r="I22" s="124" t="n">
        <f aca="false">H22</f>
        <v>3</v>
      </c>
      <c r="J22" s="124" t="n">
        <f aca="false">VLOOKUP($A22,Table,MATCH(J$4,Curves,0))</f>
        <v>4</v>
      </c>
      <c r="K22" s="125" t="n">
        <f aca="false">J22+$K$7</f>
        <v>4</v>
      </c>
      <c r="L22" s="126" t="n">
        <f aca="false">K22</f>
        <v>4</v>
      </c>
      <c r="M22" s="124" t="n">
        <f aca="false">VLOOKUP($A22,Table,MATCH(M$4,Curves,0))</f>
        <v>4</v>
      </c>
      <c r="N22" s="125" t="n">
        <f aca="false">M22+$N$7</f>
        <v>4</v>
      </c>
      <c r="O22" s="126" t="n">
        <v>0.12</v>
      </c>
      <c r="P22" s="114"/>
      <c r="Q22" s="126" t="n">
        <f aca="false">M22+J22+G22</f>
        <v>11</v>
      </c>
      <c r="R22" s="126" t="n">
        <f aca="false">N22+K22+H22</f>
        <v>11</v>
      </c>
      <c r="S22" s="126" t="n">
        <f aca="false">O22+L22+I22</f>
        <v>7.12</v>
      </c>
      <c r="T22" s="127"/>
      <c r="U22" s="5" t="n">
        <f aca="false">A23-A22</f>
        <v>28</v>
      </c>
      <c r="V22" s="128" t="n">
        <f aca="false">CHOOSE(F$3,A23+24,A22)</f>
        <v>37653</v>
      </c>
      <c r="W22" s="5" t="n">
        <f aca="false">V22-C$3</f>
        <v>422</v>
      </c>
      <c r="X22" s="124" t="n">
        <f aca="false">VLOOKUP($A22,Table,MATCH(X$4,Curves,0))</f>
        <v>2</v>
      </c>
      <c r="Y22" s="129" t="n">
        <f aca="false">1/(1+CHOOSE(F$3,(X23+($K$3/10000))/2,(X22+($K$3/10000))/2))^(2*W22/365.25)</f>
        <v>0.2015561816196</v>
      </c>
      <c r="Z22" s="5" t="n">
        <f aca="false">IF(AND(mthbeg&lt;=A22,mthend&gt;=A22),1,0)</f>
        <v>0</v>
      </c>
      <c r="AA22" s="5" t="n">
        <f aca="false">U22*Z22</f>
        <v>0</v>
      </c>
      <c r="AC22" s="115" t="n">
        <f aca="false">IF(G15=2,F22*(S22-Q22),F22*(Q22-S22))</f>
        <v>0</v>
      </c>
      <c r="AE22" s="116" t="n">
        <f aca="false">IF($G$3=1,F22*(R22-Q22),F22*(Q22-R22))</f>
        <v>0</v>
      </c>
      <c r="AG22" s="116" t="n">
        <f aca="false">AC22+AE22</f>
        <v>0</v>
      </c>
    </row>
    <row r="23" customFormat="false" ht="12.75" hidden="false" customHeight="false" outlineLevel="0" collapsed="false">
      <c r="A23" s="120" t="n">
        <f aca="false">EDATE(A22,1)</f>
        <v>37681</v>
      </c>
      <c r="B23" s="121" t="e">
        <f aca="false">VLOOKUP(A23,'Inputs-Summary'!$A$32:$E$41,3,FALSE())</f>
        <v>#N/A</v>
      </c>
      <c r="C23" s="122"/>
      <c r="D23" s="123" t="e">
        <f aca="false">B23+C23</f>
        <v>#N/A</v>
      </c>
      <c r="E23" s="111" t="n">
        <f aca="false">IF(Z23=0,0,IF(AND(Z23=1,$H$3=1),D23*U23,IF($H$3=2,D23,"N/A")))</f>
        <v>0</v>
      </c>
      <c r="F23" s="111" t="n">
        <f aca="false">E23*Y23</f>
        <v>0</v>
      </c>
      <c r="G23" s="124" t="n">
        <f aca="false">VLOOKUP($A23,Table,MATCH(G$4,Curves,0))</f>
        <v>3</v>
      </c>
      <c r="H23" s="125" t="n">
        <f aca="false">G23+$H$7</f>
        <v>3</v>
      </c>
      <c r="I23" s="124" t="n">
        <f aca="false">H23</f>
        <v>3</v>
      </c>
      <c r="J23" s="124" t="n">
        <f aca="false">VLOOKUP($A23,Table,MATCH(J$4,Curves,0))</f>
        <v>4</v>
      </c>
      <c r="K23" s="125" t="n">
        <f aca="false">J23+$K$7</f>
        <v>4</v>
      </c>
      <c r="L23" s="126" t="n">
        <f aca="false">K23</f>
        <v>4</v>
      </c>
      <c r="M23" s="124" t="n">
        <f aca="false">VLOOKUP($A23,Table,MATCH(M$4,Curves,0))</f>
        <v>4</v>
      </c>
      <c r="N23" s="125" t="n">
        <f aca="false">M23+$N$7</f>
        <v>4</v>
      </c>
      <c r="O23" s="126" t="n">
        <v>0.12</v>
      </c>
      <c r="P23" s="114"/>
      <c r="Q23" s="126" t="n">
        <f aca="false">M23+J23+G23</f>
        <v>11</v>
      </c>
      <c r="R23" s="126" t="n">
        <f aca="false">N23+K23+H23</f>
        <v>11</v>
      </c>
      <c r="S23" s="126" t="n">
        <f aca="false">O23+L23+I23</f>
        <v>7.12</v>
      </c>
      <c r="T23" s="127"/>
      <c r="U23" s="5" t="n">
        <f aca="false">A24-A23</f>
        <v>31</v>
      </c>
      <c r="V23" s="128" t="n">
        <f aca="false">CHOOSE(F$3,A24+24,A23)</f>
        <v>37681</v>
      </c>
      <c r="W23" s="5" t="n">
        <f aca="false">V23-C$3</f>
        <v>450</v>
      </c>
      <c r="X23" s="124" t="n">
        <f aca="false">VLOOKUP($A23,Table,MATCH(X$4,Curves,0))</f>
        <v>2</v>
      </c>
      <c r="Y23" s="129" t="n">
        <f aca="false">1/(1+CHOOSE(F$3,(X24+($K$3/10000))/2,(X23+($K$3/10000))/2))^(2*W23/365.25)</f>
        <v>0.181235099459571</v>
      </c>
      <c r="Z23" s="5" t="n">
        <f aca="false">IF(AND(mthbeg&lt;=A23,mthend&gt;=A23),1,0)</f>
        <v>0</v>
      </c>
      <c r="AA23" s="5" t="n">
        <f aca="false">U23*Z23</f>
        <v>0</v>
      </c>
      <c r="AC23" s="115" t="n">
        <f aca="false">IF(G16=2,F23*(S23-Q23),F23*(Q23-S23))</f>
        <v>0</v>
      </c>
      <c r="AE23" s="116" t="n">
        <f aca="false">IF($G$3=1,F23*(R23-Q23),F23*(Q23-R23))</f>
        <v>0</v>
      </c>
      <c r="AG23" s="116" t="n">
        <f aca="false">AC23+AE23</f>
        <v>0</v>
      </c>
    </row>
    <row r="24" customFormat="false" ht="12.75" hidden="false" customHeight="false" outlineLevel="0" collapsed="false">
      <c r="A24" s="120" t="n">
        <f aca="false">EDATE(A23,1)</f>
        <v>37712</v>
      </c>
      <c r="B24" s="121" t="e">
        <f aca="false">VLOOKUP(A24,'Inputs-Summary'!$A$32:$E$41,3,FALSE())</f>
        <v>#N/A</v>
      </c>
      <c r="C24" s="122"/>
      <c r="D24" s="123" t="e">
        <f aca="false">B24+C24</f>
        <v>#N/A</v>
      </c>
      <c r="E24" s="111" t="n">
        <f aca="false">IF(Z24=0,0,IF(AND(Z24=1,$H$3=1),D24*U24,IF($H$3=2,D24,"N/A")))</f>
        <v>0</v>
      </c>
      <c r="F24" s="111" t="n">
        <f aca="false">E24*Y24</f>
        <v>0</v>
      </c>
      <c r="G24" s="124" t="n">
        <f aca="false">VLOOKUP($A24,Table,MATCH(G$4,Curves,0))</f>
        <v>3</v>
      </c>
      <c r="H24" s="125" t="n">
        <f aca="false">G24+$H$7</f>
        <v>3</v>
      </c>
      <c r="I24" s="124" t="n">
        <f aca="false">H24</f>
        <v>3</v>
      </c>
      <c r="J24" s="124" t="n">
        <f aca="false">VLOOKUP($A24,Table,MATCH(J$4,Curves,0))</f>
        <v>4</v>
      </c>
      <c r="K24" s="125" t="n">
        <f aca="false">J24+$K$7</f>
        <v>4</v>
      </c>
      <c r="L24" s="126" t="n">
        <f aca="false">K24</f>
        <v>4</v>
      </c>
      <c r="M24" s="124" t="n">
        <f aca="false">VLOOKUP($A24,Table,MATCH(M$4,Curves,0))</f>
        <v>4</v>
      </c>
      <c r="N24" s="125" t="n">
        <f aca="false">M24+$N$7</f>
        <v>4</v>
      </c>
      <c r="O24" s="126" t="n">
        <v>0.12</v>
      </c>
      <c r="P24" s="114"/>
      <c r="Q24" s="126" t="n">
        <f aca="false">M24+J24+G24</f>
        <v>11</v>
      </c>
      <c r="R24" s="126" t="n">
        <f aca="false">N24+K24+H24</f>
        <v>11</v>
      </c>
      <c r="S24" s="126" t="n">
        <f aca="false">O24+L24+I24</f>
        <v>7.12</v>
      </c>
      <c r="T24" s="127"/>
      <c r="U24" s="5" t="n">
        <f aca="false">A25-A24</f>
        <v>30</v>
      </c>
      <c r="V24" s="128" t="n">
        <f aca="false">CHOOSE(F$3,A25+24,A24)</f>
        <v>37712</v>
      </c>
      <c r="W24" s="5" t="n">
        <f aca="false">V24-C$3</f>
        <v>481</v>
      </c>
      <c r="X24" s="124" t="n">
        <f aca="false">VLOOKUP($A24,Table,MATCH(X$4,Curves,0))</f>
        <v>2</v>
      </c>
      <c r="Y24" s="129" t="n">
        <f aca="false">1/(1+CHOOSE(F$3,(X25+($K$3/10000))/2,(X24+($K$3/10000))/2))^(2*W24/365.25)</f>
        <v>0.16111777191358</v>
      </c>
      <c r="Z24" s="5" t="n">
        <f aca="false">IF(AND(mthbeg&lt;=A24,mthend&gt;=A24),1,0)</f>
        <v>0</v>
      </c>
      <c r="AA24" s="5" t="n">
        <f aca="false">U24*Z24</f>
        <v>0</v>
      </c>
      <c r="AC24" s="115" t="n">
        <f aca="false">IF(G17=2,F24*(S24-Q24),F24*(Q24-S24))</f>
        <v>0</v>
      </c>
      <c r="AE24" s="116" t="n">
        <f aca="false">IF($G$3=1,F24*(R24-Q24),F24*(Q24-R24))</f>
        <v>0</v>
      </c>
      <c r="AG24" s="116" t="n">
        <f aca="false">AC24+AE24</f>
        <v>0</v>
      </c>
    </row>
    <row r="25" customFormat="false" ht="12.75" hidden="false" customHeight="false" outlineLevel="0" collapsed="false">
      <c r="A25" s="120" t="n">
        <f aca="false">EDATE(A24,1)</f>
        <v>37742</v>
      </c>
      <c r="B25" s="121" t="e">
        <f aca="false">VLOOKUP(A25,'Inputs-Summary'!$A$32:$E$41,3,FALSE())</f>
        <v>#N/A</v>
      </c>
      <c r="C25" s="122"/>
      <c r="D25" s="123" t="e">
        <f aca="false">B25+C25</f>
        <v>#N/A</v>
      </c>
      <c r="E25" s="111" t="n">
        <f aca="false">IF(Z25=0,0,IF(AND(Z25=1,$H$3=1),D25*U25,IF($H$3=2,D25,"N/A")))</f>
        <v>0</v>
      </c>
      <c r="F25" s="111" t="n">
        <f aca="false">E25*Y25</f>
        <v>0</v>
      </c>
      <c r="G25" s="124" t="n">
        <f aca="false">VLOOKUP($A25,Table,MATCH(G$4,Curves,0))</f>
        <v>3</v>
      </c>
      <c r="H25" s="125" t="n">
        <f aca="false">G25+$H$7</f>
        <v>3</v>
      </c>
      <c r="I25" s="124" t="n">
        <f aca="false">H25</f>
        <v>3</v>
      </c>
      <c r="J25" s="124" t="n">
        <f aca="false">VLOOKUP($A25,Table,MATCH(J$4,Curves,0))</f>
        <v>4</v>
      </c>
      <c r="K25" s="125" t="n">
        <f aca="false">J25+$K$7</f>
        <v>4</v>
      </c>
      <c r="L25" s="126" t="n">
        <f aca="false">K25</f>
        <v>4</v>
      </c>
      <c r="M25" s="124" t="n">
        <f aca="false">VLOOKUP($A25,Table,MATCH(M$4,Curves,0))</f>
        <v>4</v>
      </c>
      <c r="N25" s="125" t="n">
        <f aca="false">M25+$N$7</f>
        <v>4</v>
      </c>
      <c r="O25" s="126" t="n">
        <v>0.12</v>
      </c>
      <c r="P25" s="114"/>
      <c r="Q25" s="126" t="n">
        <f aca="false">M25+J25+G25</f>
        <v>11</v>
      </c>
      <c r="R25" s="126" t="n">
        <f aca="false">N25+K25+H25</f>
        <v>11</v>
      </c>
      <c r="S25" s="126" t="n">
        <f aca="false">O25+L25+I25</f>
        <v>7.12</v>
      </c>
      <c r="T25" s="127"/>
      <c r="U25" s="5" t="n">
        <f aca="false">A26-A25</f>
        <v>31</v>
      </c>
      <c r="V25" s="128" t="n">
        <f aca="false">CHOOSE(F$3,A26+24,A25)</f>
        <v>37742</v>
      </c>
      <c r="W25" s="5" t="n">
        <f aca="false">V25-C$3</f>
        <v>511</v>
      </c>
      <c r="X25" s="124" t="n">
        <f aca="false">VLOOKUP($A25,Table,MATCH(X$4,Curves,0))</f>
        <v>2</v>
      </c>
      <c r="Y25" s="129" t="n">
        <f aca="false">1/(1+CHOOSE(F$3,(X26+($K$3/10000))/2,(X25+($K$3/10000))/2))^(2*W25/365.25)</f>
        <v>0.143778164422247</v>
      </c>
      <c r="Z25" s="5" t="n">
        <f aca="false">IF(AND(mthbeg&lt;=A25,mthend&gt;=A25),1,0)</f>
        <v>0</v>
      </c>
      <c r="AA25" s="5" t="n">
        <f aca="false">U25*Z25</f>
        <v>0</v>
      </c>
      <c r="AC25" s="115" t="n">
        <f aca="false">IF(G18=2,F25*(S25-Q25),F25*(Q25-S25))</f>
        <v>0</v>
      </c>
      <c r="AE25" s="116" t="n">
        <f aca="false">IF($G$3=1,F25*(R25-Q25),F25*(Q25-R25))</f>
        <v>0</v>
      </c>
      <c r="AG25" s="116" t="n">
        <f aca="false">AC25+AE25</f>
        <v>0</v>
      </c>
    </row>
    <row r="26" customFormat="false" ht="12.75" hidden="false" customHeight="false" outlineLevel="0" collapsed="false">
      <c r="A26" s="120" t="n">
        <f aca="false">EDATE(A25,1)</f>
        <v>37773</v>
      </c>
      <c r="B26" s="121" t="e">
        <f aca="false">VLOOKUP(A26,'Inputs-Summary'!$A$32:$E$41,3,FALSE())</f>
        <v>#N/A</v>
      </c>
      <c r="C26" s="122"/>
      <c r="D26" s="123" t="e">
        <f aca="false">B26+C26</f>
        <v>#N/A</v>
      </c>
      <c r="E26" s="111" t="n">
        <f aca="false">IF(Z26=0,0,IF(AND(Z26=1,$H$3=1),D26*U26,IF($H$3=2,D26,"N/A")))</f>
        <v>0</v>
      </c>
      <c r="F26" s="111" t="n">
        <f aca="false">E26*Y26</f>
        <v>0</v>
      </c>
      <c r="G26" s="124" t="n">
        <f aca="false">VLOOKUP($A26,Table,MATCH(G$4,Curves,0))</f>
        <v>3</v>
      </c>
      <c r="H26" s="125" t="n">
        <f aca="false">G26+$H$7</f>
        <v>3</v>
      </c>
      <c r="I26" s="124" t="n">
        <f aca="false">H26</f>
        <v>3</v>
      </c>
      <c r="J26" s="124" t="n">
        <f aca="false">VLOOKUP($A26,Table,MATCH(J$4,Curves,0))</f>
        <v>4</v>
      </c>
      <c r="K26" s="125" t="n">
        <f aca="false">J26+$K$7</f>
        <v>4</v>
      </c>
      <c r="L26" s="126" t="n">
        <f aca="false">K26</f>
        <v>4</v>
      </c>
      <c r="M26" s="124" t="n">
        <f aca="false">VLOOKUP($A26,Table,MATCH(M$4,Curves,0))</f>
        <v>4</v>
      </c>
      <c r="N26" s="125" t="n">
        <f aca="false">M26+$N$7</f>
        <v>4</v>
      </c>
      <c r="O26" s="126" t="n">
        <v>0.12</v>
      </c>
      <c r="P26" s="114"/>
      <c r="Q26" s="126" t="n">
        <f aca="false">M26+J26+G26</f>
        <v>11</v>
      </c>
      <c r="R26" s="126" t="n">
        <f aca="false">N26+K26+H26</f>
        <v>11</v>
      </c>
      <c r="S26" s="126" t="n">
        <f aca="false">O26+L26+I26</f>
        <v>7.12</v>
      </c>
      <c r="T26" s="127"/>
      <c r="U26" s="5" t="n">
        <f aca="false">A27-A26</f>
        <v>30</v>
      </c>
      <c r="V26" s="128" t="n">
        <f aca="false">CHOOSE(F$3,A27+24,A26)</f>
        <v>37773</v>
      </c>
      <c r="W26" s="5" t="n">
        <f aca="false">V26-C$3</f>
        <v>542</v>
      </c>
      <c r="X26" s="124" t="n">
        <f aca="false">VLOOKUP($A26,Table,MATCH(X$4,Curves,0))</f>
        <v>2</v>
      </c>
      <c r="Y26" s="129" t="n">
        <f aca="false">1/(1+CHOOSE(F$3,(X27+($K$3/10000))/2,(X26+($K$3/10000))/2))^(2*W26/365.25)</f>
        <v>0.127818604512115</v>
      </c>
      <c r="Z26" s="5" t="n">
        <f aca="false">IF(AND(mthbeg&lt;=A26,mthend&gt;=A26),1,0)</f>
        <v>0</v>
      </c>
      <c r="AA26" s="5" t="n">
        <f aca="false">U26*Z26</f>
        <v>0</v>
      </c>
      <c r="AC26" s="115" t="n">
        <f aca="false">IF(G19=2,F26*(S26-Q26),F26*(Q26-S26))</f>
        <v>0</v>
      </c>
      <c r="AE26" s="116" t="n">
        <f aca="false">IF($G$3=1,F26*(R26-Q26),F26*(Q26-R26))</f>
        <v>0</v>
      </c>
      <c r="AG26" s="116" t="n">
        <f aca="false">AC26+AE26</f>
        <v>0</v>
      </c>
    </row>
    <row r="27" customFormat="false" ht="12.75" hidden="false" customHeight="false" outlineLevel="0" collapsed="false">
      <c r="A27" s="120" t="n">
        <f aca="false">EDATE(A26,1)</f>
        <v>37803</v>
      </c>
      <c r="B27" s="121" t="e">
        <f aca="false">VLOOKUP(A27,'Inputs-Summary'!$A$32:$E$41,3,FALSE())</f>
        <v>#N/A</v>
      </c>
      <c r="C27" s="122"/>
      <c r="D27" s="123" t="e">
        <f aca="false">B27+C27</f>
        <v>#N/A</v>
      </c>
      <c r="E27" s="111" t="n">
        <f aca="false">IF(Z27=0,0,IF(AND(Z27=1,$H$3=1),D27*U27,IF($H$3=2,D27,"N/A")))</f>
        <v>0</v>
      </c>
      <c r="F27" s="111" t="n">
        <f aca="false">E27*Y27</f>
        <v>0</v>
      </c>
      <c r="G27" s="124" t="n">
        <f aca="false">VLOOKUP($A27,Table,MATCH(G$4,Curves,0))</f>
        <v>3</v>
      </c>
      <c r="H27" s="125" t="n">
        <f aca="false">G27+$H$7</f>
        <v>3</v>
      </c>
      <c r="I27" s="124" t="n">
        <f aca="false">H27</f>
        <v>3</v>
      </c>
      <c r="J27" s="124" t="n">
        <f aca="false">VLOOKUP($A27,Table,MATCH(J$4,Curves,0))</f>
        <v>4</v>
      </c>
      <c r="K27" s="125" t="n">
        <f aca="false">J27+$K$7</f>
        <v>4</v>
      </c>
      <c r="L27" s="126" t="n">
        <f aca="false">K27</f>
        <v>4</v>
      </c>
      <c r="M27" s="124" t="n">
        <f aca="false">VLOOKUP($A27,Table,MATCH(M$4,Curves,0))</f>
        <v>4</v>
      </c>
      <c r="N27" s="125" t="n">
        <f aca="false">M27+$N$7</f>
        <v>4</v>
      </c>
      <c r="O27" s="126" t="n">
        <v>0.12</v>
      </c>
      <c r="P27" s="114"/>
      <c r="Q27" s="126" t="n">
        <f aca="false">M27+J27+G27</f>
        <v>11</v>
      </c>
      <c r="R27" s="126" t="n">
        <f aca="false">N27+K27+H27</f>
        <v>11</v>
      </c>
      <c r="S27" s="126" t="n">
        <f aca="false">O27+L27+I27</f>
        <v>7.12</v>
      </c>
      <c r="T27" s="127"/>
      <c r="U27" s="5" t="n">
        <f aca="false">A28-A27</f>
        <v>31</v>
      </c>
      <c r="V27" s="128" t="n">
        <f aca="false">CHOOSE(F$3,A28+24,A27)</f>
        <v>37803</v>
      </c>
      <c r="W27" s="5" t="n">
        <f aca="false">V27-C$3</f>
        <v>572</v>
      </c>
      <c r="X27" s="124" t="n">
        <f aca="false">VLOOKUP($A27,Table,MATCH(X$4,Curves,0))</f>
        <v>2</v>
      </c>
      <c r="Y27" s="129" t="n">
        <f aca="false">1/(1+CHOOSE(F$3,(X28+($K$3/10000))/2,(X27+($K$3/10000))/2))^(2*W27/365.25)</f>
        <v>0.114062676745693</v>
      </c>
      <c r="Z27" s="5" t="n">
        <f aca="false">IF(AND(mthbeg&lt;=A27,mthend&gt;=A27),1,0)</f>
        <v>0</v>
      </c>
      <c r="AA27" s="5" t="n">
        <f aca="false">U27*Z27</f>
        <v>0</v>
      </c>
      <c r="AC27" s="115" t="n">
        <f aca="false">IF(G20=2,F27*(S27-Q27),F27*(Q27-S27))</f>
        <v>0</v>
      </c>
      <c r="AE27" s="116" t="n">
        <f aca="false">IF($G$3=1,F27*(R27-Q27),F27*(Q27-R27))</f>
        <v>0</v>
      </c>
      <c r="AG27" s="116" t="n">
        <f aca="false">AC27+AE27</f>
        <v>0</v>
      </c>
    </row>
    <row r="28" customFormat="false" ht="12.75" hidden="false" customHeight="false" outlineLevel="0" collapsed="false">
      <c r="A28" s="120" t="n">
        <f aca="false">EDATE(A27,1)</f>
        <v>37834</v>
      </c>
      <c r="B28" s="121" t="e">
        <f aca="false">VLOOKUP(A28,'Inputs-Summary'!$A$32:$E$41,3,FALSE())</f>
        <v>#N/A</v>
      </c>
      <c r="C28" s="122"/>
      <c r="D28" s="123" t="e">
        <f aca="false">B28+C28</f>
        <v>#N/A</v>
      </c>
      <c r="E28" s="111" t="n">
        <f aca="false">IF(Z28=0,0,IF(AND(Z28=1,$H$3=1),D28*U28,IF($H$3=2,D28,"N/A")))</f>
        <v>0</v>
      </c>
      <c r="F28" s="111" t="n">
        <f aca="false">E28*Y28</f>
        <v>0</v>
      </c>
      <c r="G28" s="124" t="n">
        <f aca="false">VLOOKUP($A28,Table,MATCH(G$4,Curves,0))</f>
        <v>3</v>
      </c>
      <c r="H28" s="125" t="n">
        <f aca="false">G28+$H$7</f>
        <v>3</v>
      </c>
      <c r="I28" s="124" t="n">
        <f aca="false">H28</f>
        <v>3</v>
      </c>
      <c r="J28" s="124" t="n">
        <f aca="false">VLOOKUP($A28,Table,MATCH(J$4,Curves,0))</f>
        <v>4</v>
      </c>
      <c r="K28" s="125" t="n">
        <f aca="false">J28+$K$7</f>
        <v>4</v>
      </c>
      <c r="L28" s="126" t="n">
        <f aca="false">K28</f>
        <v>4</v>
      </c>
      <c r="M28" s="124" t="n">
        <f aca="false">VLOOKUP($A28,Table,MATCH(M$4,Curves,0))</f>
        <v>4</v>
      </c>
      <c r="N28" s="125" t="n">
        <f aca="false">M28+$N$7</f>
        <v>4</v>
      </c>
      <c r="O28" s="126" t="n">
        <v>0.12</v>
      </c>
      <c r="P28" s="114"/>
      <c r="Q28" s="126" t="n">
        <f aca="false">M28+J28+G28</f>
        <v>11</v>
      </c>
      <c r="R28" s="126" t="n">
        <f aca="false">N28+K28+H28</f>
        <v>11</v>
      </c>
      <c r="S28" s="126" t="n">
        <f aca="false">O28+L28+I28</f>
        <v>7.12</v>
      </c>
      <c r="T28" s="127"/>
      <c r="U28" s="5" t="n">
        <f aca="false">A29-A28</f>
        <v>31</v>
      </c>
      <c r="V28" s="128" t="n">
        <f aca="false">CHOOSE(F$3,A29+24,A28)</f>
        <v>37834</v>
      </c>
      <c r="W28" s="5" t="n">
        <f aca="false">V28-C$3</f>
        <v>603</v>
      </c>
      <c r="X28" s="124" t="n">
        <f aca="false">VLOOKUP($A28,Table,MATCH(X$4,Curves,0))</f>
        <v>2</v>
      </c>
      <c r="Y28" s="129" t="n">
        <f aca="false">1/(1+CHOOSE(F$3,(X29+($K$3/10000))/2,(X28+($K$3/10000))/2))^(2*W28/365.25)</f>
        <v>0.10140157392561</v>
      </c>
      <c r="Z28" s="5" t="n">
        <f aca="false">IF(AND(mthbeg&lt;=A28,mthend&gt;=A28),1,0)</f>
        <v>0</v>
      </c>
      <c r="AA28" s="5" t="n">
        <f aca="false">U28*Z28</f>
        <v>0</v>
      </c>
      <c r="AC28" s="115" t="n">
        <f aca="false">IF(G21=2,F28*(S28-Q28),F28*(Q28-S28))</f>
        <v>0</v>
      </c>
      <c r="AE28" s="116" t="n">
        <f aca="false">IF($G$3=1,F28*(R28-Q28),F28*(Q28-R28))</f>
        <v>0</v>
      </c>
      <c r="AG28" s="116" t="n">
        <f aca="false">AC28+AE28</f>
        <v>0</v>
      </c>
    </row>
    <row r="29" customFormat="false" ht="12.75" hidden="false" customHeight="false" outlineLevel="0" collapsed="false">
      <c r="A29" s="120" t="n">
        <f aca="false">EDATE(A28,1)</f>
        <v>37865</v>
      </c>
      <c r="B29" s="121" t="e">
        <f aca="false">VLOOKUP(A29,'Inputs-Summary'!$A$32:$E$41,3,FALSE())</f>
        <v>#N/A</v>
      </c>
      <c r="C29" s="122"/>
      <c r="D29" s="123" t="e">
        <f aca="false">B29+C29</f>
        <v>#N/A</v>
      </c>
      <c r="E29" s="111" t="n">
        <f aca="false">IF(Z29=0,0,IF(AND(Z29=1,$H$3=1),D29*U29,IF($H$3=2,D29,"N/A")))</f>
        <v>0</v>
      </c>
      <c r="F29" s="111" t="n">
        <f aca="false">E29*Y29</f>
        <v>0</v>
      </c>
      <c r="G29" s="124" t="n">
        <f aca="false">VLOOKUP($A29,Table,MATCH(G$4,Curves,0))</f>
        <v>3</v>
      </c>
      <c r="H29" s="125" t="n">
        <f aca="false">G29+$H$7</f>
        <v>3</v>
      </c>
      <c r="I29" s="124" t="n">
        <f aca="false">H29</f>
        <v>3</v>
      </c>
      <c r="J29" s="124" t="n">
        <f aca="false">VLOOKUP($A29,Table,MATCH(J$4,Curves,0))</f>
        <v>4</v>
      </c>
      <c r="K29" s="125" t="n">
        <f aca="false">J29+$K$7</f>
        <v>4</v>
      </c>
      <c r="L29" s="126" t="n">
        <f aca="false">K29</f>
        <v>4</v>
      </c>
      <c r="M29" s="124" t="n">
        <f aca="false">VLOOKUP($A29,Table,MATCH(M$4,Curves,0))</f>
        <v>4</v>
      </c>
      <c r="N29" s="125" t="n">
        <f aca="false">M29+$N$7</f>
        <v>4</v>
      </c>
      <c r="O29" s="126" t="n">
        <v>0.12</v>
      </c>
      <c r="P29" s="114"/>
      <c r="Q29" s="126" t="n">
        <f aca="false">M29+J29+G29</f>
        <v>11</v>
      </c>
      <c r="R29" s="126" t="n">
        <f aca="false">N29+K29+H29</f>
        <v>11</v>
      </c>
      <c r="S29" s="126" t="n">
        <f aca="false">O29+L29+I29</f>
        <v>7.12</v>
      </c>
      <c r="T29" s="127"/>
      <c r="U29" s="5" t="n">
        <f aca="false">A30-A29</f>
        <v>30</v>
      </c>
      <c r="V29" s="128" t="n">
        <f aca="false">CHOOSE(F$3,A30+24,A29)</f>
        <v>37865</v>
      </c>
      <c r="W29" s="5" t="n">
        <f aca="false">V29-C$3</f>
        <v>634</v>
      </c>
      <c r="X29" s="124" t="n">
        <f aca="false">VLOOKUP($A29,Table,MATCH(X$4,Curves,0))</f>
        <v>2</v>
      </c>
      <c r="Y29" s="129" t="n">
        <f aca="false">1/(1+CHOOSE(F$3,(X30+($K$3/10000))/2,(X29+($K$3/10000))/2))^(2*W29/365.25)</f>
        <v>0.0901458696915883</v>
      </c>
      <c r="Z29" s="5" t="n">
        <f aca="false">IF(AND(mthbeg&lt;=A29,mthend&gt;=A29),1,0)</f>
        <v>0</v>
      </c>
      <c r="AA29" s="5" t="n">
        <f aca="false">U29*Z29</f>
        <v>0</v>
      </c>
      <c r="AC29" s="115" t="n">
        <f aca="false">IF(G22=2,F29*(S29-Q29),F29*(Q29-S29))</f>
        <v>0</v>
      </c>
      <c r="AE29" s="116" t="n">
        <f aca="false">IF($G$3=1,F29*(R29-Q29),F29*(Q29-R29))</f>
        <v>0</v>
      </c>
      <c r="AG29" s="116" t="n">
        <f aca="false">AC29+AE29</f>
        <v>0</v>
      </c>
    </row>
    <row r="30" customFormat="false" ht="12.75" hidden="false" customHeight="false" outlineLevel="0" collapsed="false">
      <c r="A30" s="120" t="n">
        <f aca="false">EDATE(A29,1)</f>
        <v>37895</v>
      </c>
      <c r="B30" s="121" t="e">
        <f aca="false">VLOOKUP(A30,'Inputs-Summary'!$A$32:$E$41,3,FALSE())</f>
        <v>#N/A</v>
      </c>
      <c r="C30" s="122"/>
      <c r="D30" s="123" t="e">
        <f aca="false">B30+C30</f>
        <v>#N/A</v>
      </c>
      <c r="E30" s="111" t="n">
        <f aca="false">IF(Z30=0,0,IF(AND(Z30=1,$H$3=1),D30*U30,IF($H$3=2,D30,"N/A")))</f>
        <v>0</v>
      </c>
      <c r="F30" s="111" t="n">
        <f aca="false">E30*Y30</f>
        <v>0</v>
      </c>
      <c r="G30" s="124" t="n">
        <f aca="false">VLOOKUP($A30,Table,MATCH(G$4,Curves,0))</f>
        <v>3</v>
      </c>
      <c r="H30" s="125" t="n">
        <f aca="false">G30+$H$7</f>
        <v>3</v>
      </c>
      <c r="I30" s="124" t="n">
        <f aca="false">H30</f>
        <v>3</v>
      </c>
      <c r="J30" s="124" t="n">
        <f aca="false">VLOOKUP($A30,Table,MATCH(J$4,Curves,0))</f>
        <v>4</v>
      </c>
      <c r="K30" s="125" t="n">
        <f aca="false">J30+$K$7</f>
        <v>4</v>
      </c>
      <c r="L30" s="126" t="n">
        <f aca="false">K30</f>
        <v>4</v>
      </c>
      <c r="M30" s="124" t="n">
        <f aca="false">VLOOKUP($A30,Table,MATCH(M$4,Curves,0))</f>
        <v>4</v>
      </c>
      <c r="N30" s="125" t="n">
        <f aca="false">M30+$N$7</f>
        <v>4</v>
      </c>
      <c r="O30" s="126" t="n">
        <v>0.12</v>
      </c>
      <c r="P30" s="114"/>
      <c r="Q30" s="126" t="n">
        <f aca="false">M30+J30+G30</f>
        <v>11</v>
      </c>
      <c r="R30" s="126" t="n">
        <f aca="false">N30+K30+H30</f>
        <v>11</v>
      </c>
      <c r="S30" s="126" t="n">
        <f aca="false">O30+L30+I30</f>
        <v>7.12</v>
      </c>
      <c r="T30" s="127"/>
      <c r="U30" s="5" t="n">
        <f aca="false">A31-A30</f>
        <v>31</v>
      </c>
      <c r="V30" s="128" t="n">
        <f aca="false">CHOOSE(F$3,A31+24,A30)</f>
        <v>37895</v>
      </c>
      <c r="W30" s="5" t="n">
        <f aca="false">V30-C$3</f>
        <v>664</v>
      </c>
      <c r="X30" s="124" t="n">
        <f aca="false">VLOOKUP($A30,Table,MATCH(X$4,Curves,0))</f>
        <v>2</v>
      </c>
      <c r="Y30" s="129" t="n">
        <f aca="false">1/(1+CHOOSE(F$3,(X31+($K$3/10000))/2,(X30+($K$3/10000))/2))^(2*W30/365.25)</f>
        <v>0.0804443080398083</v>
      </c>
      <c r="Z30" s="5" t="n">
        <f aca="false">IF(AND(mthbeg&lt;=A30,mthend&gt;=A30),1,0)</f>
        <v>0</v>
      </c>
      <c r="AA30" s="5" t="n">
        <f aca="false">U30*Z30</f>
        <v>0</v>
      </c>
      <c r="AC30" s="115" t="n">
        <f aca="false">IF(G23=2,F30*(S30-Q30),F30*(Q30-S30))</f>
        <v>0</v>
      </c>
      <c r="AE30" s="116" t="n">
        <f aca="false">IF($G$3=1,F30*(R30-Q30),F30*(Q30-R30))</f>
        <v>0</v>
      </c>
      <c r="AG30" s="116" t="n">
        <f aca="false">AC30+AE30</f>
        <v>0</v>
      </c>
    </row>
    <row r="31" customFormat="false" ht="12.75" hidden="false" customHeight="false" outlineLevel="0" collapsed="false">
      <c r="A31" s="120" t="n">
        <f aca="false">EDATE(A30,1)</f>
        <v>37926</v>
      </c>
      <c r="B31" s="121" t="e">
        <f aca="false">VLOOKUP(A31,'Inputs-Summary'!$A$32:$E$41,3,FALSE())</f>
        <v>#N/A</v>
      </c>
      <c r="C31" s="122"/>
      <c r="D31" s="123" t="e">
        <f aca="false">B31+C31</f>
        <v>#N/A</v>
      </c>
      <c r="E31" s="111" t="n">
        <f aca="false">IF(Z31=0,0,IF(AND(Z31=1,$H$3=1),D31*U31,IF($H$3=2,D31,"N/A")))</f>
        <v>0</v>
      </c>
      <c r="F31" s="111" t="n">
        <f aca="false">E31*Y31</f>
        <v>0</v>
      </c>
      <c r="G31" s="124" t="n">
        <f aca="false">VLOOKUP($A31,Table,MATCH(G$4,Curves,0))</f>
        <v>3</v>
      </c>
      <c r="H31" s="125" t="n">
        <f aca="false">G31+$H$7</f>
        <v>3</v>
      </c>
      <c r="I31" s="124" t="n">
        <f aca="false">H31</f>
        <v>3</v>
      </c>
      <c r="J31" s="124" t="n">
        <f aca="false">VLOOKUP($A31,Table,MATCH(J$4,Curves,0))</f>
        <v>4</v>
      </c>
      <c r="K31" s="125" t="n">
        <f aca="false">J31+$K$7</f>
        <v>4</v>
      </c>
      <c r="L31" s="126" t="n">
        <f aca="false">K31</f>
        <v>4</v>
      </c>
      <c r="M31" s="124" t="n">
        <f aca="false">VLOOKUP($A31,Table,MATCH(M$4,Curves,0))</f>
        <v>4</v>
      </c>
      <c r="N31" s="125" t="n">
        <f aca="false">M31+$N$7</f>
        <v>4</v>
      </c>
      <c r="O31" s="126" t="n">
        <v>0.12</v>
      </c>
      <c r="P31" s="114"/>
      <c r="Q31" s="126" t="n">
        <f aca="false">M31+J31+G31</f>
        <v>11</v>
      </c>
      <c r="R31" s="126" t="n">
        <f aca="false">N31+K31+H31</f>
        <v>11</v>
      </c>
      <c r="S31" s="126" t="n">
        <f aca="false">O31+L31+I31</f>
        <v>7.12</v>
      </c>
      <c r="T31" s="127"/>
      <c r="U31" s="5" t="n">
        <f aca="false">A32-A31</f>
        <v>30</v>
      </c>
      <c r="V31" s="128" t="n">
        <f aca="false">CHOOSE(F$3,A32+24,A31)</f>
        <v>37926</v>
      </c>
      <c r="W31" s="5" t="n">
        <f aca="false">V31-C$3</f>
        <v>695</v>
      </c>
      <c r="X31" s="124" t="n">
        <f aca="false">VLOOKUP($A31,Table,MATCH(X$4,Curves,0))</f>
        <v>2</v>
      </c>
      <c r="Y31" s="129" t="n">
        <f aca="false">1/(1+CHOOSE(F$3,(X32+($K$3/10000))/2,(X31+($K$3/10000))/2))^(2*W31/365.25)</f>
        <v>0.0715148870894894</v>
      </c>
      <c r="Z31" s="5" t="n">
        <f aca="false">IF(AND(mthbeg&lt;=A31,mthend&gt;=A31),1,0)</f>
        <v>0</v>
      </c>
      <c r="AA31" s="5" t="n">
        <f aca="false">U31*Z31</f>
        <v>0</v>
      </c>
      <c r="AC31" s="115" t="n">
        <f aca="false">IF(G24=2,F31*(S31-Q31),F31*(Q31-S31))</f>
        <v>0</v>
      </c>
      <c r="AE31" s="116" t="n">
        <f aca="false">IF($G$3=1,F31*(R31-Q31),F31*(Q31-R31))</f>
        <v>0</v>
      </c>
      <c r="AG31" s="116" t="n">
        <f aca="false">AC31+AE31</f>
        <v>0</v>
      </c>
    </row>
    <row r="32" customFormat="false" ht="12.75" hidden="false" customHeight="false" outlineLevel="0" collapsed="false">
      <c r="A32" s="120" t="n">
        <f aca="false">EDATE(A31,1)</f>
        <v>37956</v>
      </c>
      <c r="B32" s="121" t="e">
        <f aca="false">VLOOKUP(A32,'Inputs-Summary'!$A$32:$E$41,3,FALSE())</f>
        <v>#N/A</v>
      </c>
      <c r="C32" s="122"/>
      <c r="D32" s="123" t="e">
        <f aca="false">B32+C32</f>
        <v>#N/A</v>
      </c>
      <c r="E32" s="111" t="n">
        <f aca="false">IF(Z32=0,0,IF(AND(Z32=1,$H$3=1),D32*U32,IF($H$3=2,D32,"N/A")))</f>
        <v>0</v>
      </c>
      <c r="F32" s="111" t="n">
        <f aca="false">E32*Y32</f>
        <v>0</v>
      </c>
      <c r="G32" s="124" t="n">
        <f aca="false">VLOOKUP($A32,Table,MATCH(G$4,Curves,0))</f>
        <v>3</v>
      </c>
      <c r="H32" s="125" t="n">
        <f aca="false">G32+$H$7</f>
        <v>3</v>
      </c>
      <c r="I32" s="124" t="n">
        <f aca="false">H32</f>
        <v>3</v>
      </c>
      <c r="J32" s="124" t="n">
        <f aca="false">VLOOKUP($A32,Table,MATCH(J$4,Curves,0))</f>
        <v>4</v>
      </c>
      <c r="K32" s="125" t="n">
        <f aca="false">J32+$K$7</f>
        <v>4</v>
      </c>
      <c r="L32" s="126" t="n">
        <f aca="false">K32</f>
        <v>4</v>
      </c>
      <c r="M32" s="124" t="n">
        <f aca="false">VLOOKUP($A32,Table,MATCH(M$4,Curves,0))</f>
        <v>4</v>
      </c>
      <c r="N32" s="125" t="n">
        <f aca="false">M32+$N$7</f>
        <v>4</v>
      </c>
      <c r="O32" s="126" t="n">
        <v>0.12</v>
      </c>
      <c r="P32" s="114"/>
      <c r="Q32" s="126" t="n">
        <f aca="false">M32+J32+G32</f>
        <v>11</v>
      </c>
      <c r="R32" s="126" t="n">
        <f aca="false">N32+K32+H32</f>
        <v>11</v>
      </c>
      <c r="S32" s="126" t="n">
        <f aca="false">O32+L32+I32</f>
        <v>7.12</v>
      </c>
      <c r="T32" s="127"/>
      <c r="U32" s="5" t="n">
        <f aca="false">A33-A32</f>
        <v>31</v>
      </c>
      <c r="V32" s="128" t="n">
        <f aca="false">CHOOSE(F$3,A33+24,A32)</f>
        <v>37956</v>
      </c>
      <c r="W32" s="5" t="n">
        <f aca="false">V32-C$3</f>
        <v>725</v>
      </c>
      <c r="X32" s="124" t="n">
        <f aca="false">VLOOKUP($A32,Table,MATCH(X$4,Curves,0))</f>
        <v>2</v>
      </c>
      <c r="Y32" s="129" t="n">
        <f aca="false">1/(1+CHOOSE(F$3,(X33+($K$3/10000))/2,(X32+($K$3/10000))/2))^(2*W32/365.25)</f>
        <v>0.0638184048380845</v>
      </c>
      <c r="Z32" s="5" t="n">
        <f aca="false">IF(AND(mthbeg&lt;=A32,mthend&gt;=A32),1,0)</f>
        <v>0</v>
      </c>
      <c r="AA32" s="5" t="n">
        <f aca="false">U32*Z32</f>
        <v>0</v>
      </c>
      <c r="AC32" s="115" t="n">
        <f aca="false">IF(G25=2,F32*(S32-Q32),F32*(Q32-S32))</f>
        <v>0</v>
      </c>
      <c r="AE32" s="116" t="n">
        <f aca="false">IF($G$3=1,F32*(R32-Q32),F32*(Q32-R32))</f>
        <v>0</v>
      </c>
      <c r="AG32" s="116" t="n">
        <f aca="false">AC32+AE32</f>
        <v>0</v>
      </c>
    </row>
    <row r="33" customFormat="false" ht="12.75" hidden="false" customHeight="false" outlineLevel="0" collapsed="false">
      <c r="A33" s="120" t="n">
        <f aca="false">EDATE(A32,1)</f>
        <v>37987</v>
      </c>
      <c r="B33" s="121" t="e">
        <f aca="false">VLOOKUP(A33,'Inputs-Summary'!$A$32:$E$41,3,FALSE())</f>
        <v>#N/A</v>
      </c>
      <c r="C33" s="122"/>
      <c r="D33" s="123" t="e">
        <f aca="false">B33+C33</f>
        <v>#N/A</v>
      </c>
      <c r="E33" s="111" t="n">
        <f aca="false">IF(Z33=0,0,IF(AND(Z33=1,$H$3=1),D33*U33,IF($H$3=2,D33,"N/A")))</f>
        <v>0</v>
      </c>
      <c r="F33" s="111" t="n">
        <f aca="false">E33*Y33</f>
        <v>0</v>
      </c>
      <c r="G33" s="124" t="n">
        <f aca="false">VLOOKUP($A33,Table,MATCH(G$4,Curves,0))</f>
        <v>3</v>
      </c>
      <c r="H33" s="125" t="n">
        <f aca="false">G33+$H$7</f>
        <v>3</v>
      </c>
      <c r="I33" s="124" t="n">
        <f aca="false">H33</f>
        <v>3</v>
      </c>
      <c r="J33" s="124" t="n">
        <f aca="false">VLOOKUP($A33,Table,MATCH(J$4,Curves,0))</f>
        <v>4</v>
      </c>
      <c r="K33" s="125" t="n">
        <f aca="false">J33+$K$7</f>
        <v>4</v>
      </c>
      <c r="L33" s="126" t="n">
        <f aca="false">K33</f>
        <v>4</v>
      </c>
      <c r="M33" s="124" t="n">
        <f aca="false">VLOOKUP($A33,Table,MATCH(M$4,Curves,0))</f>
        <v>4</v>
      </c>
      <c r="N33" s="125" t="n">
        <f aca="false">M33+$N$7</f>
        <v>4</v>
      </c>
      <c r="O33" s="126" t="n">
        <v>0.12</v>
      </c>
      <c r="P33" s="114"/>
      <c r="Q33" s="126" t="n">
        <f aca="false">M33+J33+G33</f>
        <v>11</v>
      </c>
      <c r="R33" s="126" t="n">
        <f aca="false">N33+K33+H33</f>
        <v>11</v>
      </c>
      <c r="S33" s="126" t="n">
        <f aca="false">O33+L33+I33</f>
        <v>7.12</v>
      </c>
      <c r="T33" s="127"/>
      <c r="U33" s="5" t="n">
        <f aca="false">A34-A33</f>
        <v>31</v>
      </c>
      <c r="V33" s="128" t="n">
        <f aca="false">CHOOSE(F$3,A34+24,A33)</f>
        <v>37987</v>
      </c>
      <c r="W33" s="5" t="n">
        <f aca="false">V33-C$3</f>
        <v>756</v>
      </c>
      <c r="X33" s="124" t="n">
        <f aca="false">VLOOKUP($A33,Table,MATCH(X$4,Curves,0))</f>
        <v>2</v>
      </c>
      <c r="Y33" s="129" t="n">
        <f aca="false">1/(1+CHOOSE(F$3,(X34+($K$3/10000))/2,(X33+($K$3/10000))/2))^(2*W33/365.25)</f>
        <v>0.0567344803807429</v>
      </c>
      <c r="Z33" s="5" t="n">
        <f aca="false">IF(AND(mthbeg&lt;=A33,mthend&gt;=A33),1,0)</f>
        <v>0</v>
      </c>
      <c r="AA33" s="5" t="n">
        <f aca="false">U33*Z33</f>
        <v>0</v>
      </c>
      <c r="AC33" s="115" t="n">
        <f aca="false">IF(G26=2,F33*(S33-Q33),F33*(Q33-S33))</f>
        <v>0</v>
      </c>
      <c r="AE33" s="116" t="n">
        <f aca="false">IF($G$3=1,F33*(R33-Q33),F33*(Q33-R33))</f>
        <v>0</v>
      </c>
      <c r="AG33" s="116" t="n">
        <f aca="false">AC33+AE33</f>
        <v>0</v>
      </c>
    </row>
    <row r="34" customFormat="false" ht="12.75" hidden="false" customHeight="false" outlineLevel="0" collapsed="false">
      <c r="A34" s="120" t="n">
        <f aca="false">EDATE(A33,1)</f>
        <v>38018</v>
      </c>
      <c r="B34" s="121" t="e">
        <f aca="false">VLOOKUP(A34,'Inputs-Summary'!$A$32:$E$41,3,FALSE())</f>
        <v>#N/A</v>
      </c>
      <c r="C34" s="122"/>
      <c r="D34" s="123" t="e">
        <f aca="false">B34+C34</f>
        <v>#N/A</v>
      </c>
      <c r="E34" s="111" t="n">
        <f aca="false">IF(Z34=0,0,IF(AND(Z34=1,$H$3=1),D34*U34,IF($H$3=2,D34,"N/A")))</f>
        <v>0</v>
      </c>
      <c r="F34" s="111" t="n">
        <f aca="false">E34*Y34</f>
        <v>0</v>
      </c>
      <c r="G34" s="124" t="n">
        <f aca="false">VLOOKUP($A34,Table,MATCH(G$4,Curves,0))</f>
        <v>3</v>
      </c>
      <c r="H34" s="125" t="n">
        <f aca="false">G34+$H$7</f>
        <v>3</v>
      </c>
      <c r="I34" s="124" t="n">
        <f aca="false">H34</f>
        <v>3</v>
      </c>
      <c r="J34" s="124" t="n">
        <f aca="false">VLOOKUP($A34,Table,MATCH(J$4,Curves,0))</f>
        <v>4</v>
      </c>
      <c r="K34" s="125" t="n">
        <f aca="false">J34+$K$7</f>
        <v>4</v>
      </c>
      <c r="L34" s="126" t="n">
        <f aca="false">K34</f>
        <v>4</v>
      </c>
      <c r="M34" s="124" t="n">
        <f aca="false">VLOOKUP($A34,Table,MATCH(M$4,Curves,0))</f>
        <v>4</v>
      </c>
      <c r="N34" s="125" t="n">
        <f aca="false">M34+$N$7</f>
        <v>4</v>
      </c>
      <c r="O34" s="126" t="n">
        <v>0.12</v>
      </c>
      <c r="P34" s="114"/>
      <c r="Q34" s="126" t="n">
        <f aca="false">M34+J34+G34</f>
        <v>11</v>
      </c>
      <c r="R34" s="126" t="n">
        <f aca="false">N34+K34+H34</f>
        <v>11</v>
      </c>
      <c r="S34" s="126" t="n">
        <f aca="false">O34+L34+I34</f>
        <v>7.12</v>
      </c>
      <c r="T34" s="127"/>
      <c r="U34" s="5" t="n">
        <f aca="false">A35-A34</f>
        <v>29</v>
      </c>
      <c r="V34" s="128" t="n">
        <f aca="false">CHOOSE(F$3,A35+24,A34)</f>
        <v>38018</v>
      </c>
      <c r="W34" s="5" t="n">
        <f aca="false">V34-C$3</f>
        <v>787</v>
      </c>
      <c r="X34" s="124" t="n">
        <f aca="false">VLOOKUP($A34,Table,MATCH(X$4,Curves,0))</f>
        <v>2</v>
      </c>
      <c r="Y34" s="129" t="n">
        <f aca="false">1/(1+CHOOSE(F$3,(X35+($K$3/10000))/2,(X34+($K$3/10000))/2))^(2*W34/365.25)</f>
        <v>0.0504368805870252</v>
      </c>
      <c r="Z34" s="5" t="n">
        <f aca="false">IF(AND(mthbeg&lt;=A34,mthend&gt;=A34),1,0)</f>
        <v>0</v>
      </c>
      <c r="AA34" s="5" t="n">
        <f aca="false">U34*Z34</f>
        <v>0</v>
      </c>
      <c r="AC34" s="115" t="n">
        <f aca="false">IF(G27=2,F34*(S34-Q34),F34*(Q34-S34))</f>
        <v>0</v>
      </c>
      <c r="AE34" s="116" t="n">
        <f aca="false">IF($G$3=1,F34*(R34-Q34),F34*(Q34-R34))</f>
        <v>0</v>
      </c>
      <c r="AG34" s="116" t="n">
        <f aca="false">AC34+AE34</f>
        <v>0</v>
      </c>
    </row>
    <row r="35" customFormat="false" ht="12.75" hidden="false" customHeight="false" outlineLevel="0" collapsed="false">
      <c r="A35" s="120" t="n">
        <f aca="false">EDATE(A34,1)</f>
        <v>38047</v>
      </c>
      <c r="B35" s="121" t="e">
        <f aca="false">VLOOKUP(A35,'Inputs-Summary'!$A$32:$E$41,3,FALSE())</f>
        <v>#N/A</v>
      </c>
      <c r="C35" s="122"/>
      <c r="D35" s="123" t="e">
        <f aca="false">B35+C35</f>
        <v>#N/A</v>
      </c>
      <c r="E35" s="111" t="n">
        <f aca="false">IF(Z35=0,0,IF(AND(Z35=1,$H$3=1),D35*U35,IF($H$3=2,D35,"N/A")))</f>
        <v>0</v>
      </c>
      <c r="F35" s="111" t="n">
        <f aca="false">E35*Y35</f>
        <v>0</v>
      </c>
      <c r="G35" s="124" t="n">
        <f aca="false">VLOOKUP($A35,Table,MATCH(G$4,Curves,0))</f>
        <v>3</v>
      </c>
      <c r="H35" s="125" t="n">
        <f aca="false">G35+$H$7</f>
        <v>3</v>
      </c>
      <c r="I35" s="124" t="n">
        <f aca="false">H35</f>
        <v>3</v>
      </c>
      <c r="J35" s="124" t="n">
        <f aca="false">VLOOKUP($A35,Table,MATCH(J$4,Curves,0))</f>
        <v>4</v>
      </c>
      <c r="K35" s="125" t="n">
        <f aca="false">J35+$K$7</f>
        <v>4</v>
      </c>
      <c r="L35" s="126" t="n">
        <f aca="false">K35</f>
        <v>4</v>
      </c>
      <c r="M35" s="124" t="n">
        <f aca="false">VLOOKUP($A35,Table,MATCH(M$4,Curves,0))</f>
        <v>4</v>
      </c>
      <c r="N35" s="125" t="n">
        <f aca="false">M35+$N$7</f>
        <v>4</v>
      </c>
      <c r="O35" s="126" t="n">
        <v>0.12</v>
      </c>
      <c r="P35" s="114"/>
      <c r="Q35" s="126" t="n">
        <f aca="false">M35+J35+G35</f>
        <v>11</v>
      </c>
      <c r="R35" s="126" t="n">
        <f aca="false">N35+K35+H35</f>
        <v>11</v>
      </c>
      <c r="S35" s="126" t="n">
        <f aca="false">O35+L35+I35</f>
        <v>7.12</v>
      </c>
      <c r="T35" s="127"/>
      <c r="U35" s="5" t="n">
        <f aca="false">A36-A35</f>
        <v>31</v>
      </c>
      <c r="V35" s="128" t="n">
        <f aca="false">CHOOSE(F$3,A36+24,A35)</f>
        <v>38047</v>
      </c>
      <c r="W35" s="5" t="n">
        <f aca="false">V35-C$3</f>
        <v>816</v>
      </c>
      <c r="X35" s="124" t="n">
        <f aca="false">VLOOKUP($A35,Table,MATCH(X$4,Curves,0))</f>
        <v>2</v>
      </c>
      <c r="Y35" s="129" t="n">
        <f aca="false">1/(1+CHOOSE(F$3,(X36+($K$3/10000))/2,(X35+($K$3/10000))/2))^(2*W35/365.25)</f>
        <v>0.0451799822888358</v>
      </c>
      <c r="Z35" s="5" t="n">
        <f aca="false">IF(AND(mthbeg&lt;=A35,mthend&gt;=A35),1,0)</f>
        <v>0</v>
      </c>
      <c r="AA35" s="5" t="n">
        <f aca="false">U35*Z35</f>
        <v>0</v>
      </c>
      <c r="AC35" s="115" t="n">
        <f aca="false">IF(G28=2,F35*(S35-Q35),F35*(Q35-S35))</f>
        <v>0</v>
      </c>
      <c r="AE35" s="116" t="n">
        <f aca="false">IF($G$3=1,F35*(R35-Q35),F35*(Q35-R35))</f>
        <v>0</v>
      </c>
      <c r="AG35" s="116" t="n">
        <f aca="false">AC35+AE35</f>
        <v>0</v>
      </c>
    </row>
    <row r="36" customFormat="false" ht="12.75" hidden="false" customHeight="false" outlineLevel="0" collapsed="false">
      <c r="A36" s="120" t="n">
        <f aca="false">EDATE(A35,1)</f>
        <v>38078</v>
      </c>
      <c r="B36" s="121" t="e">
        <f aca="false">VLOOKUP(A36,'Inputs-Summary'!$A$32:$E$41,3,FALSE())</f>
        <v>#N/A</v>
      </c>
      <c r="C36" s="122"/>
      <c r="D36" s="123" t="e">
        <f aca="false">B36+C36</f>
        <v>#N/A</v>
      </c>
      <c r="E36" s="111" t="n">
        <f aca="false">IF(Z36=0,0,IF(AND(Z36=1,$H$3=1),D36*U36,IF($H$3=2,D36,"N/A")))</f>
        <v>0</v>
      </c>
      <c r="F36" s="111" t="n">
        <f aca="false">E36*Y36</f>
        <v>0</v>
      </c>
      <c r="G36" s="124" t="n">
        <f aca="false">VLOOKUP($A36,Table,MATCH(G$4,Curves,0))</f>
        <v>3</v>
      </c>
      <c r="H36" s="125" t="n">
        <f aca="false">G36+$H$7</f>
        <v>3</v>
      </c>
      <c r="I36" s="124" t="n">
        <f aca="false">H36</f>
        <v>3</v>
      </c>
      <c r="J36" s="124" t="n">
        <f aca="false">VLOOKUP($A36,Table,MATCH(J$4,Curves,0))</f>
        <v>4</v>
      </c>
      <c r="K36" s="125" t="n">
        <f aca="false">J36+$K$7</f>
        <v>4</v>
      </c>
      <c r="L36" s="126" t="n">
        <f aca="false">K36</f>
        <v>4</v>
      </c>
      <c r="M36" s="124" t="n">
        <f aca="false">VLOOKUP($A36,Table,MATCH(M$4,Curves,0))</f>
        <v>4</v>
      </c>
      <c r="N36" s="125" t="n">
        <f aca="false">M36+$N$7</f>
        <v>4</v>
      </c>
      <c r="O36" s="126" t="n">
        <v>0.12</v>
      </c>
      <c r="P36" s="114"/>
      <c r="Q36" s="126" t="n">
        <f aca="false">M36+J36+G36</f>
        <v>11</v>
      </c>
      <c r="R36" s="126" t="n">
        <f aca="false">N36+K36+H36</f>
        <v>11</v>
      </c>
      <c r="S36" s="126" t="n">
        <f aca="false">O36+L36+I36</f>
        <v>7.12</v>
      </c>
      <c r="T36" s="127"/>
      <c r="U36" s="5" t="n">
        <f aca="false">A37-A36</f>
        <v>30</v>
      </c>
      <c r="V36" s="128" t="n">
        <f aca="false">CHOOSE(F$3,A37+24,A36)</f>
        <v>38078</v>
      </c>
      <c r="W36" s="5" t="n">
        <f aca="false">V36-C$3</f>
        <v>847</v>
      </c>
      <c r="X36" s="124" t="n">
        <f aca="false">VLOOKUP($A36,Table,MATCH(X$4,Curves,0))</f>
        <v>2</v>
      </c>
      <c r="Y36" s="129" t="n">
        <f aca="false">1/(1+CHOOSE(F$3,(X37+($K$3/10000))/2,(X36+($K$3/10000))/2))^(2*W36/365.25)</f>
        <v>0.0401649465427973</v>
      </c>
      <c r="Z36" s="5" t="n">
        <f aca="false">IF(AND(mthbeg&lt;=A36,mthend&gt;=A36),1,0)</f>
        <v>0</v>
      </c>
      <c r="AA36" s="5" t="n">
        <f aca="false">U36*Z36</f>
        <v>0</v>
      </c>
      <c r="AC36" s="115" t="n">
        <f aca="false">IF(G29=2,F36*(S36-Q36),F36*(Q36-S36))</f>
        <v>0</v>
      </c>
      <c r="AE36" s="116" t="n">
        <f aca="false">IF($G$3=1,F36*(R36-Q36),F36*(Q36-R36))</f>
        <v>0</v>
      </c>
      <c r="AG36" s="116" t="n">
        <f aca="false">AC36+AE36</f>
        <v>0</v>
      </c>
    </row>
    <row r="37" customFormat="false" ht="12.75" hidden="false" customHeight="false" outlineLevel="0" collapsed="false">
      <c r="A37" s="120" t="n">
        <f aca="false">EDATE(A36,1)</f>
        <v>38108</v>
      </c>
      <c r="B37" s="121" t="e">
        <f aca="false">VLOOKUP(A37,'Inputs-Summary'!$A$32:$E$41,3,FALSE())</f>
        <v>#N/A</v>
      </c>
      <c r="C37" s="122"/>
      <c r="D37" s="123" t="e">
        <f aca="false">B37+C37</f>
        <v>#N/A</v>
      </c>
      <c r="E37" s="111" t="n">
        <f aca="false">IF(Z37=0,0,IF(AND(Z37=1,$H$3=1),D37*U37,IF($H$3=2,D37,"N/A")))</f>
        <v>0</v>
      </c>
      <c r="F37" s="111" t="n">
        <f aca="false">E37*Y37</f>
        <v>0</v>
      </c>
      <c r="G37" s="124" t="n">
        <f aca="false">VLOOKUP($A37,Table,MATCH(G$4,Curves,0))</f>
        <v>3</v>
      </c>
      <c r="H37" s="125" t="n">
        <f aca="false">G37+$H$7</f>
        <v>3</v>
      </c>
      <c r="I37" s="124" t="n">
        <f aca="false">H37</f>
        <v>3</v>
      </c>
      <c r="J37" s="124" t="n">
        <f aca="false">VLOOKUP($A37,Table,MATCH(J$4,Curves,0))</f>
        <v>4</v>
      </c>
      <c r="K37" s="125" t="n">
        <f aca="false">J37+$K$7</f>
        <v>4</v>
      </c>
      <c r="L37" s="126" t="n">
        <f aca="false">K37</f>
        <v>4</v>
      </c>
      <c r="M37" s="124" t="n">
        <f aca="false">VLOOKUP($A37,Table,MATCH(M$4,Curves,0))</f>
        <v>4</v>
      </c>
      <c r="N37" s="125" t="n">
        <f aca="false">M37+$N$7</f>
        <v>4</v>
      </c>
      <c r="O37" s="126" t="n">
        <v>0.12</v>
      </c>
      <c r="P37" s="114"/>
      <c r="Q37" s="126" t="n">
        <f aca="false">M37+J37+G37</f>
        <v>11</v>
      </c>
      <c r="R37" s="126" t="n">
        <f aca="false">N37+K37+H37</f>
        <v>11</v>
      </c>
      <c r="S37" s="126" t="n">
        <f aca="false">O37+L37+I37</f>
        <v>7.12</v>
      </c>
      <c r="T37" s="127"/>
      <c r="U37" s="5" t="n">
        <f aca="false">A38-A37</f>
        <v>31</v>
      </c>
      <c r="V37" s="128" t="n">
        <f aca="false">CHOOSE(F$3,A38+24,A37)</f>
        <v>38108</v>
      </c>
      <c r="W37" s="5" t="n">
        <f aca="false">V37-C$3</f>
        <v>877</v>
      </c>
      <c r="X37" s="124" t="n">
        <f aca="false">VLOOKUP($A37,Table,MATCH(X$4,Curves,0))</f>
        <v>2</v>
      </c>
      <c r="Y37" s="129" t="n">
        <f aca="false">1/(1+CHOOSE(F$3,(X38+($K$3/10000))/2,(X37+($K$3/10000))/2))^(2*W37/365.25)</f>
        <v>0.0358423668565784</v>
      </c>
      <c r="Z37" s="5" t="n">
        <f aca="false">IF(AND(mthbeg&lt;=A37,mthend&gt;=A37),1,0)</f>
        <v>0</v>
      </c>
      <c r="AA37" s="5" t="n">
        <f aca="false">U37*Z37</f>
        <v>0</v>
      </c>
      <c r="AC37" s="115" t="n">
        <f aca="false">IF(G30=2,F37*(S37-Q37),F37*(Q37-S37))</f>
        <v>0</v>
      </c>
      <c r="AE37" s="116" t="n">
        <f aca="false">IF($G$3=1,F37*(R37-Q37),F37*(Q37-R37))</f>
        <v>0</v>
      </c>
      <c r="AG37" s="116" t="n">
        <f aca="false">AC37+AE37</f>
        <v>0</v>
      </c>
    </row>
    <row r="38" customFormat="false" ht="12.75" hidden="false" customHeight="false" outlineLevel="0" collapsed="false">
      <c r="A38" s="120" t="n">
        <f aca="false">EDATE(A37,1)</f>
        <v>38139</v>
      </c>
      <c r="B38" s="121" t="e">
        <f aca="false">VLOOKUP(A38,'Inputs-Summary'!$A$32:$E$41,3,FALSE())</f>
        <v>#N/A</v>
      </c>
      <c r="C38" s="122"/>
      <c r="D38" s="123" t="e">
        <f aca="false">B38+C38</f>
        <v>#N/A</v>
      </c>
      <c r="E38" s="111" t="n">
        <f aca="false">IF(Z38=0,0,IF(AND(Z38=1,$H$3=1),D38*U38,IF($H$3=2,D38,"N/A")))</f>
        <v>0</v>
      </c>
      <c r="F38" s="111" t="n">
        <f aca="false">E38*Y38</f>
        <v>0</v>
      </c>
      <c r="G38" s="124" t="n">
        <f aca="false">VLOOKUP($A38,Table,MATCH(G$4,Curves,0))</f>
        <v>3</v>
      </c>
      <c r="H38" s="125" t="n">
        <f aca="false">G38+$H$7</f>
        <v>3</v>
      </c>
      <c r="I38" s="124" t="n">
        <f aca="false">H38</f>
        <v>3</v>
      </c>
      <c r="J38" s="124" t="n">
        <f aca="false">VLOOKUP($A38,Table,MATCH(J$4,Curves,0))</f>
        <v>4</v>
      </c>
      <c r="K38" s="125" t="n">
        <f aca="false">J38+$K$7</f>
        <v>4</v>
      </c>
      <c r="L38" s="126" t="n">
        <f aca="false">K38</f>
        <v>4</v>
      </c>
      <c r="M38" s="124" t="n">
        <f aca="false">VLOOKUP($A38,Table,MATCH(M$4,Curves,0))</f>
        <v>4</v>
      </c>
      <c r="N38" s="125" t="n">
        <f aca="false">M38+$N$7</f>
        <v>4</v>
      </c>
      <c r="O38" s="126" t="n">
        <v>0.12</v>
      </c>
      <c r="P38" s="114"/>
      <c r="Q38" s="126" t="n">
        <f aca="false">M38+J38+G38</f>
        <v>11</v>
      </c>
      <c r="R38" s="126" t="n">
        <f aca="false">N38+K38+H38</f>
        <v>11</v>
      </c>
      <c r="S38" s="126" t="n">
        <f aca="false">O38+L38+I38</f>
        <v>7.12</v>
      </c>
      <c r="T38" s="127"/>
      <c r="U38" s="5" t="n">
        <f aca="false">A39-A38</f>
        <v>30</v>
      </c>
      <c r="V38" s="128" t="n">
        <f aca="false">CHOOSE(F$3,A39+24,A38)</f>
        <v>38139</v>
      </c>
      <c r="W38" s="5" t="n">
        <f aca="false">V38-C$3</f>
        <v>908</v>
      </c>
      <c r="X38" s="124" t="n">
        <f aca="false">VLOOKUP($A38,Table,MATCH(X$4,Curves,0))</f>
        <v>2</v>
      </c>
      <c r="Y38" s="129" t="n">
        <f aca="false">1/(1+CHOOSE(F$3,(X39+($K$3/10000))/2,(X38+($K$3/10000))/2))^(2*W38/365.25)</f>
        <v>0.031863818351198</v>
      </c>
      <c r="Z38" s="5" t="n">
        <f aca="false">IF(AND(mthbeg&lt;=A38,mthend&gt;=A38),1,0)</f>
        <v>0</v>
      </c>
      <c r="AA38" s="5" t="n">
        <f aca="false">U38*Z38</f>
        <v>0</v>
      </c>
      <c r="AC38" s="115" t="n">
        <f aca="false">IF(G31=2,F38*(S38-Q38),F38*(Q38-S38))</f>
        <v>0</v>
      </c>
      <c r="AE38" s="116" t="n">
        <f aca="false">IF($G$3=1,F38*(R38-Q38),F38*(Q38-R38))</f>
        <v>0</v>
      </c>
      <c r="AG38" s="116" t="n">
        <f aca="false">AC38+AE38</f>
        <v>0</v>
      </c>
    </row>
    <row r="39" customFormat="false" ht="12.75" hidden="false" customHeight="false" outlineLevel="0" collapsed="false">
      <c r="A39" s="120" t="n">
        <f aca="false">EDATE(A38,1)</f>
        <v>38169</v>
      </c>
      <c r="B39" s="121" t="e">
        <f aca="false">VLOOKUP(A39,'Inputs-Summary'!$A$32:$E$41,3,FALSE())</f>
        <v>#N/A</v>
      </c>
      <c r="C39" s="122"/>
      <c r="D39" s="123" t="e">
        <f aca="false">B39+C39</f>
        <v>#N/A</v>
      </c>
      <c r="E39" s="111" t="n">
        <f aca="false">IF(Z39=0,0,IF(AND(Z39=1,$H$3=1),D39*U39,IF($H$3=2,D39,"N/A")))</f>
        <v>0</v>
      </c>
      <c r="F39" s="111" t="n">
        <f aca="false">E39*Y39</f>
        <v>0</v>
      </c>
      <c r="G39" s="124" t="n">
        <f aca="false">VLOOKUP($A39,Table,MATCH(G$4,Curves,0))</f>
        <v>3</v>
      </c>
      <c r="H39" s="125" t="n">
        <f aca="false">G39+$H$7</f>
        <v>3</v>
      </c>
      <c r="I39" s="124" t="n">
        <f aca="false">H39</f>
        <v>3</v>
      </c>
      <c r="J39" s="124" t="n">
        <f aca="false">VLOOKUP($A39,Table,MATCH(J$4,Curves,0))</f>
        <v>4</v>
      </c>
      <c r="K39" s="125" t="n">
        <f aca="false">J39+$K$7</f>
        <v>4</v>
      </c>
      <c r="L39" s="126" t="n">
        <f aca="false">K39</f>
        <v>4</v>
      </c>
      <c r="M39" s="124" t="n">
        <f aca="false">VLOOKUP($A39,Table,MATCH(M$4,Curves,0))</f>
        <v>4</v>
      </c>
      <c r="N39" s="125" t="n">
        <f aca="false">M39+$N$7</f>
        <v>4</v>
      </c>
      <c r="O39" s="126" t="n">
        <v>0.12</v>
      </c>
      <c r="P39" s="114"/>
      <c r="Q39" s="126" t="n">
        <f aca="false">M39+J39+G39</f>
        <v>11</v>
      </c>
      <c r="R39" s="126" t="n">
        <f aca="false">N39+K39+H39</f>
        <v>11</v>
      </c>
      <c r="S39" s="126" t="n">
        <f aca="false">O39+L39+I39</f>
        <v>7.12</v>
      </c>
      <c r="T39" s="127"/>
      <c r="U39" s="5" t="n">
        <f aca="false">A40-A39</f>
        <v>31</v>
      </c>
      <c r="V39" s="128" t="n">
        <f aca="false">CHOOSE(F$3,A40+24,A39)</f>
        <v>38169</v>
      </c>
      <c r="W39" s="5" t="n">
        <f aca="false">V39-C$3</f>
        <v>938</v>
      </c>
      <c r="X39" s="124" t="n">
        <f aca="false">VLOOKUP($A39,Table,MATCH(X$4,Curves,0))</f>
        <v>2</v>
      </c>
      <c r="Y39" s="129" t="n">
        <f aca="false">1/(1+CHOOSE(F$3,(X40+($K$3/10000))/2,(X39+($K$3/10000))/2))^(2*W39/365.25)</f>
        <v>0.0284346118966718</v>
      </c>
      <c r="Z39" s="5" t="n">
        <f aca="false">IF(AND(mthbeg&lt;=A39,mthend&gt;=A39),1,0)</f>
        <v>0</v>
      </c>
      <c r="AA39" s="5" t="n">
        <f aca="false">U39*Z39</f>
        <v>0</v>
      </c>
      <c r="AC39" s="115" t="n">
        <f aca="false">IF(G32=2,F39*(S39-Q39),F39*(Q39-S39))</f>
        <v>0</v>
      </c>
      <c r="AE39" s="116" t="n">
        <f aca="false">IF($G$3=1,F39*(R39-Q39),F39*(Q39-R39))</f>
        <v>0</v>
      </c>
      <c r="AG39" s="116" t="n">
        <f aca="false">AC39+AE39</f>
        <v>0</v>
      </c>
    </row>
    <row r="40" customFormat="false" ht="12.75" hidden="false" customHeight="false" outlineLevel="0" collapsed="false">
      <c r="A40" s="120" t="n">
        <f aca="false">EDATE(A39,1)</f>
        <v>38200</v>
      </c>
      <c r="B40" s="121" t="e">
        <f aca="false">VLOOKUP(A40,'Inputs-Summary'!$A$32:$E$41,3,FALSE())</f>
        <v>#N/A</v>
      </c>
      <c r="C40" s="122"/>
      <c r="D40" s="123" t="e">
        <f aca="false">B40+C40</f>
        <v>#N/A</v>
      </c>
      <c r="E40" s="111" t="n">
        <f aca="false">IF(Z40=0,0,IF(AND(Z40=1,$H$3=1),D40*U40,IF($H$3=2,D40,"N/A")))</f>
        <v>0</v>
      </c>
      <c r="F40" s="111" t="n">
        <f aca="false">E40*Y40</f>
        <v>0</v>
      </c>
      <c r="G40" s="124" t="n">
        <f aca="false">VLOOKUP($A40,Table,MATCH(G$4,Curves,0))</f>
        <v>3</v>
      </c>
      <c r="H40" s="125" t="n">
        <f aca="false">G40+$H$7</f>
        <v>3</v>
      </c>
      <c r="I40" s="124" t="n">
        <f aca="false">H40</f>
        <v>3</v>
      </c>
      <c r="J40" s="124" t="n">
        <f aca="false">VLOOKUP($A40,Table,MATCH(J$4,Curves,0))</f>
        <v>4</v>
      </c>
      <c r="K40" s="125" t="n">
        <f aca="false">J40+$K$7</f>
        <v>4</v>
      </c>
      <c r="L40" s="126" t="n">
        <f aca="false">K40</f>
        <v>4</v>
      </c>
      <c r="M40" s="124" t="n">
        <f aca="false">VLOOKUP($A40,Table,MATCH(M$4,Curves,0))</f>
        <v>4</v>
      </c>
      <c r="N40" s="125" t="n">
        <f aca="false">M40+$N$7</f>
        <v>4</v>
      </c>
      <c r="O40" s="126" t="n">
        <v>0.12</v>
      </c>
      <c r="P40" s="114"/>
      <c r="Q40" s="126" t="n">
        <f aca="false">M40+J40+G40</f>
        <v>11</v>
      </c>
      <c r="R40" s="126" t="n">
        <f aca="false">N40+K40+H40</f>
        <v>11</v>
      </c>
      <c r="S40" s="126" t="n">
        <f aca="false">O40+L40+I40</f>
        <v>7.12</v>
      </c>
      <c r="T40" s="127"/>
      <c r="U40" s="5" t="n">
        <f aca="false">A41-A40</f>
        <v>31</v>
      </c>
      <c r="V40" s="128" t="n">
        <f aca="false">CHOOSE(F$3,A41+24,A40)</f>
        <v>38200</v>
      </c>
      <c r="W40" s="5" t="n">
        <f aca="false">V40-C$3</f>
        <v>969</v>
      </c>
      <c r="X40" s="124" t="n">
        <f aca="false">VLOOKUP($A40,Table,MATCH(X$4,Curves,0))</f>
        <v>2</v>
      </c>
      <c r="Y40" s="129" t="n">
        <f aca="false">1/(1+CHOOSE(F$3,(X41+($K$3/10000))/2,(X40+($K$3/10000))/2))^(2*W40/365.25)</f>
        <v>0.0252783336543544</v>
      </c>
      <c r="Z40" s="5" t="n">
        <f aca="false">IF(AND(mthbeg&lt;=A40,mthend&gt;=A40),1,0)</f>
        <v>0</v>
      </c>
      <c r="AA40" s="5" t="n">
        <f aca="false">U40*Z40</f>
        <v>0</v>
      </c>
      <c r="AC40" s="115" t="n">
        <f aca="false">IF(G33=2,F40*(S40-Q40),F40*(Q40-S40))</f>
        <v>0</v>
      </c>
      <c r="AE40" s="116" t="n">
        <f aca="false">IF($G$3=1,F40*(R40-Q40),F40*(Q40-R40))</f>
        <v>0</v>
      </c>
      <c r="AG40" s="116" t="n">
        <f aca="false">AC40+AE40</f>
        <v>0</v>
      </c>
    </row>
    <row r="41" customFormat="false" ht="12.75" hidden="false" customHeight="false" outlineLevel="0" collapsed="false">
      <c r="A41" s="120" t="n">
        <f aca="false">EDATE(A40,1)</f>
        <v>38231</v>
      </c>
      <c r="B41" s="121" t="e">
        <f aca="false">VLOOKUP(A41,'Inputs-Summary'!$A$32:$E$41,3,FALSE())</f>
        <v>#N/A</v>
      </c>
      <c r="C41" s="122"/>
      <c r="D41" s="123" t="e">
        <f aca="false">B41+C41</f>
        <v>#N/A</v>
      </c>
      <c r="E41" s="111" t="n">
        <f aca="false">IF(Z41=0,0,IF(AND(Z41=1,$H$3=1),D41*U41,IF($H$3=2,D41,"N/A")))</f>
        <v>0</v>
      </c>
      <c r="F41" s="111" t="n">
        <f aca="false">E41*Y41</f>
        <v>0</v>
      </c>
      <c r="G41" s="124" t="n">
        <f aca="false">VLOOKUP($A41,Table,MATCH(G$4,Curves,0))</f>
        <v>3</v>
      </c>
      <c r="H41" s="125" t="n">
        <f aca="false">G41+$H$7</f>
        <v>3</v>
      </c>
      <c r="I41" s="124" t="n">
        <f aca="false">H41</f>
        <v>3</v>
      </c>
      <c r="J41" s="124" t="n">
        <f aca="false">VLOOKUP($A41,Table,MATCH(J$4,Curves,0))</f>
        <v>4</v>
      </c>
      <c r="K41" s="125" t="n">
        <f aca="false">J41+$K$7</f>
        <v>4</v>
      </c>
      <c r="L41" s="126" t="n">
        <f aca="false">K41</f>
        <v>4</v>
      </c>
      <c r="M41" s="124" t="n">
        <f aca="false">VLOOKUP($A41,Table,MATCH(M$4,Curves,0))</f>
        <v>4</v>
      </c>
      <c r="N41" s="125" t="n">
        <f aca="false">M41+$N$7</f>
        <v>4</v>
      </c>
      <c r="O41" s="126" t="n">
        <v>0.12</v>
      </c>
      <c r="P41" s="114"/>
      <c r="Q41" s="126" t="n">
        <f aca="false">M41+J41+G41</f>
        <v>11</v>
      </c>
      <c r="R41" s="126" t="n">
        <f aca="false">N41+K41+H41</f>
        <v>11</v>
      </c>
      <c r="S41" s="126" t="n">
        <f aca="false">O41+L41+I41</f>
        <v>7.12</v>
      </c>
      <c r="T41" s="127"/>
      <c r="U41" s="5" t="n">
        <f aca="false">A42-A41</f>
        <v>30</v>
      </c>
      <c r="V41" s="128" t="n">
        <f aca="false">CHOOSE(F$3,A42+24,A41)</f>
        <v>38231</v>
      </c>
      <c r="W41" s="5" t="n">
        <f aca="false">V41-C$3</f>
        <v>1000</v>
      </c>
      <c r="X41" s="124" t="n">
        <f aca="false">VLOOKUP($A41,Table,MATCH(X$4,Curves,0))</f>
        <v>2</v>
      </c>
      <c r="Y41" s="129" t="n">
        <f aca="false">1/(1+CHOOSE(F$3,(X42+($K$3/10000))/2,(X41+($K$3/10000))/2))^(2*W41/365.25)</f>
        <v>0.022472406328699</v>
      </c>
      <c r="Z41" s="5" t="n">
        <f aca="false">IF(AND(mthbeg&lt;=A41,mthend&gt;=A41),1,0)</f>
        <v>0</v>
      </c>
      <c r="AA41" s="5" t="n">
        <f aca="false">U41*Z41</f>
        <v>0</v>
      </c>
      <c r="AC41" s="115" t="n">
        <f aca="false">IF(G34=2,F41*(S41-Q41),F41*(Q41-S41))</f>
        <v>0</v>
      </c>
      <c r="AE41" s="116" t="n">
        <f aca="false">IF($G$3=1,F41*(R41-Q41),F41*(Q41-R41))</f>
        <v>0</v>
      </c>
      <c r="AG41" s="116" t="n">
        <f aca="false">AC41+AE41</f>
        <v>0</v>
      </c>
    </row>
    <row r="42" customFormat="false" ht="12.75" hidden="false" customHeight="false" outlineLevel="0" collapsed="false">
      <c r="A42" s="120" t="n">
        <f aca="false">EDATE(A41,1)</f>
        <v>38261</v>
      </c>
      <c r="B42" s="121" t="e">
        <f aca="false">VLOOKUP(A42,'Inputs-Summary'!$A$32:$E$41,3,FALSE())</f>
        <v>#N/A</v>
      </c>
      <c r="C42" s="122"/>
      <c r="D42" s="123" t="e">
        <f aca="false">B42+C42</f>
        <v>#N/A</v>
      </c>
      <c r="E42" s="111" t="n">
        <f aca="false">IF(Z42=0,0,IF(AND(Z42=1,$H$3=1),D42*U42,IF($H$3=2,D42,"N/A")))</f>
        <v>0</v>
      </c>
      <c r="F42" s="111" t="n">
        <f aca="false">E42*Y42</f>
        <v>0</v>
      </c>
      <c r="G42" s="124" t="n">
        <f aca="false">VLOOKUP($A42,Table,MATCH(G$4,Curves,0))</f>
        <v>3</v>
      </c>
      <c r="H42" s="125" t="n">
        <f aca="false">G42+$H$7</f>
        <v>3</v>
      </c>
      <c r="I42" s="124" t="n">
        <f aca="false">H42</f>
        <v>3</v>
      </c>
      <c r="J42" s="124" t="n">
        <f aca="false">VLOOKUP($A42,Table,MATCH(J$4,Curves,0))</f>
        <v>4</v>
      </c>
      <c r="K42" s="125" t="n">
        <f aca="false">J42+$K$7</f>
        <v>4</v>
      </c>
      <c r="L42" s="126" t="n">
        <f aca="false">K42</f>
        <v>4</v>
      </c>
      <c r="M42" s="124" t="n">
        <f aca="false">VLOOKUP($A42,Table,MATCH(M$4,Curves,0))</f>
        <v>4</v>
      </c>
      <c r="N42" s="125" t="n">
        <f aca="false">M42+$N$7</f>
        <v>4</v>
      </c>
      <c r="O42" s="126" t="n">
        <v>0.12</v>
      </c>
      <c r="P42" s="114"/>
      <c r="Q42" s="126" t="n">
        <f aca="false">M42+J42+G42</f>
        <v>11</v>
      </c>
      <c r="R42" s="126" t="n">
        <f aca="false">N42+K42+H42</f>
        <v>11</v>
      </c>
      <c r="S42" s="126" t="n">
        <f aca="false">O42+L42+I42</f>
        <v>7.12</v>
      </c>
      <c r="T42" s="127"/>
      <c r="U42" s="5" t="n">
        <f aca="false">A43-A42</f>
        <v>31</v>
      </c>
      <c r="V42" s="128" t="n">
        <f aca="false">CHOOSE(F$3,A43+24,A42)</f>
        <v>38261</v>
      </c>
      <c r="W42" s="5" t="n">
        <f aca="false">V42-C$3</f>
        <v>1030</v>
      </c>
      <c r="X42" s="124" t="n">
        <f aca="false">VLOOKUP($A42,Table,MATCH(X$4,Curves,0))</f>
        <v>2</v>
      </c>
      <c r="Y42" s="129" t="n">
        <f aca="false">1/(1+CHOOSE(F$3,(X43+($K$3/10000))/2,(X42+($K$3/10000))/2))^(2*W42/365.25)</f>
        <v>0.0200539102155923</v>
      </c>
      <c r="Z42" s="5" t="n">
        <f aca="false">IF(AND(mthbeg&lt;=A42,mthend&gt;=A42),1,0)</f>
        <v>0</v>
      </c>
      <c r="AA42" s="5" t="n">
        <f aca="false">U42*Z42</f>
        <v>0</v>
      </c>
      <c r="AC42" s="115" t="n">
        <f aca="false">IF(G35=2,F42*(S42-Q42),F42*(Q42-S42))</f>
        <v>0</v>
      </c>
      <c r="AE42" s="116" t="n">
        <f aca="false">IF($G$3=1,F42*(R42-Q42),F42*(Q42-R42))</f>
        <v>0</v>
      </c>
      <c r="AG42" s="116" t="n">
        <f aca="false">AC42+AE42</f>
        <v>0</v>
      </c>
    </row>
    <row r="43" customFormat="false" ht="12.75" hidden="false" customHeight="false" outlineLevel="0" collapsed="false">
      <c r="A43" s="120" t="n">
        <f aca="false">EDATE(A42,1)</f>
        <v>38292</v>
      </c>
      <c r="B43" s="121" t="e">
        <f aca="false">VLOOKUP(A43,'Inputs-Summary'!$A$32:$E$41,3,FALSE())</f>
        <v>#N/A</v>
      </c>
      <c r="C43" s="122"/>
      <c r="D43" s="123" t="e">
        <f aca="false">B43+C43</f>
        <v>#N/A</v>
      </c>
      <c r="E43" s="111" t="n">
        <f aca="false">IF(Z43=0,0,IF(AND(Z43=1,$H$3=1),D43*U43,IF($H$3=2,D43,"N/A")))</f>
        <v>0</v>
      </c>
      <c r="F43" s="111" t="n">
        <f aca="false">E43*Y43</f>
        <v>0</v>
      </c>
      <c r="G43" s="124" t="n">
        <f aca="false">VLOOKUP($A43,Table,MATCH(G$4,Curves,0))</f>
        <v>3</v>
      </c>
      <c r="H43" s="125" t="n">
        <f aca="false">G43+$H$7</f>
        <v>3</v>
      </c>
      <c r="I43" s="124" t="n">
        <f aca="false">H43</f>
        <v>3</v>
      </c>
      <c r="J43" s="124" t="n">
        <f aca="false">VLOOKUP($A43,Table,MATCH(J$4,Curves,0))</f>
        <v>4</v>
      </c>
      <c r="K43" s="125" t="n">
        <f aca="false">J43+$K$7</f>
        <v>4</v>
      </c>
      <c r="L43" s="126" t="n">
        <f aca="false">K43</f>
        <v>4</v>
      </c>
      <c r="M43" s="124" t="n">
        <f aca="false">VLOOKUP($A43,Table,MATCH(M$4,Curves,0))</f>
        <v>4</v>
      </c>
      <c r="N43" s="125" t="n">
        <f aca="false">M43+$N$7</f>
        <v>4</v>
      </c>
      <c r="O43" s="126" t="n">
        <v>0.12</v>
      </c>
      <c r="P43" s="114"/>
      <c r="Q43" s="126" t="n">
        <f aca="false">M43+J43+G43</f>
        <v>11</v>
      </c>
      <c r="R43" s="126" t="n">
        <f aca="false">N43+K43+H43</f>
        <v>11</v>
      </c>
      <c r="S43" s="126" t="n">
        <f aca="false">O43+L43+I43</f>
        <v>7.12</v>
      </c>
      <c r="T43" s="127"/>
      <c r="U43" s="5" t="n">
        <f aca="false">A44-A43</f>
        <v>30</v>
      </c>
      <c r="V43" s="128" t="n">
        <f aca="false">CHOOSE(F$3,A44+24,A43)</f>
        <v>38292</v>
      </c>
      <c r="W43" s="5" t="n">
        <f aca="false">V43-C$3</f>
        <v>1061</v>
      </c>
      <c r="X43" s="124" t="n">
        <f aca="false">VLOOKUP($A43,Table,MATCH(X$4,Curves,0))</f>
        <v>2</v>
      </c>
      <c r="Y43" s="129" t="n">
        <f aca="false">1/(1+CHOOSE(F$3,(X44+($K$3/10000))/2,(X43+($K$3/10000))/2))^(2*W43/365.25)</f>
        <v>0.0178279005652102</v>
      </c>
      <c r="Z43" s="5" t="n">
        <f aca="false">IF(AND(mthbeg&lt;=A43,mthend&gt;=A43),1,0)</f>
        <v>0</v>
      </c>
      <c r="AA43" s="5" t="n">
        <f aca="false">U43*Z43</f>
        <v>0</v>
      </c>
      <c r="AC43" s="115" t="n">
        <f aca="false">IF(G36=2,F43*(S43-Q43),F43*(Q43-S43))</f>
        <v>0</v>
      </c>
      <c r="AE43" s="116" t="n">
        <f aca="false">IF($G$3=1,F43*(R43-Q43),F43*(Q43-R43))</f>
        <v>0</v>
      </c>
      <c r="AG43" s="116" t="n">
        <f aca="false">AC43+AE43</f>
        <v>0</v>
      </c>
    </row>
    <row r="44" customFormat="false" ht="12.75" hidden="false" customHeight="false" outlineLevel="0" collapsed="false">
      <c r="A44" s="120" t="n">
        <f aca="false">EDATE(A43,1)</f>
        <v>38322</v>
      </c>
      <c r="B44" s="121" t="e">
        <f aca="false">VLOOKUP(A44,'Inputs-Summary'!$A$32:$E$41,3,FALSE())</f>
        <v>#N/A</v>
      </c>
      <c r="C44" s="122"/>
      <c r="D44" s="123" t="e">
        <f aca="false">B44+C44</f>
        <v>#N/A</v>
      </c>
      <c r="E44" s="111" t="n">
        <f aca="false">IF(Z44=0,0,IF(AND(Z44=1,$H$3=1),D44*U44,IF($H$3=2,D44,"N/A")))</f>
        <v>0</v>
      </c>
      <c r="F44" s="111" t="n">
        <f aca="false">E44*Y44</f>
        <v>0</v>
      </c>
      <c r="G44" s="124" t="n">
        <f aca="false">VLOOKUP($A44,Table,MATCH(G$4,Curves,0))</f>
        <v>3</v>
      </c>
      <c r="H44" s="125" t="n">
        <f aca="false">G44+$H$7</f>
        <v>3</v>
      </c>
      <c r="I44" s="124" t="n">
        <f aca="false">H44</f>
        <v>3</v>
      </c>
      <c r="J44" s="124" t="n">
        <f aca="false">VLOOKUP($A44,Table,MATCH(J$4,Curves,0))</f>
        <v>4</v>
      </c>
      <c r="K44" s="125" t="n">
        <f aca="false">J44+$K$7</f>
        <v>4</v>
      </c>
      <c r="L44" s="126" t="n">
        <f aca="false">K44</f>
        <v>4</v>
      </c>
      <c r="M44" s="124" t="n">
        <f aca="false">VLOOKUP($A44,Table,MATCH(M$4,Curves,0))</f>
        <v>4</v>
      </c>
      <c r="N44" s="125" t="n">
        <f aca="false">M44+$N$7</f>
        <v>4</v>
      </c>
      <c r="O44" s="126" t="n">
        <v>0.12</v>
      </c>
      <c r="P44" s="114"/>
      <c r="Q44" s="126" t="n">
        <f aca="false">M44+J44+G44</f>
        <v>11</v>
      </c>
      <c r="R44" s="126" t="n">
        <f aca="false">N44+K44+H44</f>
        <v>11</v>
      </c>
      <c r="S44" s="126" t="n">
        <f aca="false">O44+L44+I44</f>
        <v>7.12</v>
      </c>
      <c r="T44" s="127"/>
      <c r="U44" s="5" t="n">
        <f aca="false">A45-A44</f>
        <v>31</v>
      </c>
      <c r="V44" s="128" t="n">
        <f aca="false">CHOOSE(F$3,A45+24,A44)</f>
        <v>38322</v>
      </c>
      <c r="W44" s="5" t="n">
        <f aca="false">V44-C$3</f>
        <v>1091</v>
      </c>
      <c r="X44" s="124" t="n">
        <f aca="false">VLOOKUP($A44,Table,MATCH(X$4,Curves,0))</f>
        <v>2</v>
      </c>
      <c r="Y44" s="129" t="n">
        <f aca="false">1/(1+CHOOSE(F$3,(X45+($K$3/10000))/2,(X44+($K$3/10000))/2))^(2*W44/365.25)</f>
        <v>0.0159092494162788</v>
      </c>
      <c r="Z44" s="5" t="n">
        <f aca="false">IF(AND(mthbeg&lt;=A44,mthend&gt;=A44),1,0)</f>
        <v>0</v>
      </c>
      <c r="AA44" s="5" t="n">
        <f aca="false">U44*Z44</f>
        <v>0</v>
      </c>
      <c r="AC44" s="115" t="n">
        <f aca="false">IF(G37=2,F44*(S44-Q44),F44*(Q44-S44))</f>
        <v>0</v>
      </c>
      <c r="AE44" s="116" t="n">
        <f aca="false">IF($G$3=1,F44*(R44-Q44),F44*(Q44-R44))</f>
        <v>0</v>
      </c>
      <c r="AG44" s="116" t="n">
        <f aca="false">AC44+AE44</f>
        <v>0</v>
      </c>
    </row>
    <row r="45" customFormat="false" ht="12.75" hidden="false" customHeight="false" outlineLevel="0" collapsed="false">
      <c r="A45" s="120" t="n">
        <f aca="false">EDATE(A44,1)</f>
        <v>38353</v>
      </c>
      <c r="B45" s="121" t="e">
        <f aca="false">VLOOKUP(A45,'Inputs-Summary'!$A$32:$E$41,3,FALSE())</f>
        <v>#N/A</v>
      </c>
      <c r="C45" s="122"/>
      <c r="D45" s="123" t="e">
        <f aca="false">B45+C45</f>
        <v>#N/A</v>
      </c>
      <c r="E45" s="111" t="n">
        <f aca="false">IF(Z45=0,0,IF(AND(Z45=1,$H$3=1),D45*U45,IF($H$3=2,D45,"N/A")))</f>
        <v>0</v>
      </c>
      <c r="F45" s="111" t="n">
        <f aca="false">E45*Y45</f>
        <v>0</v>
      </c>
      <c r="G45" s="124" t="n">
        <f aca="false">VLOOKUP($A45,Table,MATCH(G$4,Curves,0))</f>
        <v>3</v>
      </c>
      <c r="H45" s="125" t="n">
        <f aca="false">G45+$H$7</f>
        <v>3</v>
      </c>
      <c r="I45" s="124" t="n">
        <f aca="false">H45</f>
        <v>3</v>
      </c>
      <c r="J45" s="124" t="n">
        <f aca="false">VLOOKUP($A45,Table,MATCH(J$4,Curves,0))</f>
        <v>4</v>
      </c>
      <c r="K45" s="125" t="n">
        <f aca="false">J45+$K$7</f>
        <v>4</v>
      </c>
      <c r="L45" s="126" t="n">
        <f aca="false">K45</f>
        <v>4</v>
      </c>
      <c r="M45" s="124" t="n">
        <f aca="false">VLOOKUP($A45,Table,MATCH(M$4,Curves,0))</f>
        <v>4</v>
      </c>
      <c r="N45" s="125" t="n">
        <f aca="false">M45+$N$7</f>
        <v>4</v>
      </c>
      <c r="O45" s="126" t="n">
        <v>0.12</v>
      </c>
      <c r="P45" s="114"/>
      <c r="Q45" s="126" t="n">
        <f aca="false">M45+J45+G45</f>
        <v>11</v>
      </c>
      <c r="R45" s="126" t="n">
        <f aca="false">N45+K45+H45</f>
        <v>11</v>
      </c>
      <c r="S45" s="126" t="n">
        <f aca="false">O45+L45+I45</f>
        <v>7.12</v>
      </c>
      <c r="T45" s="127"/>
      <c r="U45" s="5" t="n">
        <f aca="false">A46-A45</f>
        <v>31</v>
      </c>
      <c r="V45" s="128" t="n">
        <f aca="false">CHOOSE(F$3,A46+24,A45)</f>
        <v>38353</v>
      </c>
      <c r="W45" s="5" t="n">
        <f aca="false">V45-C$3</f>
        <v>1122</v>
      </c>
      <c r="X45" s="124" t="n">
        <f aca="false">VLOOKUP($A45,Table,MATCH(X$4,Curves,0))</f>
        <v>2</v>
      </c>
      <c r="Y45" s="129" t="n">
        <f aca="false">1/(1+CHOOSE(F$3,(X46+($K$3/10000))/2,(X45+($K$3/10000))/2))^(2*W45/365.25)</f>
        <v>0.0141433024089247</v>
      </c>
      <c r="Z45" s="5" t="n">
        <f aca="false">IF(AND(mthbeg&lt;=A45,mthend&gt;=A45),1,0)</f>
        <v>0</v>
      </c>
      <c r="AA45" s="5" t="n">
        <f aca="false">U45*Z45</f>
        <v>0</v>
      </c>
      <c r="AC45" s="115" t="n">
        <f aca="false">IF(G38=2,F45*(S45-Q45),F45*(Q45-S45))</f>
        <v>0</v>
      </c>
      <c r="AE45" s="116" t="n">
        <f aca="false">IF($G$3=1,F45*(R45-Q45),F45*(Q45-R45))</f>
        <v>0</v>
      </c>
      <c r="AG45" s="116" t="n">
        <f aca="false">AC45+AE45</f>
        <v>0</v>
      </c>
    </row>
    <row r="46" customFormat="false" ht="12.75" hidden="false" customHeight="false" outlineLevel="0" collapsed="false">
      <c r="A46" s="120" t="n">
        <f aca="false">EDATE(A45,1)</f>
        <v>38384</v>
      </c>
      <c r="B46" s="121" t="e">
        <f aca="false">VLOOKUP(A46,'Inputs-Summary'!$A$32:$E$41,3,FALSE())</f>
        <v>#N/A</v>
      </c>
      <c r="C46" s="122"/>
      <c r="D46" s="123" t="e">
        <f aca="false">B46+C46</f>
        <v>#N/A</v>
      </c>
      <c r="E46" s="111" t="n">
        <f aca="false">IF(Z46=0,0,IF(AND(Z46=1,$H$3=1),D46*U46,IF($H$3=2,D46,"N/A")))</f>
        <v>0</v>
      </c>
      <c r="F46" s="111" t="n">
        <f aca="false">E46*Y46</f>
        <v>0</v>
      </c>
      <c r="G46" s="124" t="n">
        <f aca="false">VLOOKUP($A46,Table,MATCH(G$4,Curves,0))</f>
        <v>3</v>
      </c>
      <c r="H46" s="125" t="n">
        <f aca="false">G46+$H$7</f>
        <v>3</v>
      </c>
      <c r="I46" s="124" t="n">
        <f aca="false">H46</f>
        <v>3</v>
      </c>
      <c r="J46" s="124" t="n">
        <f aca="false">VLOOKUP($A46,Table,MATCH(J$4,Curves,0))</f>
        <v>4</v>
      </c>
      <c r="K46" s="125" t="n">
        <f aca="false">J46+$K$7</f>
        <v>4</v>
      </c>
      <c r="L46" s="126" t="n">
        <f aca="false">K46</f>
        <v>4</v>
      </c>
      <c r="M46" s="124" t="n">
        <f aca="false">VLOOKUP($A46,Table,MATCH(M$4,Curves,0))</f>
        <v>4</v>
      </c>
      <c r="N46" s="125" t="n">
        <f aca="false">M46+$N$7</f>
        <v>4</v>
      </c>
      <c r="O46" s="126" t="n">
        <v>0.12</v>
      </c>
      <c r="P46" s="114"/>
      <c r="Q46" s="126" t="n">
        <f aca="false">M46+J46+G46</f>
        <v>11</v>
      </c>
      <c r="R46" s="126" t="n">
        <f aca="false">N46+K46+H46</f>
        <v>11</v>
      </c>
      <c r="S46" s="126" t="n">
        <f aca="false">O46+L46+I46</f>
        <v>7.12</v>
      </c>
      <c r="T46" s="127"/>
      <c r="U46" s="5" t="n">
        <f aca="false">A47-A46</f>
        <v>28</v>
      </c>
      <c r="V46" s="128" t="n">
        <f aca="false">CHOOSE(F$3,A47+24,A46)</f>
        <v>38384</v>
      </c>
      <c r="W46" s="5" t="n">
        <f aca="false">V46-C$3</f>
        <v>1153</v>
      </c>
      <c r="X46" s="124" t="n">
        <f aca="false">VLOOKUP($A46,Table,MATCH(X$4,Curves,0))</f>
        <v>2</v>
      </c>
      <c r="Y46" s="129" t="n">
        <f aca="false">1/(1+CHOOSE(F$3,(X47+($K$3/10000))/2,(X46+($K$3/10000))/2))^(2*W46/365.25)</f>
        <v>0.0125733777751713</v>
      </c>
      <c r="Z46" s="5" t="n">
        <f aca="false">IF(AND(mthbeg&lt;=A46,mthend&gt;=A46),1,0)</f>
        <v>0</v>
      </c>
      <c r="AA46" s="5" t="n">
        <f aca="false">U46*Z46</f>
        <v>0</v>
      </c>
      <c r="AC46" s="115" t="n">
        <f aca="false">IF(G39=2,F46*(S46-Q46),F46*(Q46-S46))</f>
        <v>0</v>
      </c>
      <c r="AE46" s="116" t="n">
        <f aca="false">IF($G$3=1,F46*(R46-Q46),F46*(Q46-R46))</f>
        <v>0</v>
      </c>
      <c r="AG46" s="116" t="n">
        <f aca="false">AC46+AE46</f>
        <v>0</v>
      </c>
    </row>
    <row r="47" customFormat="false" ht="12.75" hidden="false" customHeight="false" outlineLevel="0" collapsed="false">
      <c r="A47" s="120" t="n">
        <f aca="false">EDATE(A46,1)</f>
        <v>38412</v>
      </c>
      <c r="B47" s="121" t="e">
        <f aca="false">VLOOKUP(A47,'Inputs-Summary'!$A$32:$E$41,3,FALSE())</f>
        <v>#N/A</v>
      </c>
      <c r="C47" s="122"/>
      <c r="D47" s="123" t="e">
        <f aca="false">B47+C47</f>
        <v>#N/A</v>
      </c>
      <c r="E47" s="111" t="n">
        <f aca="false">IF(Z47=0,0,IF(AND(Z47=1,$H$3=1),D47*U47,IF($H$3=2,D47,"N/A")))</f>
        <v>0</v>
      </c>
      <c r="F47" s="111" t="n">
        <f aca="false">E47*Y47</f>
        <v>0</v>
      </c>
      <c r="G47" s="124" t="n">
        <f aca="false">VLOOKUP($A47,Table,MATCH(G$4,Curves,0))</f>
        <v>3</v>
      </c>
      <c r="H47" s="125" t="n">
        <f aca="false">G47+$H$7</f>
        <v>3</v>
      </c>
      <c r="I47" s="124" t="n">
        <f aca="false">H47</f>
        <v>3</v>
      </c>
      <c r="J47" s="124" t="n">
        <f aca="false">VLOOKUP($A47,Table,MATCH(J$4,Curves,0))</f>
        <v>4</v>
      </c>
      <c r="K47" s="125" t="n">
        <f aca="false">J47+$K$7</f>
        <v>4</v>
      </c>
      <c r="L47" s="126" t="n">
        <f aca="false">K47</f>
        <v>4</v>
      </c>
      <c r="M47" s="124" t="n">
        <f aca="false">VLOOKUP($A47,Table,MATCH(M$4,Curves,0))</f>
        <v>4</v>
      </c>
      <c r="N47" s="125" t="n">
        <f aca="false">M47+$N$7</f>
        <v>4</v>
      </c>
      <c r="O47" s="126" t="n">
        <v>0.12</v>
      </c>
      <c r="P47" s="114"/>
      <c r="Q47" s="126" t="n">
        <f aca="false">M47+J47+G47</f>
        <v>11</v>
      </c>
      <c r="R47" s="126" t="n">
        <f aca="false">N47+K47+H47</f>
        <v>11</v>
      </c>
      <c r="S47" s="126" t="n">
        <f aca="false">O47+L47+I47</f>
        <v>7.12</v>
      </c>
      <c r="T47" s="127"/>
      <c r="U47" s="5" t="n">
        <f aca="false">A48-A47</f>
        <v>31</v>
      </c>
      <c r="V47" s="128" t="n">
        <f aca="false">CHOOSE(F$3,A48+24,A47)</f>
        <v>38412</v>
      </c>
      <c r="W47" s="5" t="n">
        <f aca="false">V47-C$3</f>
        <v>1181</v>
      </c>
      <c r="X47" s="124" t="n">
        <f aca="false">VLOOKUP($A47,Table,MATCH(X$4,Curves,0))</f>
        <v>2</v>
      </c>
      <c r="Y47" s="129" t="n">
        <f aca="false">1/(1+CHOOSE(F$3,(X48+($K$3/10000))/2,(X47+($K$3/10000))/2))^(2*W47/365.25)</f>
        <v>0.011305718104576</v>
      </c>
      <c r="Z47" s="5" t="n">
        <f aca="false">IF(AND(mthbeg&lt;=A47,mthend&gt;=A47),1,0)</f>
        <v>0</v>
      </c>
      <c r="AA47" s="5" t="n">
        <f aca="false">U47*Z47</f>
        <v>0</v>
      </c>
      <c r="AC47" s="115" t="n">
        <f aca="false">IF(G40=2,F47*(S47-Q47),F47*(Q47-S47))</f>
        <v>0</v>
      </c>
      <c r="AE47" s="116" t="n">
        <f aca="false">IF($G$3=1,F47*(R47-Q47),F47*(Q47-R47))</f>
        <v>0</v>
      </c>
      <c r="AG47" s="116" t="n">
        <f aca="false">AC47+AE47</f>
        <v>0</v>
      </c>
    </row>
    <row r="48" customFormat="false" ht="12.75" hidden="false" customHeight="false" outlineLevel="0" collapsed="false">
      <c r="A48" s="120" t="n">
        <f aca="false">EDATE(A47,1)</f>
        <v>38443</v>
      </c>
      <c r="B48" s="121" t="e">
        <f aca="false">VLOOKUP(A48,'Inputs-Summary'!$A$32:$E$41,3,FALSE())</f>
        <v>#N/A</v>
      </c>
      <c r="C48" s="122"/>
      <c r="D48" s="123" t="e">
        <f aca="false">B48+C48</f>
        <v>#N/A</v>
      </c>
      <c r="E48" s="111" t="n">
        <f aca="false">IF(Z48=0,0,IF(AND(Z48=1,$H$3=1),D48*U48,IF($H$3=2,D48,"N/A")))</f>
        <v>0</v>
      </c>
      <c r="F48" s="111" t="n">
        <f aca="false">E48*Y48</f>
        <v>0</v>
      </c>
      <c r="G48" s="124" t="n">
        <f aca="false">VLOOKUP($A48,Table,MATCH(G$4,Curves,0))</f>
        <v>3</v>
      </c>
      <c r="H48" s="125" t="n">
        <f aca="false">G48+$H$7</f>
        <v>3</v>
      </c>
      <c r="I48" s="124" t="n">
        <f aca="false">H48</f>
        <v>3</v>
      </c>
      <c r="J48" s="124" t="n">
        <f aca="false">VLOOKUP($A48,Table,MATCH(J$4,Curves,0))</f>
        <v>4</v>
      </c>
      <c r="K48" s="125" t="n">
        <f aca="false">J48+$K$7</f>
        <v>4</v>
      </c>
      <c r="L48" s="126" t="n">
        <f aca="false">K48</f>
        <v>4</v>
      </c>
      <c r="M48" s="124" t="n">
        <f aca="false">VLOOKUP($A48,Table,MATCH(M$4,Curves,0))</f>
        <v>4</v>
      </c>
      <c r="N48" s="125" t="n">
        <f aca="false">M48+$N$7</f>
        <v>4</v>
      </c>
      <c r="O48" s="126" t="n">
        <v>0.12</v>
      </c>
      <c r="P48" s="114"/>
      <c r="Q48" s="126" t="n">
        <f aca="false">M48+J48+G48</f>
        <v>11</v>
      </c>
      <c r="R48" s="126" t="n">
        <f aca="false">N48+K48+H48</f>
        <v>11</v>
      </c>
      <c r="S48" s="126" t="n">
        <f aca="false">O48+L48+I48</f>
        <v>7.12</v>
      </c>
      <c r="T48" s="127"/>
      <c r="U48" s="5" t="n">
        <f aca="false">A49-A48</f>
        <v>30</v>
      </c>
      <c r="V48" s="128" t="n">
        <f aca="false">CHOOSE(F$3,A49+24,A48)</f>
        <v>38443</v>
      </c>
      <c r="W48" s="5" t="n">
        <f aca="false">V48-C$3</f>
        <v>1212</v>
      </c>
      <c r="X48" s="124" t="n">
        <f aca="false">VLOOKUP($A48,Table,MATCH(X$4,Curves,0))</f>
        <v>2</v>
      </c>
      <c r="Y48" s="129" t="n">
        <f aca="false">1/(1+CHOOSE(F$3,(X49+($K$3/10000))/2,(X48+($K$3/10000))/2))^(2*W48/365.25)</f>
        <v>0.0100507689532769</v>
      </c>
      <c r="Z48" s="5" t="n">
        <f aca="false">IF(AND(mthbeg&lt;=A48,mthend&gt;=A48),1,0)</f>
        <v>0</v>
      </c>
      <c r="AA48" s="5" t="n">
        <f aca="false">U48*Z48</f>
        <v>0</v>
      </c>
      <c r="AC48" s="115" t="n">
        <f aca="false">IF(G41=2,F48*(S48-Q48),F48*(Q48-S48))</f>
        <v>0</v>
      </c>
      <c r="AE48" s="116" t="n">
        <f aca="false">IF($G$3=1,F48*(R48-Q48),F48*(Q48-R48))</f>
        <v>0</v>
      </c>
      <c r="AG48" s="116" t="n">
        <f aca="false">AC48+AE48</f>
        <v>0</v>
      </c>
    </row>
    <row r="49" customFormat="false" ht="12.75" hidden="false" customHeight="false" outlineLevel="0" collapsed="false">
      <c r="A49" s="120" t="n">
        <f aca="false">EDATE(A48,1)</f>
        <v>38473</v>
      </c>
      <c r="B49" s="121" t="e">
        <f aca="false">VLOOKUP(A49,'Inputs-Summary'!$A$32:$E$41,3,FALSE())</f>
        <v>#N/A</v>
      </c>
      <c r="C49" s="122"/>
      <c r="D49" s="123" t="e">
        <f aca="false">B49+C49</f>
        <v>#N/A</v>
      </c>
      <c r="E49" s="111" t="n">
        <f aca="false">IF(Z49=0,0,IF(AND(Z49=1,$H$3=1),D49*U49,IF($H$3=2,D49,"N/A")))</f>
        <v>0</v>
      </c>
      <c r="F49" s="111" t="n">
        <f aca="false">E49*Y49</f>
        <v>0</v>
      </c>
      <c r="G49" s="124" t="n">
        <f aca="false">VLOOKUP($A49,Table,MATCH(G$4,Curves,0))</f>
        <v>3</v>
      </c>
      <c r="H49" s="125" t="n">
        <f aca="false">G49+$H$7</f>
        <v>3</v>
      </c>
      <c r="I49" s="124" t="n">
        <f aca="false">H49</f>
        <v>3</v>
      </c>
      <c r="J49" s="124" t="n">
        <f aca="false">VLOOKUP($A49,Table,MATCH(J$4,Curves,0))</f>
        <v>4</v>
      </c>
      <c r="K49" s="125" t="n">
        <f aca="false">J49+$K$7</f>
        <v>4</v>
      </c>
      <c r="L49" s="126" t="n">
        <f aca="false">K49</f>
        <v>4</v>
      </c>
      <c r="M49" s="124" t="n">
        <f aca="false">VLOOKUP($A49,Table,MATCH(M$4,Curves,0))</f>
        <v>4</v>
      </c>
      <c r="N49" s="125" t="n">
        <f aca="false">M49+$N$7</f>
        <v>4</v>
      </c>
      <c r="O49" s="126" t="n">
        <v>0.12</v>
      </c>
      <c r="P49" s="114"/>
      <c r="Q49" s="126" t="n">
        <f aca="false">M49+J49+G49</f>
        <v>11</v>
      </c>
      <c r="R49" s="126" t="n">
        <f aca="false">N49+K49+H49</f>
        <v>11</v>
      </c>
      <c r="S49" s="126" t="n">
        <f aca="false">O49+L49+I49</f>
        <v>7.12</v>
      </c>
      <c r="T49" s="127"/>
      <c r="U49" s="5" t="n">
        <f aca="false">A50-A49</f>
        <v>31</v>
      </c>
      <c r="V49" s="128" t="n">
        <f aca="false">CHOOSE(F$3,A50+24,A49)</f>
        <v>38473</v>
      </c>
      <c r="W49" s="5" t="n">
        <f aca="false">V49-C$3</f>
        <v>1242</v>
      </c>
      <c r="X49" s="124" t="n">
        <f aca="false">VLOOKUP($A49,Table,MATCH(X$4,Curves,0))</f>
        <v>2</v>
      </c>
      <c r="Y49" s="129" t="n">
        <f aca="false">1/(1+CHOOSE(F$3,(X50+($K$3/10000))/2,(X49+($K$3/10000))/2))^(2*W49/365.25)</f>
        <v>0.00896909815702623</v>
      </c>
      <c r="Z49" s="5" t="n">
        <f aca="false">IF(AND(mthbeg&lt;=A49,mthend&gt;=A49),1,0)</f>
        <v>0</v>
      </c>
      <c r="AA49" s="5" t="n">
        <f aca="false">U49*Z49</f>
        <v>0</v>
      </c>
      <c r="AC49" s="115" t="n">
        <f aca="false">IF(G42=2,F49*(S49-Q49),F49*(Q49-S49))</f>
        <v>0</v>
      </c>
      <c r="AE49" s="116" t="n">
        <f aca="false">IF($G$3=1,F49*(R49-Q49),F49*(Q49-R49))</f>
        <v>0</v>
      </c>
      <c r="AG49" s="116" t="n">
        <f aca="false">AC49+AE49</f>
        <v>0</v>
      </c>
    </row>
    <row r="50" customFormat="false" ht="12.75" hidden="false" customHeight="false" outlineLevel="0" collapsed="false">
      <c r="A50" s="120" t="n">
        <f aca="false">EDATE(A49,1)</f>
        <v>38504</v>
      </c>
      <c r="B50" s="121" t="e">
        <f aca="false">VLOOKUP(A50,'Inputs-Summary'!$A$32:$E$41,3,FALSE())</f>
        <v>#N/A</v>
      </c>
      <c r="C50" s="122"/>
      <c r="D50" s="123" t="e">
        <f aca="false">B50+C50</f>
        <v>#N/A</v>
      </c>
      <c r="E50" s="111" t="n">
        <f aca="false">IF(Z50=0,0,IF(AND(Z50=1,$H$3=1),D50*U50,IF($H$3=2,D50,"N/A")))</f>
        <v>0</v>
      </c>
      <c r="F50" s="111" t="n">
        <f aca="false">E50*Y50</f>
        <v>0</v>
      </c>
      <c r="G50" s="124" t="n">
        <f aca="false">VLOOKUP($A50,Table,MATCH(G$4,Curves,0))</f>
        <v>3</v>
      </c>
      <c r="H50" s="125" t="n">
        <f aca="false">G50+$H$7</f>
        <v>3</v>
      </c>
      <c r="I50" s="124" t="n">
        <f aca="false">H50</f>
        <v>3</v>
      </c>
      <c r="J50" s="124" t="n">
        <f aca="false">VLOOKUP($A50,Table,MATCH(J$4,Curves,0))</f>
        <v>4</v>
      </c>
      <c r="K50" s="125" t="n">
        <f aca="false">J50+$K$7</f>
        <v>4</v>
      </c>
      <c r="L50" s="126" t="n">
        <f aca="false">K50</f>
        <v>4</v>
      </c>
      <c r="M50" s="124" t="n">
        <f aca="false">VLOOKUP($A50,Table,MATCH(M$4,Curves,0))</f>
        <v>4</v>
      </c>
      <c r="N50" s="125" t="n">
        <f aca="false">M50+$N$7</f>
        <v>4</v>
      </c>
      <c r="O50" s="126" t="n">
        <v>0.12</v>
      </c>
      <c r="P50" s="114"/>
      <c r="Q50" s="126" t="n">
        <f aca="false">M50+J50+G50</f>
        <v>11</v>
      </c>
      <c r="R50" s="126" t="n">
        <f aca="false">N50+K50+H50</f>
        <v>11</v>
      </c>
      <c r="S50" s="126" t="n">
        <f aca="false">O50+L50+I50</f>
        <v>7.12</v>
      </c>
      <c r="T50" s="127"/>
      <c r="U50" s="5" t="n">
        <f aca="false">A51-A50</f>
        <v>30</v>
      </c>
      <c r="V50" s="128" t="n">
        <f aca="false">CHOOSE(F$3,A51+24,A50)</f>
        <v>38504</v>
      </c>
      <c r="W50" s="5" t="n">
        <f aca="false">V50-C$3</f>
        <v>1273</v>
      </c>
      <c r="X50" s="124" t="n">
        <f aca="false">VLOOKUP($A50,Table,MATCH(X$4,Curves,0))</f>
        <v>2</v>
      </c>
      <c r="Y50" s="129" t="n">
        <f aca="false">1/(1+CHOOSE(F$3,(X51+($K$3/10000))/2,(X50+($K$3/10000))/2))^(2*W50/365.25)</f>
        <v>0.0079735168046553</v>
      </c>
      <c r="Z50" s="5" t="n">
        <f aca="false">IF(AND(mthbeg&lt;=A50,mthend&gt;=A50),1,0)</f>
        <v>0</v>
      </c>
      <c r="AA50" s="5" t="n">
        <f aca="false">U50*Z50</f>
        <v>0</v>
      </c>
      <c r="AC50" s="115" t="n">
        <f aca="false">IF(G43=2,F50*(S50-Q50),F50*(Q50-S50))</f>
        <v>0</v>
      </c>
      <c r="AE50" s="116" t="n">
        <f aca="false">IF($G$3=1,F50*(R50-Q50),F50*(Q50-R50))</f>
        <v>0</v>
      </c>
      <c r="AG50" s="116" t="n">
        <f aca="false">AC50+AE50</f>
        <v>0</v>
      </c>
    </row>
    <row r="51" customFormat="false" ht="12.75" hidden="false" customHeight="false" outlineLevel="0" collapsed="false">
      <c r="A51" s="120" t="n">
        <f aca="false">EDATE(A50,1)</f>
        <v>38534</v>
      </c>
      <c r="B51" s="121" t="e">
        <f aca="false">VLOOKUP(A51,'Inputs-Summary'!$A$32:$E$41,3,FALSE())</f>
        <v>#N/A</v>
      </c>
      <c r="C51" s="122"/>
      <c r="D51" s="123" t="e">
        <f aca="false">B51+C51</f>
        <v>#N/A</v>
      </c>
      <c r="E51" s="111" t="n">
        <f aca="false">IF(Z51=0,0,IF(AND(Z51=1,$H$3=1),D51*U51,IF($H$3=2,D51,"N/A")))</f>
        <v>0</v>
      </c>
      <c r="F51" s="111" t="n">
        <f aca="false">E51*Y51</f>
        <v>0</v>
      </c>
      <c r="G51" s="124" t="n">
        <f aca="false">VLOOKUP($A51,Table,MATCH(G$4,Curves,0))</f>
        <v>3</v>
      </c>
      <c r="H51" s="125" t="n">
        <f aca="false">G51+$H$7</f>
        <v>3</v>
      </c>
      <c r="I51" s="124" t="n">
        <f aca="false">H51</f>
        <v>3</v>
      </c>
      <c r="J51" s="124" t="n">
        <f aca="false">VLOOKUP($A51,Table,MATCH(J$4,Curves,0))</f>
        <v>4</v>
      </c>
      <c r="K51" s="125" t="n">
        <f aca="false">J51+$K$7</f>
        <v>4</v>
      </c>
      <c r="L51" s="126" t="n">
        <f aca="false">K51</f>
        <v>4</v>
      </c>
      <c r="M51" s="124" t="n">
        <f aca="false">VLOOKUP($A51,Table,MATCH(M$4,Curves,0))</f>
        <v>4</v>
      </c>
      <c r="N51" s="125" t="n">
        <f aca="false">M51+$N$7</f>
        <v>4</v>
      </c>
      <c r="O51" s="126" t="n">
        <v>0.12</v>
      </c>
      <c r="P51" s="114"/>
      <c r="Q51" s="126" t="n">
        <f aca="false">M51+J51+G51</f>
        <v>11</v>
      </c>
      <c r="R51" s="126" t="n">
        <f aca="false">N51+K51+H51</f>
        <v>11</v>
      </c>
      <c r="S51" s="126" t="n">
        <f aca="false">O51+L51+I51</f>
        <v>7.12</v>
      </c>
      <c r="T51" s="127"/>
      <c r="U51" s="5" t="n">
        <f aca="false">A52-A51</f>
        <v>31</v>
      </c>
      <c r="V51" s="128" t="n">
        <f aca="false">CHOOSE(F$3,A52+24,A51)</f>
        <v>38534</v>
      </c>
      <c r="W51" s="5" t="n">
        <f aca="false">V51-C$3</f>
        <v>1303</v>
      </c>
      <c r="X51" s="124" t="n">
        <f aca="false">VLOOKUP($A51,Table,MATCH(X$4,Curves,0))</f>
        <v>2</v>
      </c>
      <c r="Y51" s="129" t="n">
        <f aca="false">1/(1+CHOOSE(F$3,(X52+($K$3/10000))/2,(X51+($K$3/10000))/2))^(2*W51/365.25)</f>
        <v>0.00711540133994771</v>
      </c>
      <c r="Z51" s="5" t="n">
        <f aca="false">IF(AND(mthbeg&lt;=A51,mthend&gt;=A51),1,0)</f>
        <v>0</v>
      </c>
      <c r="AA51" s="5" t="n">
        <f aca="false">U51*Z51</f>
        <v>0</v>
      </c>
      <c r="AC51" s="115" t="n">
        <f aca="false">IF(G44=2,F51*(S51-Q51),F51*(Q51-S51))</f>
        <v>0</v>
      </c>
      <c r="AE51" s="116" t="n">
        <f aca="false">IF($G$3=1,F51*(R51-Q51),F51*(Q51-R51))</f>
        <v>0</v>
      </c>
      <c r="AG51" s="116" t="n">
        <f aca="false">AC51+AE51</f>
        <v>0</v>
      </c>
    </row>
    <row r="52" customFormat="false" ht="12.75" hidden="false" customHeight="false" outlineLevel="0" collapsed="false">
      <c r="A52" s="120" t="n">
        <f aca="false">EDATE(A51,1)</f>
        <v>38565</v>
      </c>
      <c r="B52" s="121" t="e">
        <f aca="false">VLOOKUP(A52,'Inputs-Summary'!$A$32:$E$41,3,FALSE())</f>
        <v>#N/A</v>
      </c>
      <c r="C52" s="122"/>
      <c r="D52" s="123" t="e">
        <f aca="false">B52+C52</f>
        <v>#N/A</v>
      </c>
      <c r="E52" s="111" t="n">
        <f aca="false">IF(Z52=0,0,IF(AND(Z52=1,$H$3=1),D52*U52,IF($H$3=2,D52,"N/A")))</f>
        <v>0</v>
      </c>
      <c r="F52" s="111" t="n">
        <f aca="false">E52*Y52</f>
        <v>0</v>
      </c>
      <c r="G52" s="124" t="n">
        <f aca="false">VLOOKUP($A52,Table,MATCH(G$4,Curves,0))</f>
        <v>3</v>
      </c>
      <c r="H52" s="125" t="n">
        <f aca="false">G52+$H$7</f>
        <v>3</v>
      </c>
      <c r="I52" s="124" t="n">
        <f aca="false">H52</f>
        <v>3</v>
      </c>
      <c r="J52" s="124" t="n">
        <f aca="false">VLOOKUP($A52,Table,MATCH(J$4,Curves,0))</f>
        <v>4</v>
      </c>
      <c r="K52" s="125" t="n">
        <f aca="false">J52+$K$7</f>
        <v>4</v>
      </c>
      <c r="L52" s="126" t="n">
        <f aca="false">K52</f>
        <v>4</v>
      </c>
      <c r="M52" s="124" t="n">
        <f aca="false">VLOOKUP($A52,Table,MATCH(M$4,Curves,0))</f>
        <v>4</v>
      </c>
      <c r="N52" s="125" t="n">
        <f aca="false">M52+$N$7</f>
        <v>4</v>
      </c>
      <c r="O52" s="126" t="n">
        <v>0.12</v>
      </c>
      <c r="P52" s="114"/>
      <c r="Q52" s="126" t="n">
        <f aca="false">M52+J52+G52</f>
        <v>11</v>
      </c>
      <c r="R52" s="126" t="n">
        <f aca="false">N52+K52+H52</f>
        <v>11</v>
      </c>
      <c r="S52" s="126" t="n">
        <f aca="false">O52+L52+I52</f>
        <v>7.12</v>
      </c>
      <c r="T52" s="127"/>
      <c r="U52" s="5" t="n">
        <f aca="false">A53-A52</f>
        <v>31</v>
      </c>
      <c r="V52" s="128" t="n">
        <f aca="false">CHOOSE(F$3,A53+24,A52)</f>
        <v>38565</v>
      </c>
      <c r="W52" s="5" t="n">
        <f aca="false">V52-C$3</f>
        <v>1334</v>
      </c>
      <c r="X52" s="124" t="n">
        <f aca="false">VLOOKUP($A52,Table,MATCH(X$4,Curves,0))</f>
        <v>2</v>
      </c>
      <c r="Y52" s="129" t="n">
        <f aca="false">1/(1+CHOOSE(F$3,(X53+($K$3/10000))/2,(X52+($K$3/10000))/2))^(2*W52/365.25)</f>
        <v>0.00632558270214659</v>
      </c>
      <c r="Z52" s="5" t="n">
        <f aca="false">IF(AND(mthbeg&lt;=A52,mthend&gt;=A52),1,0)</f>
        <v>0</v>
      </c>
      <c r="AA52" s="5" t="n">
        <f aca="false">U52*Z52</f>
        <v>0</v>
      </c>
      <c r="AC52" s="115" t="n">
        <f aca="false">IF(G45=2,F52*(S52-Q52),F52*(Q52-S52))</f>
        <v>0</v>
      </c>
      <c r="AE52" s="116" t="n">
        <f aca="false">IF($G$3=1,F52*(R52-Q52),F52*(Q52-R52))</f>
        <v>0</v>
      </c>
      <c r="AG52" s="116" t="n">
        <f aca="false">AC52+AE52</f>
        <v>0</v>
      </c>
    </row>
    <row r="53" customFormat="false" ht="12.75" hidden="false" customHeight="false" outlineLevel="0" collapsed="false">
      <c r="A53" s="120" t="n">
        <f aca="false">EDATE(A52,1)</f>
        <v>38596</v>
      </c>
      <c r="B53" s="121" t="e">
        <f aca="false">VLOOKUP(A53,'Inputs-Summary'!$A$32:$E$41,3,FALSE())</f>
        <v>#N/A</v>
      </c>
      <c r="C53" s="122"/>
      <c r="D53" s="123" t="e">
        <f aca="false">B53+C53</f>
        <v>#N/A</v>
      </c>
      <c r="E53" s="111" t="n">
        <f aca="false">IF(Z53=0,0,IF(AND(Z53=1,$H$3=1),D53*U53,IF($H$3=2,D53,"N/A")))</f>
        <v>0</v>
      </c>
      <c r="F53" s="111" t="n">
        <f aca="false">E53*Y53</f>
        <v>0</v>
      </c>
      <c r="G53" s="124" t="n">
        <f aca="false">VLOOKUP($A53,Table,MATCH(G$4,Curves,0))</f>
        <v>3</v>
      </c>
      <c r="H53" s="125" t="n">
        <f aca="false">G53+$H$7</f>
        <v>3</v>
      </c>
      <c r="I53" s="124" t="n">
        <f aca="false">H53</f>
        <v>3</v>
      </c>
      <c r="J53" s="124" t="n">
        <f aca="false">VLOOKUP($A53,Table,MATCH(J$4,Curves,0))</f>
        <v>4</v>
      </c>
      <c r="K53" s="125" t="n">
        <f aca="false">J53+$K$7</f>
        <v>4</v>
      </c>
      <c r="L53" s="126" t="n">
        <f aca="false">K53</f>
        <v>4</v>
      </c>
      <c r="M53" s="124" t="n">
        <f aca="false">VLOOKUP($A53,Table,MATCH(M$4,Curves,0))</f>
        <v>4</v>
      </c>
      <c r="N53" s="125" t="n">
        <f aca="false">M53+$N$7</f>
        <v>4</v>
      </c>
      <c r="O53" s="126" t="n">
        <v>0.12</v>
      </c>
      <c r="P53" s="114"/>
      <c r="Q53" s="126" t="n">
        <f aca="false">M53+J53+G53</f>
        <v>11</v>
      </c>
      <c r="R53" s="126" t="n">
        <f aca="false">N53+K53+H53</f>
        <v>11</v>
      </c>
      <c r="S53" s="126" t="n">
        <f aca="false">O53+L53+I53</f>
        <v>7.12</v>
      </c>
      <c r="T53" s="127"/>
      <c r="U53" s="5" t="n">
        <f aca="false">A54-A53</f>
        <v>30</v>
      </c>
      <c r="V53" s="128" t="n">
        <f aca="false">CHOOSE(F$3,A54+24,A53)</f>
        <v>38596</v>
      </c>
      <c r="W53" s="5" t="n">
        <f aca="false">V53-C$3</f>
        <v>1365</v>
      </c>
      <c r="X53" s="124" t="n">
        <f aca="false">VLOOKUP($A53,Table,MATCH(X$4,Curves,0))</f>
        <v>2</v>
      </c>
      <c r="Y53" s="129" t="n">
        <f aca="false">1/(1+CHOOSE(F$3,(X54+($K$3/10000))/2,(X53+($K$3/10000))/2))^(2*W53/365.25)</f>
        <v>0.00562343494203942</v>
      </c>
      <c r="Z53" s="5" t="n">
        <f aca="false">IF(AND(mthbeg&lt;=A53,mthend&gt;=A53),1,0)</f>
        <v>0</v>
      </c>
      <c r="AA53" s="5" t="n">
        <f aca="false">U53*Z53</f>
        <v>0</v>
      </c>
      <c r="AC53" s="115" t="n">
        <f aca="false">IF(G46=2,F53*(S53-Q53),F53*(Q53-S53))</f>
        <v>0</v>
      </c>
      <c r="AE53" s="116" t="n">
        <f aca="false">IF($G$3=1,F53*(R53-Q53),F53*(Q53-R53))</f>
        <v>0</v>
      </c>
      <c r="AG53" s="116" t="n">
        <f aca="false">AC53+AE53</f>
        <v>0</v>
      </c>
    </row>
    <row r="54" customFormat="false" ht="12.75" hidden="false" customHeight="false" outlineLevel="0" collapsed="false">
      <c r="A54" s="120" t="n">
        <f aca="false">EDATE(A53,1)</f>
        <v>38626</v>
      </c>
      <c r="B54" s="121" t="e">
        <f aca="false">VLOOKUP(A54,'Inputs-Summary'!$A$32:$E$41,3,FALSE())</f>
        <v>#N/A</v>
      </c>
      <c r="C54" s="122"/>
      <c r="D54" s="123" t="e">
        <f aca="false">B54+C54</f>
        <v>#N/A</v>
      </c>
      <c r="E54" s="111" t="n">
        <f aca="false">IF(Z54=0,0,IF(AND(Z54=1,$H$3=1),D54*U54,IF($H$3=2,D54,"N/A")))</f>
        <v>0</v>
      </c>
      <c r="F54" s="111" t="n">
        <f aca="false">E54*Y54</f>
        <v>0</v>
      </c>
      <c r="G54" s="124" t="n">
        <f aca="false">VLOOKUP($A54,Table,MATCH(G$4,Curves,0))</f>
        <v>3</v>
      </c>
      <c r="H54" s="125" t="n">
        <f aca="false">G54+$H$7</f>
        <v>3</v>
      </c>
      <c r="I54" s="124" t="n">
        <f aca="false">H54</f>
        <v>3</v>
      </c>
      <c r="J54" s="124" t="n">
        <f aca="false">VLOOKUP($A54,Table,MATCH(J$4,Curves,0))</f>
        <v>4</v>
      </c>
      <c r="K54" s="125" t="n">
        <f aca="false">J54+$K$7</f>
        <v>4</v>
      </c>
      <c r="L54" s="126" t="n">
        <f aca="false">K54</f>
        <v>4</v>
      </c>
      <c r="M54" s="124" t="n">
        <f aca="false">VLOOKUP($A54,Table,MATCH(M$4,Curves,0))</f>
        <v>4</v>
      </c>
      <c r="N54" s="125" t="n">
        <f aca="false">M54+$N$7</f>
        <v>4</v>
      </c>
      <c r="O54" s="126" t="n">
        <v>0.12</v>
      </c>
      <c r="P54" s="114"/>
      <c r="Q54" s="126" t="n">
        <f aca="false">M54+J54+G54</f>
        <v>11</v>
      </c>
      <c r="R54" s="126" t="n">
        <f aca="false">N54+K54+H54</f>
        <v>11</v>
      </c>
      <c r="S54" s="126" t="n">
        <f aca="false">O54+L54+I54</f>
        <v>7.12</v>
      </c>
      <c r="T54" s="127"/>
      <c r="U54" s="5" t="n">
        <f aca="false">A55-A54</f>
        <v>31</v>
      </c>
      <c r="V54" s="128" t="n">
        <f aca="false">CHOOSE(F$3,A55+24,A54)</f>
        <v>38626</v>
      </c>
      <c r="W54" s="5" t="n">
        <f aca="false">V54-C$3</f>
        <v>1395</v>
      </c>
      <c r="X54" s="124" t="n">
        <f aca="false">VLOOKUP($A54,Table,MATCH(X$4,Curves,0))</f>
        <v>2</v>
      </c>
      <c r="Y54" s="129" t="n">
        <f aca="false">1/(1+CHOOSE(F$3,(X55+($K$3/10000))/2,(X54+($K$3/10000))/2))^(2*W54/365.25)</f>
        <v>0.00501823693383761</v>
      </c>
      <c r="Z54" s="5" t="n">
        <f aca="false">IF(AND(mthbeg&lt;=A54,mthend&gt;=A54),1,0)</f>
        <v>0</v>
      </c>
      <c r="AA54" s="5" t="n">
        <f aca="false">U54*Z54</f>
        <v>0</v>
      </c>
      <c r="AC54" s="115" t="n">
        <f aca="false">IF(G47=2,F54*(S54-Q54),F54*(Q54-S54))</f>
        <v>0</v>
      </c>
      <c r="AE54" s="116" t="n">
        <f aca="false">IF($G$3=1,F54*(R54-Q54),F54*(Q54-R54))</f>
        <v>0</v>
      </c>
      <c r="AG54" s="116" t="n">
        <f aca="false">AC54+AE54</f>
        <v>0</v>
      </c>
    </row>
    <row r="55" customFormat="false" ht="12.75" hidden="false" customHeight="false" outlineLevel="0" collapsed="false">
      <c r="A55" s="120" t="n">
        <f aca="false">EDATE(A54,1)</f>
        <v>38657</v>
      </c>
      <c r="B55" s="121" t="e">
        <f aca="false">VLOOKUP(A55,'Inputs-Summary'!$A$32:$E$41,3,FALSE())</f>
        <v>#N/A</v>
      </c>
      <c r="C55" s="122"/>
      <c r="D55" s="123" t="e">
        <f aca="false">B55+C55</f>
        <v>#N/A</v>
      </c>
      <c r="E55" s="111" t="n">
        <f aca="false">IF(Z55=0,0,IF(AND(Z55=1,$H$3=1),D55*U55,IF($H$3=2,D55,"N/A")))</f>
        <v>0</v>
      </c>
      <c r="F55" s="111" t="n">
        <f aca="false">E55*Y55</f>
        <v>0</v>
      </c>
      <c r="G55" s="124" t="n">
        <f aca="false">VLOOKUP($A55,Table,MATCH(G$4,Curves,0))</f>
        <v>3</v>
      </c>
      <c r="H55" s="125" t="n">
        <f aca="false">G55+$H$7</f>
        <v>3</v>
      </c>
      <c r="I55" s="124" t="n">
        <f aca="false">H55</f>
        <v>3</v>
      </c>
      <c r="J55" s="124" t="n">
        <f aca="false">VLOOKUP($A55,Table,MATCH(J$4,Curves,0))</f>
        <v>4</v>
      </c>
      <c r="K55" s="125" t="n">
        <f aca="false">J55+$K$7</f>
        <v>4</v>
      </c>
      <c r="L55" s="126" t="n">
        <f aca="false">K55</f>
        <v>4</v>
      </c>
      <c r="M55" s="124" t="n">
        <f aca="false">VLOOKUP($A55,Table,MATCH(M$4,Curves,0))</f>
        <v>4</v>
      </c>
      <c r="N55" s="125" t="n">
        <f aca="false">M55+$N$7</f>
        <v>4</v>
      </c>
      <c r="O55" s="126" t="n">
        <v>0.12</v>
      </c>
      <c r="P55" s="114"/>
      <c r="Q55" s="126" t="n">
        <f aca="false">M55+J55+G55</f>
        <v>11</v>
      </c>
      <c r="R55" s="126" t="n">
        <f aca="false">N55+K55+H55</f>
        <v>11</v>
      </c>
      <c r="S55" s="126" t="n">
        <f aca="false">O55+L55+I55</f>
        <v>7.12</v>
      </c>
      <c r="T55" s="127"/>
      <c r="U55" s="5" t="n">
        <f aca="false">A56-A55</f>
        <v>30</v>
      </c>
      <c r="V55" s="128" t="n">
        <f aca="false">CHOOSE(F$3,A56+24,A55)</f>
        <v>38657</v>
      </c>
      <c r="W55" s="5" t="n">
        <f aca="false">V55-C$3</f>
        <v>1426</v>
      </c>
      <c r="X55" s="124" t="n">
        <f aca="false">VLOOKUP($A55,Table,MATCH(X$4,Curves,0))</f>
        <v>2</v>
      </c>
      <c r="Y55" s="129" t="n">
        <f aca="false">1/(1+CHOOSE(F$3,(X56+($K$3/10000))/2,(X55+($K$3/10000))/2))^(2*W55/365.25)</f>
        <v>0.00446120622398926</v>
      </c>
      <c r="Z55" s="5" t="n">
        <f aca="false">IF(AND(mthbeg&lt;=A55,mthend&gt;=A55),1,0)</f>
        <v>0</v>
      </c>
      <c r="AA55" s="5" t="n">
        <f aca="false">U55*Z55</f>
        <v>0</v>
      </c>
      <c r="AC55" s="115" t="n">
        <f aca="false">IF(G48=2,F55*(S55-Q55),F55*(Q55-S55))</f>
        <v>0</v>
      </c>
      <c r="AE55" s="116" t="n">
        <f aca="false">IF($G$3=1,F55*(R55-Q55),F55*(Q55-R55))</f>
        <v>0</v>
      </c>
      <c r="AG55" s="116" t="n">
        <f aca="false">AC55+AE55</f>
        <v>0</v>
      </c>
    </row>
    <row r="56" customFormat="false" ht="12.75" hidden="false" customHeight="false" outlineLevel="0" collapsed="false">
      <c r="A56" s="120" t="n">
        <f aca="false">EDATE(A55,1)</f>
        <v>38687</v>
      </c>
      <c r="B56" s="121" t="e">
        <f aca="false">VLOOKUP(A56,'Inputs-Summary'!$A$32:$E$41,3,FALSE())</f>
        <v>#N/A</v>
      </c>
      <c r="C56" s="122"/>
      <c r="D56" s="123" t="e">
        <f aca="false">B56+C56</f>
        <v>#N/A</v>
      </c>
      <c r="E56" s="111" t="n">
        <f aca="false">IF(Z56=0,0,IF(AND(Z56=1,$H$3=1),D56*U56,IF($H$3=2,D56,"N/A")))</f>
        <v>0</v>
      </c>
      <c r="F56" s="111" t="n">
        <f aca="false">E56*Y56</f>
        <v>0</v>
      </c>
      <c r="G56" s="124" t="n">
        <f aca="false">VLOOKUP($A56,Table,MATCH(G$4,Curves,0))</f>
        <v>3</v>
      </c>
      <c r="H56" s="125" t="n">
        <f aca="false">G56+$H$7</f>
        <v>3</v>
      </c>
      <c r="I56" s="124" t="n">
        <f aca="false">H56</f>
        <v>3</v>
      </c>
      <c r="J56" s="124" t="n">
        <f aca="false">VLOOKUP($A56,Table,MATCH(J$4,Curves,0))</f>
        <v>4</v>
      </c>
      <c r="K56" s="125" t="n">
        <f aca="false">J56+$K$7</f>
        <v>4</v>
      </c>
      <c r="L56" s="126" t="n">
        <f aca="false">K56</f>
        <v>4</v>
      </c>
      <c r="M56" s="124" t="n">
        <f aca="false">VLOOKUP($A56,Table,MATCH(M$4,Curves,0))</f>
        <v>4</v>
      </c>
      <c r="N56" s="125" t="n">
        <f aca="false">M56+$N$7</f>
        <v>4</v>
      </c>
      <c r="O56" s="126" t="n">
        <v>0.12</v>
      </c>
      <c r="P56" s="114"/>
      <c r="Q56" s="126" t="n">
        <f aca="false">M56+J56+G56</f>
        <v>11</v>
      </c>
      <c r="R56" s="126" t="n">
        <f aca="false">N56+K56+H56</f>
        <v>11</v>
      </c>
      <c r="S56" s="126" t="n">
        <f aca="false">O56+L56+I56</f>
        <v>7.12</v>
      </c>
      <c r="T56" s="127"/>
      <c r="U56" s="5" t="n">
        <f aca="false">A57-A56</f>
        <v>31</v>
      </c>
      <c r="V56" s="128" t="n">
        <f aca="false">CHOOSE(F$3,A57+24,A56)</f>
        <v>38687</v>
      </c>
      <c r="W56" s="5" t="n">
        <f aca="false">V56-C$3</f>
        <v>1456</v>
      </c>
      <c r="X56" s="124" t="n">
        <f aca="false">VLOOKUP($A56,Table,MATCH(X$4,Curves,0))</f>
        <v>2</v>
      </c>
      <c r="Y56" s="129" t="n">
        <f aca="false">1/(1+CHOOSE(F$3,(X57+($K$3/10000))/2,(X56+($K$3/10000))/2))^(2*W56/365.25)</f>
        <v>0.00398108808467339</v>
      </c>
      <c r="Z56" s="5" t="n">
        <f aca="false">IF(AND(mthbeg&lt;=A56,mthend&gt;=A56),1,0)</f>
        <v>0</v>
      </c>
      <c r="AA56" s="5" t="n">
        <f aca="false">U56*Z56</f>
        <v>0</v>
      </c>
      <c r="AC56" s="115" t="n">
        <f aca="false">IF(G49=2,F56*(S56-Q56),F56*(Q56-S56))</f>
        <v>0</v>
      </c>
      <c r="AE56" s="116" t="n">
        <f aca="false">IF($G$3=1,F56*(R56-Q56),F56*(Q56-R56))</f>
        <v>0</v>
      </c>
      <c r="AG56" s="116" t="n">
        <f aca="false">AC56+AE56</f>
        <v>0</v>
      </c>
    </row>
    <row r="57" customFormat="false" ht="12.75" hidden="false" customHeight="false" outlineLevel="0" collapsed="false">
      <c r="A57" s="120" t="n">
        <f aca="false">EDATE(A56,1)</f>
        <v>38718</v>
      </c>
      <c r="B57" s="121" t="e">
        <f aca="false">VLOOKUP(A57,'Inputs-Summary'!$A$32:$E$41,3,FALSE())</f>
        <v>#N/A</v>
      </c>
      <c r="C57" s="122"/>
      <c r="D57" s="123" t="e">
        <f aca="false">B57+C57</f>
        <v>#N/A</v>
      </c>
      <c r="E57" s="111" t="n">
        <f aca="false">IF(Z57=0,0,IF(AND(Z57=1,$H$3=1),D57*U57,IF($H$3=2,D57,"N/A")))</f>
        <v>0</v>
      </c>
      <c r="F57" s="111" t="n">
        <f aca="false">E57*Y57</f>
        <v>0</v>
      </c>
      <c r="G57" s="124" t="n">
        <f aca="false">VLOOKUP($A57,Table,MATCH(G$4,Curves,0))</f>
        <v>3</v>
      </c>
      <c r="H57" s="125" t="n">
        <f aca="false">G57+$H$7</f>
        <v>3</v>
      </c>
      <c r="I57" s="124" t="n">
        <f aca="false">H57</f>
        <v>3</v>
      </c>
      <c r="J57" s="124" t="n">
        <f aca="false">VLOOKUP($A57,Table,MATCH(J$4,Curves,0))</f>
        <v>4</v>
      </c>
      <c r="K57" s="125" t="n">
        <f aca="false">J57+$K$7</f>
        <v>4</v>
      </c>
      <c r="L57" s="126" t="n">
        <f aca="false">K57</f>
        <v>4</v>
      </c>
      <c r="M57" s="124" t="n">
        <f aca="false">VLOOKUP($A57,Table,MATCH(M$4,Curves,0))</f>
        <v>4</v>
      </c>
      <c r="N57" s="125" t="n">
        <f aca="false">M57+$N$7</f>
        <v>4</v>
      </c>
      <c r="O57" s="126" t="n">
        <v>0.12</v>
      </c>
      <c r="P57" s="114"/>
      <c r="Q57" s="126" t="n">
        <f aca="false">M57+J57+G57</f>
        <v>11</v>
      </c>
      <c r="R57" s="126" t="n">
        <f aca="false">N57+K57+H57</f>
        <v>11</v>
      </c>
      <c r="S57" s="126" t="n">
        <f aca="false">O57+L57+I57</f>
        <v>7.12</v>
      </c>
      <c r="T57" s="127"/>
      <c r="U57" s="5" t="n">
        <f aca="false">A58-A57</f>
        <v>31</v>
      </c>
      <c r="V57" s="128" t="n">
        <f aca="false">CHOOSE(F$3,A58+24,A57)</f>
        <v>38718</v>
      </c>
      <c r="W57" s="5" t="n">
        <f aca="false">V57-C$3</f>
        <v>1487</v>
      </c>
      <c r="X57" s="124" t="n">
        <f aca="false">VLOOKUP($A57,Table,MATCH(X$4,Curves,0))</f>
        <v>2</v>
      </c>
      <c r="Y57" s="129" t="n">
        <f aca="false">1/(1+CHOOSE(F$3,(X58+($K$3/10000))/2,(X57+($K$3/10000))/2))^(2*W57/365.25)</f>
        <v>0.00353918222191482</v>
      </c>
      <c r="Z57" s="5" t="n">
        <f aca="false">IF(AND(mthbeg&lt;=A57,mthend&gt;=A57),1,0)</f>
        <v>0</v>
      </c>
      <c r="AA57" s="5" t="n">
        <f aca="false">U57*Z57</f>
        <v>0</v>
      </c>
      <c r="AC57" s="115" t="n">
        <f aca="false">IF(G50=2,F57*(S57-Q57),F57*(Q57-S57))</f>
        <v>0</v>
      </c>
      <c r="AE57" s="116" t="n">
        <f aca="false">IF($G$3=1,F57*(R57-Q57),F57*(Q57-R57))</f>
        <v>0</v>
      </c>
      <c r="AG57" s="116" t="n">
        <f aca="false">AC57+AE57</f>
        <v>0</v>
      </c>
    </row>
    <row r="58" customFormat="false" ht="12.75" hidden="false" customHeight="false" outlineLevel="0" collapsed="false">
      <c r="A58" s="120" t="n">
        <f aca="false">EDATE(A57,1)</f>
        <v>38749</v>
      </c>
      <c r="B58" s="121" t="e">
        <f aca="false">VLOOKUP(A58,'Inputs-Summary'!$A$32:$E$41,3,FALSE())</f>
        <v>#N/A</v>
      </c>
      <c r="C58" s="122"/>
      <c r="D58" s="123" t="e">
        <f aca="false">B58+C58</f>
        <v>#N/A</v>
      </c>
      <c r="E58" s="111" t="n">
        <f aca="false">IF(Z58=0,0,IF(AND(Z58=1,$H$3=1),D58*U58,IF($H$3=2,D58,"N/A")))</f>
        <v>0</v>
      </c>
      <c r="F58" s="111" t="n">
        <f aca="false">E58*Y58</f>
        <v>0</v>
      </c>
      <c r="G58" s="124" t="n">
        <f aca="false">VLOOKUP($A58,Table,MATCH(G$4,Curves,0))</f>
        <v>3</v>
      </c>
      <c r="H58" s="125" t="n">
        <f aca="false">G58+$H$7</f>
        <v>3</v>
      </c>
      <c r="I58" s="124" t="n">
        <f aca="false">H58</f>
        <v>3</v>
      </c>
      <c r="J58" s="124" t="n">
        <f aca="false">VLOOKUP($A58,Table,MATCH(J$4,Curves,0))</f>
        <v>4</v>
      </c>
      <c r="K58" s="125" t="n">
        <f aca="false">J58+$K$7</f>
        <v>4</v>
      </c>
      <c r="L58" s="126" t="n">
        <f aca="false">K58</f>
        <v>4</v>
      </c>
      <c r="M58" s="124" t="n">
        <f aca="false">VLOOKUP($A58,Table,MATCH(M$4,Curves,0))</f>
        <v>4</v>
      </c>
      <c r="N58" s="125" t="n">
        <f aca="false">M58+$N$7</f>
        <v>4</v>
      </c>
      <c r="O58" s="126" t="n">
        <v>0.12</v>
      </c>
      <c r="P58" s="114"/>
      <c r="Q58" s="126" t="n">
        <f aca="false">M58+J58+G58</f>
        <v>11</v>
      </c>
      <c r="R58" s="126" t="n">
        <f aca="false">N58+K58+H58</f>
        <v>11</v>
      </c>
      <c r="S58" s="126" t="n">
        <f aca="false">O58+L58+I58</f>
        <v>7.12</v>
      </c>
      <c r="T58" s="127"/>
      <c r="U58" s="5" t="n">
        <f aca="false">A59-A58</f>
        <v>28</v>
      </c>
      <c r="V58" s="128" t="n">
        <f aca="false">CHOOSE(F$3,A59+24,A58)</f>
        <v>38749</v>
      </c>
      <c r="W58" s="5" t="n">
        <f aca="false">V58-C$3</f>
        <v>1518</v>
      </c>
      <c r="X58" s="124" t="n">
        <f aca="false">VLOOKUP($A58,Table,MATCH(X$4,Curves,0))</f>
        <v>2</v>
      </c>
      <c r="Y58" s="129" t="n">
        <f aca="false">1/(1+CHOOSE(F$3,(X59+($K$3/10000))/2,(X58+($K$3/10000))/2))^(2*W58/365.25)</f>
        <v>0.0031463284744039</v>
      </c>
      <c r="Z58" s="5" t="n">
        <f aca="false">IF(AND(mthbeg&lt;=A58,mthend&gt;=A58),1,0)</f>
        <v>0</v>
      </c>
      <c r="AA58" s="5" t="n">
        <f aca="false">U58*Z58</f>
        <v>0</v>
      </c>
      <c r="AC58" s="115" t="n">
        <f aca="false">IF(G51=2,F58*(S58-Q58),F58*(Q58-S58))</f>
        <v>0</v>
      </c>
      <c r="AE58" s="116" t="n">
        <f aca="false">IF($G$3=1,F58*(R58-Q58),F58*(Q58-R58))</f>
        <v>0</v>
      </c>
      <c r="AG58" s="116" t="n">
        <f aca="false">AC58+AE58</f>
        <v>0</v>
      </c>
    </row>
    <row r="59" customFormat="false" ht="12.75" hidden="false" customHeight="false" outlineLevel="0" collapsed="false">
      <c r="A59" s="120" t="n">
        <f aca="false">EDATE(A58,1)</f>
        <v>38777</v>
      </c>
      <c r="B59" s="121" t="e">
        <f aca="false">VLOOKUP(A59,'Inputs-Summary'!$A$32:$E$41,3,FALSE())</f>
        <v>#N/A</v>
      </c>
      <c r="C59" s="122"/>
      <c r="D59" s="123" t="e">
        <f aca="false">B59+C59</f>
        <v>#N/A</v>
      </c>
      <c r="E59" s="111" t="n">
        <f aca="false">IF(Z59=0,0,IF(AND(Z59=1,$H$3=1),D59*U59,IF($H$3=2,D59,"N/A")))</f>
        <v>0</v>
      </c>
      <c r="F59" s="111" t="n">
        <f aca="false">E59*Y59</f>
        <v>0</v>
      </c>
      <c r="G59" s="124" t="n">
        <f aca="false">VLOOKUP($A59,Table,MATCH(G$4,Curves,0))</f>
        <v>3</v>
      </c>
      <c r="H59" s="125" t="n">
        <f aca="false">G59+$H$7</f>
        <v>3</v>
      </c>
      <c r="I59" s="124" t="n">
        <f aca="false">H59</f>
        <v>3</v>
      </c>
      <c r="J59" s="124" t="n">
        <f aca="false">VLOOKUP($A59,Table,MATCH(J$4,Curves,0))</f>
        <v>4</v>
      </c>
      <c r="K59" s="125" t="n">
        <f aca="false">J59+$K$7</f>
        <v>4</v>
      </c>
      <c r="L59" s="126" t="n">
        <f aca="false">K59</f>
        <v>4</v>
      </c>
      <c r="M59" s="124" t="n">
        <f aca="false">VLOOKUP($A59,Table,MATCH(M$4,Curves,0))</f>
        <v>4</v>
      </c>
      <c r="N59" s="125" t="n">
        <f aca="false">M59+$N$7</f>
        <v>4</v>
      </c>
      <c r="O59" s="126" t="n">
        <v>0.12</v>
      </c>
      <c r="P59" s="114"/>
      <c r="Q59" s="126" t="n">
        <f aca="false">M59+J59+G59</f>
        <v>11</v>
      </c>
      <c r="R59" s="126" t="n">
        <f aca="false">N59+K59+H59</f>
        <v>11</v>
      </c>
      <c r="S59" s="126" t="n">
        <f aca="false">O59+L59+I59</f>
        <v>7.12</v>
      </c>
      <c r="T59" s="127"/>
      <c r="U59" s="5" t="n">
        <f aca="false">A60-A59</f>
        <v>31</v>
      </c>
      <c r="V59" s="128" t="n">
        <f aca="false">CHOOSE(F$3,A60+24,A59)</f>
        <v>38777</v>
      </c>
      <c r="W59" s="5" t="n">
        <f aca="false">V59-C$3</f>
        <v>1546</v>
      </c>
      <c r="X59" s="124" t="n">
        <f aca="false">VLOOKUP($A59,Table,MATCH(X$4,Curves,0))</f>
        <v>2</v>
      </c>
      <c r="Y59" s="129" t="n">
        <f aca="false">1/(1+CHOOSE(F$3,(X60+($K$3/10000))/2,(X59+($K$3/10000))/2))^(2*W59/365.25)</f>
        <v>0.0028291127040066</v>
      </c>
      <c r="Z59" s="5" t="n">
        <f aca="false">IF(AND(mthbeg&lt;=A59,mthend&gt;=A59),1,0)</f>
        <v>0</v>
      </c>
      <c r="AA59" s="5" t="n">
        <f aca="false">U59*Z59</f>
        <v>0</v>
      </c>
      <c r="AC59" s="115" t="n">
        <f aca="false">IF(G52=2,F59*(S59-Q59),F59*(Q59-S59))</f>
        <v>0</v>
      </c>
      <c r="AE59" s="116" t="n">
        <f aca="false">IF($G$3=1,F59*(R59-Q59),F59*(Q59-R59))</f>
        <v>0</v>
      </c>
      <c r="AG59" s="116" t="n">
        <f aca="false">AC59+AE59</f>
        <v>0</v>
      </c>
    </row>
    <row r="60" customFormat="false" ht="12.75" hidden="false" customHeight="false" outlineLevel="0" collapsed="false">
      <c r="A60" s="120" t="n">
        <f aca="false">EDATE(A59,1)</f>
        <v>38808</v>
      </c>
      <c r="B60" s="121" t="e">
        <f aca="false">VLOOKUP(A60,'Inputs-Summary'!$A$32:$E$41,3,FALSE())</f>
        <v>#N/A</v>
      </c>
      <c r="C60" s="122"/>
      <c r="D60" s="123" t="e">
        <f aca="false">B60+C60</f>
        <v>#N/A</v>
      </c>
      <c r="E60" s="111" t="n">
        <f aca="false">IF(Z60=0,0,IF(AND(Z60=1,$H$3=1),D60*U60,IF($H$3=2,D60,"N/A")))</f>
        <v>0</v>
      </c>
      <c r="F60" s="111" t="n">
        <f aca="false">E60*Y60</f>
        <v>0</v>
      </c>
      <c r="G60" s="124" t="n">
        <f aca="false">VLOOKUP($A60,Table,MATCH(G$4,Curves,0))</f>
        <v>3</v>
      </c>
      <c r="H60" s="125" t="n">
        <f aca="false">G60+$H$7</f>
        <v>3</v>
      </c>
      <c r="I60" s="124" t="n">
        <f aca="false">H60</f>
        <v>3</v>
      </c>
      <c r="J60" s="124" t="n">
        <f aca="false">VLOOKUP($A60,Table,MATCH(J$4,Curves,0))</f>
        <v>4</v>
      </c>
      <c r="K60" s="125" t="n">
        <f aca="false">J60+$K$7</f>
        <v>4</v>
      </c>
      <c r="L60" s="126" t="n">
        <f aca="false">K60</f>
        <v>4</v>
      </c>
      <c r="M60" s="124" t="n">
        <f aca="false">VLOOKUP($A60,Table,MATCH(M$4,Curves,0))</f>
        <v>4</v>
      </c>
      <c r="N60" s="125" t="n">
        <f aca="false">M60+$N$7</f>
        <v>4</v>
      </c>
      <c r="O60" s="126" t="n">
        <v>0.12</v>
      </c>
      <c r="P60" s="114"/>
      <c r="Q60" s="126" t="n">
        <f aca="false">M60+J60+G60</f>
        <v>11</v>
      </c>
      <c r="R60" s="126" t="n">
        <f aca="false">N60+K60+H60</f>
        <v>11</v>
      </c>
      <c r="S60" s="126" t="n">
        <f aca="false">O60+L60+I60</f>
        <v>7.12</v>
      </c>
      <c r="T60" s="127"/>
      <c r="U60" s="5" t="n">
        <f aca="false">A61-A60</f>
        <v>30</v>
      </c>
      <c r="V60" s="128" t="n">
        <f aca="false">CHOOSE(F$3,A61+24,A60)</f>
        <v>38808</v>
      </c>
      <c r="W60" s="5" t="n">
        <f aca="false">V60-C$3</f>
        <v>1577</v>
      </c>
      <c r="X60" s="124" t="n">
        <f aca="false">VLOOKUP($A60,Table,MATCH(X$4,Curves,0))</f>
        <v>2</v>
      </c>
      <c r="Y60" s="129" t="n">
        <f aca="false">1/(1+CHOOSE(F$3,(X61+($K$3/10000))/2,(X60+($K$3/10000))/2))^(2*W60/365.25)</f>
        <v>0.00251507758001164</v>
      </c>
      <c r="Z60" s="5" t="n">
        <f aca="false">IF(AND(mthbeg&lt;=A60,mthend&gt;=A60),1,0)</f>
        <v>0</v>
      </c>
      <c r="AA60" s="5" t="n">
        <f aca="false">U60*Z60</f>
        <v>0</v>
      </c>
      <c r="AC60" s="115" t="n">
        <f aca="false">IF(G53=2,F60*(S60-Q60),F60*(Q60-S60))</f>
        <v>0</v>
      </c>
      <c r="AE60" s="116" t="n">
        <f aca="false">IF($G$3=1,F60*(R60-Q60),F60*(Q60-R60))</f>
        <v>0</v>
      </c>
      <c r="AG60" s="116" t="n">
        <f aca="false">AC60+AE60</f>
        <v>0</v>
      </c>
    </row>
    <row r="61" customFormat="false" ht="12.75" hidden="false" customHeight="false" outlineLevel="0" collapsed="false">
      <c r="A61" s="120" t="n">
        <f aca="false">EDATE(A60,1)</f>
        <v>38838</v>
      </c>
      <c r="B61" s="121" t="e">
        <f aca="false">VLOOKUP(A61,'Inputs-Summary'!$A$32:$E$41,3,FALSE())</f>
        <v>#N/A</v>
      </c>
      <c r="C61" s="122"/>
      <c r="D61" s="123" t="e">
        <f aca="false">B61+C61</f>
        <v>#N/A</v>
      </c>
      <c r="E61" s="111" t="n">
        <f aca="false">IF(Z61=0,0,IF(AND(Z61=1,$H$3=1),D61*U61,IF($H$3=2,D61,"N/A")))</f>
        <v>0</v>
      </c>
      <c r="F61" s="111" t="n">
        <f aca="false">E61*Y61</f>
        <v>0</v>
      </c>
      <c r="G61" s="124" t="n">
        <f aca="false">VLOOKUP($A61,Table,MATCH(G$4,Curves,0))</f>
        <v>3</v>
      </c>
      <c r="H61" s="125" t="n">
        <f aca="false">G61+$H$7</f>
        <v>3</v>
      </c>
      <c r="I61" s="124" t="n">
        <f aca="false">H61</f>
        <v>3</v>
      </c>
      <c r="J61" s="124" t="n">
        <f aca="false">VLOOKUP($A61,Table,MATCH(J$4,Curves,0))</f>
        <v>4</v>
      </c>
      <c r="K61" s="125" t="n">
        <f aca="false">J61+$K$7</f>
        <v>4</v>
      </c>
      <c r="L61" s="126" t="n">
        <f aca="false">K61</f>
        <v>4</v>
      </c>
      <c r="M61" s="124" t="n">
        <f aca="false">VLOOKUP($A61,Table,MATCH(M$4,Curves,0))</f>
        <v>4</v>
      </c>
      <c r="N61" s="125" t="n">
        <f aca="false">M61+$N$7</f>
        <v>4</v>
      </c>
      <c r="O61" s="126" t="n">
        <v>0.12</v>
      </c>
      <c r="P61" s="114"/>
      <c r="Q61" s="126" t="n">
        <f aca="false">M61+J61+G61</f>
        <v>11</v>
      </c>
      <c r="R61" s="126" t="n">
        <f aca="false">N61+K61+H61</f>
        <v>11</v>
      </c>
      <c r="S61" s="126" t="n">
        <f aca="false">O61+L61+I61</f>
        <v>7.12</v>
      </c>
      <c r="T61" s="127"/>
      <c r="U61" s="5" t="n">
        <f aca="false">A62-A61</f>
        <v>31</v>
      </c>
      <c r="V61" s="128" t="n">
        <f aca="false">CHOOSE(F$3,A62+24,A61)</f>
        <v>38838</v>
      </c>
      <c r="W61" s="5" t="n">
        <f aca="false">V61-C$3</f>
        <v>1607</v>
      </c>
      <c r="X61" s="124" t="n">
        <f aca="false">VLOOKUP($A61,Table,MATCH(X$4,Curves,0))</f>
        <v>2</v>
      </c>
      <c r="Y61" s="129" t="n">
        <f aca="false">1/(1+CHOOSE(F$3,(X62+($K$3/10000))/2,(X61+($K$3/10000))/2))^(2*W61/365.25)</f>
        <v>0.00224440316880488</v>
      </c>
      <c r="Z61" s="5" t="n">
        <f aca="false">IF(AND(mthbeg&lt;=A61,mthend&gt;=A61),1,0)</f>
        <v>0</v>
      </c>
      <c r="AA61" s="5" t="n">
        <f aca="false">U61*Z61</f>
        <v>0</v>
      </c>
      <c r="AC61" s="115" t="n">
        <f aca="false">IF(G54=2,F61*(S61-Q61),F61*(Q61-S61))</f>
        <v>0</v>
      </c>
      <c r="AE61" s="116" t="n">
        <f aca="false">IF($G$3=1,F61*(R61-Q61),F61*(Q61-R61))</f>
        <v>0</v>
      </c>
      <c r="AG61" s="116" t="n">
        <f aca="false">AC61+AE61</f>
        <v>0</v>
      </c>
    </row>
    <row r="62" customFormat="false" ht="12.75" hidden="false" customHeight="false" outlineLevel="0" collapsed="false">
      <c r="A62" s="120" t="n">
        <f aca="false">EDATE(A61,1)</f>
        <v>38869</v>
      </c>
      <c r="B62" s="121" t="e">
        <f aca="false">VLOOKUP(A62,'Inputs-Summary'!$A$32:$E$41,3,FALSE())</f>
        <v>#N/A</v>
      </c>
      <c r="C62" s="122"/>
      <c r="D62" s="123" t="e">
        <f aca="false">B62+C62</f>
        <v>#N/A</v>
      </c>
      <c r="E62" s="111" t="n">
        <f aca="false">IF(Z62=0,0,IF(AND(Z62=1,$H$3=1),D62*U62,IF($H$3=2,D62,"N/A")))</f>
        <v>0</v>
      </c>
      <c r="F62" s="111" t="n">
        <f aca="false">E62*Y62</f>
        <v>0</v>
      </c>
      <c r="G62" s="124" t="n">
        <f aca="false">VLOOKUP($A62,Table,MATCH(G$4,Curves,0))</f>
        <v>3</v>
      </c>
      <c r="H62" s="125" t="n">
        <f aca="false">G62+$H$7</f>
        <v>3</v>
      </c>
      <c r="I62" s="124" t="n">
        <f aca="false">H62</f>
        <v>3</v>
      </c>
      <c r="J62" s="124" t="n">
        <f aca="false">VLOOKUP($A62,Table,MATCH(J$4,Curves,0))</f>
        <v>4</v>
      </c>
      <c r="K62" s="125" t="n">
        <f aca="false">J62+$K$7</f>
        <v>4</v>
      </c>
      <c r="L62" s="126" t="n">
        <f aca="false">K62</f>
        <v>4</v>
      </c>
      <c r="M62" s="124" t="n">
        <f aca="false">VLOOKUP($A62,Table,MATCH(M$4,Curves,0))</f>
        <v>4</v>
      </c>
      <c r="N62" s="125" t="n">
        <f aca="false">M62+$N$7</f>
        <v>4</v>
      </c>
      <c r="O62" s="126" t="n">
        <v>0.12</v>
      </c>
      <c r="P62" s="114"/>
      <c r="Q62" s="126" t="n">
        <f aca="false">M62+J62+G62</f>
        <v>11</v>
      </c>
      <c r="R62" s="126" t="n">
        <f aca="false">N62+K62+H62</f>
        <v>11</v>
      </c>
      <c r="S62" s="126" t="n">
        <f aca="false">O62+L62+I62</f>
        <v>7.12</v>
      </c>
      <c r="T62" s="127"/>
      <c r="U62" s="5" t="n">
        <f aca="false">A63-A62</f>
        <v>30</v>
      </c>
      <c r="V62" s="128" t="n">
        <f aca="false">CHOOSE(F$3,A63+24,A62)</f>
        <v>38869</v>
      </c>
      <c r="W62" s="5" t="n">
        <f aca="false">V62-C$3</f>
        <v>1638</v>
      </c>
      <c r="X62" s="124" t="n">
        <f aca="false">VLOOKUP($A62,Table,MATCH(X$4,Curves,0))</f>
        <v>2</v>
      </c>
      <c r="Y62" s="129" t="n">
        <f aca="false">1/(1+CHOOSE(F$3,(X63+($K$3/10000))/2,(X62+($K$3/10000))/2))^(2*W62/365.25)</f>
        <v>0.00199527155011321</v>
      </c>
      <c r="Z62" s="5" t="n">
        <f aca="false">IF(AND(mthbeg&lt;=A62,mthend&gt;=A62),1,0)</f>
        <v>0</v>
      </c>
      <c r="AA62" s="5" t="n">
        <f aca="false">U62*Z62</f>
        <v>0</v>
      </c>
      <c r="AC62" s="115" t="n">
        <f aca="false">IF(G55=2,F62*(S62-Q62),F62*(Q62-S62))</f>
        <v>0</v>
      </c>
      <c r="AE62" s="116" t="n">
        <f aca="false">IF($G$3=1,F62*(R62-Q62),F62*(Q62-R62))</f>
        <v>0</v>
      </c>
      <c r="AG62" s="116" t="n">
        <f aca="false">AC62+AE62</f>
        <v>0</v>
      </c>
    </row>
    <row r="63" customFormat="false" ht="12.75" hidden="false" customHeight="false" outlineLevel="0" collapsed="false">
      <c r="A63" s="120" t="n">
        <f aca="false">EDATE(A62,1)</f>
        <v>38899</v>
      </c>
      <c r="B63" s="121" t="e">
        <f aca="false">VLOOKUP(A63,'Inputs-Summary'!$A$32:$E$41,3,FALSE())</f>
        <v>#N/A</v>
      </c>
      <c r="C63" s="122"/>
      <c r="D63" s="123" t="e">
        <f aca="false">B63+C63</f>
        <v>#N/A</v>
      </c>
      <c r="E63" s="111" t="n">
        <f aca="false">IF(Z63=0,0,IF(AND(Z63=1,$H$3=1),D63*U63,IF($H$3=2,D63,"N/A")))</f>
        <v>0</v>
      </c>
      <c r="F63" s="111" t="n">
        <f aca="false">E63*Y63</f>
        <v>0</v>
      </c>
      <c r="G63" s="124" t="n">
        <f aca="false">VLOOKUP($A63,Table,MATCH(G$4,Curves,0))</f>
        <v>3</v>
      </c>
      <c r="H63" s="125" t="n">
        <f aca="false">G63+$H$7</f>
        <v>3</v>
      </c>
      <c r="I63" s="124" t="n">
        <f aca="false">H63</f>
        <v>3</v>
      </c>
      <c r="J63" s="124" t="n">
        <f aca="false">VLOOKUP($A63,Table,MATCH(J$4,Curves,0))</f>
        <v>4</v>
      </c>
      <c r="K63" s="125" t="n">
        <f aca="false">J63+$K$7</f>
        <v>4</v>
      </c>
      <c r="L63" s="126" t="n">
        <f aca="false">K63</f>
        <v>4</v>
      </c>
      <c r="M63" s="124" t="n">
        <f aca="false">VLOOKUP($A63,Table,MATCH(M$4,Curves,0))</f>
        <v>4</v>
      </c>
      <c r="N63" s="125" t="n">
        <f aca="false">M63+$N$7</f>
        <v>4</v>
      </c>
      <c r="O63" s="126" t="n">
        <v>0.12</v>
      </c>
      <c r="P63" s="114"/>
      <c r="Q63" s="126" t="n">
        <f aca="false">M63+J63+G63</f>
        <v>11</v>
      </c>
      <c r="R63" s="126" t="n">
        <f aca="false">N63+K63+H63</f>
        <v>11</v>
      </c>
      <c r="S63" s="126" t="n">
        <f aca="false">O63+L63+I63</f>
        <v>7.12</v>
      </c>
      <c r="T63" s="127"/>
      <c r="U63" s="5" t="n">
        <f aca="false">A64-A63</f>
        <v>31</v>
      </c>
      <c r="V63" s="128" t="n">
        <f aca="false">CHOOSE(F$3,A64+24,A63)</f>
        <v>38899</v>
      </c>
      <c r="W63" s="5" t="n">
        <f aca="false">V63-C$3</f>
        <v>1668</v>
      </c>
      <c r="X63" s="124" t="n">
        <f aca="false">VLOOKUP($A63,Table,MATCH(X$4,Curves,0))</f>
        <v>2</v>
      </c>
      <c r="Y63" s="129" t="n">
        <f aca="false">1/(1+CHOOSE(F$3,(X64+($K$3/10000))/2,(X63+($K$3/10000))/2))^(2*W63/365.25)</f>
        <v>0.00178053902801661</v>
      </c>
      <c r="Z63" s="5" t="n">
        <f aca="false">IF(AND(mthbeg&lt;=A63,mthend&gt;=A63),1,0)</f>
        <v>0</v>
      </c>
      <c r="AA63" s="5" t="n">
        <f aca="false">U63*Z63</f>
        <v>0</v>
      </c>
      <c r="AC63" s="115" t="n">
        <f aca="false">IF(G56=2,F63*(S63-Q63),F63*(Q63-S63))</f>
        <v>0</v>
      </c>
      <c r="AE63" s="116" t="n">
        <f aca="false">IF($G$3=1,F63*(R63-Q63),F63*(Q63-R63))</f>
        <v>0</v>
      </c>
      <c r="AG63" s="116" t="n">
        <f aca="false">AC63+AE63</f>
        <v>0</v>
      </c>
    </row>
    <row r="64" customFormat="false" ht="12.75" hidden="false" customHeight="false" outlineLevel="0" collapsed="false">
      <c r="A64" s="120" t="n">
        <f aca="false">EDATE(A63,1)</f>
        <v>38930</v>
      </c>
      <c r="B64" s="121" t="e">
        <f aca="false">VLOOKUP(A64,'Inputs-Summary'!$A$32:$E$41,3,FALSE())</f>
        <v>#N/A</v>
      </c>
      <c r="C64" s="122"/>
      <c r="D64" s="123" t="e">
        <f aca="false">B64+C64</f>
        <v>#N/A</v>
      </c>
      <c r="E64" s="111" t="n">
        <f aca="false">IF(Z64=0,0,IF(AND(Z64=1,$H$3=1),D64*U64,IF($H$3=2,D64,"N/A")))</f>
        <v>0</v>
      </c>
      <c r="F64" s="111" t="n">
        <f aca="false">E64*Y64</f>
        <v>0</v>
      </c>
      <c r="G64" s="124" t="n">
        <f aca="false">VLOOKUP($A64,Table,MATCH(G$4,Curves,0))</f>
        <v>3</v>
      </c>
      <c r="H64" s="125" t="n">
        <f aca="false">G64+$H$7</f>
        <v>3</v>
      </c>
      <c r="I64" s="124" t="n">
        <f aca="false">H64</f>
        <v>3</v>
      </c>
      <c r="J64" s="124" t="n">
        <f aca="false">VLOOKUP($A64,Table,MATCH(J$4,Curves,0))</f>
        <v>4</v>
      </c>
      <c r="K64" s="125" t="n">
        <f aca="false">J64+$K$7</f>
        <v>4</v>
      </c>
      <c r="L64" s="126" t="n">
        <f aca="false">K64</f>
        <v>4</v>
      </c>
      <c r="M64" s="124" t="n">
        <f aca="false">VLOOKUP($A64,Table,MATCH(M$4,Curves,0))</f>
        <v>4</v>
      </c>
      <c r="N64" s="125" t="n">
        <f aca="false">M64+$N$7</f>
        <v>4</v>
      </c>
      <c r="O64" s="126" t="n">
        <v>0.12</v>
      </c>
      <c r="P64" s="114"/>
      <c r="Q64" s="126" t="n">
        <f aca="false">M64+J64+G64</f>
        <v>11</v>
      </c>
      <c r="R64" s="126" t="n">
        <f aca="false">N64+K64+H64</f>
        <v>11</v>
      </c>
      <c r="S64" s="126" t="n">
        <f aca="false">O64+L64+I64</f>
        <v>7.12</v>
      </c>
      <c r="T64" s="127"/>
      <c r="U64" s="5" t="n">
        <f aca="false">A65-A64</f>
        <v>31</v>
      </c>
      <c r="V64" s="128" t="n">
        <f aca="false">CHOOSE(F$3,A65+24,A64)</f>
        <v>38930</v>
      </c>
      <c r="W64" s="5" t="n">
        <f aca="false">V64-C$3</f>
        <v>1699</v>
      </c>
      <c r="X64" s="124" t="n">
        <f aca="false">VLOOKUP($A64,Table,MATCH(X$4,Curves,0))</f>
        <v>2</v>
      </c>
      <c r="Y64" s="129" t="n">
        <f aca="false">1/(1+CHOOSE(F$3,(X65+($K$3/10000))/2,(X64+($K$3/10000))/2))^(2*W64/365.25)</f>
        <v>0.00158289692148293</v>
      </c>
      <c r="Z64" s="5" t="n">
        <f aca="false">IF(AND(mthbeg&lt;=A64,mthend&gt;=A64),1,0)</f>
        <v>0</v>
      </c>
      <c r="AA64" s="5" t="n">
        <f aca="false">U64*Z64</f>
        <v>0</v>
      </c>
      <c r="AC64" s="115" t="n">
        <f aca="false">IF(G57=2,F64*(S64-Q64),F64*(Q64-S64))</f>
        <v>0</v>
      </c>
      <c r="AE64" s="116" t="n">
        <f aca="false">IF($G$3=1,F64*(R64-Q64),F64*(Q64-R64))</f>
        <v>0</v>
      </c>
      <c r="AG64" s="116" t="n">
        <f aca="false">AC64+AE64</f>
        <v>0</v>
      </c>
    </row>
    <row r="65" customFormat="false" ht="12.75" hidden="false" customHeight="false" outlineLevel="0" collapsed="false">
      <c r="A65" s="120" t="n">
        <f aca="false">EDATE(A64,1)</f>
        <v>38961</v>
      </c>
      <c r="B65" s="121" t="e">
        <f aca="false">VLOOKUP(A65,'Inputs-Summary'!$A$32:$E$41,3,FALSE())</f>
        <v>#N/A</v>
      </c>
      <c r="C65" s="122"/>
      <c r="D65" s="123" t="e">
        <f aca="false">B65+C65</f>
        <v>#N/A</v>
      </c>
      <c r="E65" s="111" t="n">
        <f aca="false">IF(Z65=0,0,IF(AND(Z65=1,$H$3=1),D65*U65,IF($H$3=2,D65,"N/A")))</f>
        <v>0</v>
      </c>
      <c r="F65" s="111" t="n">
        <f aca="false">E65*Y65</f>
        <v>0</v>
      </c>
      <c r="G65" s="124" t="n">
        <f aca="false">VLOOKUP($A65,Table,MATCH(G$4,Curves,0))</f>
        <v>3</v>
      </c>
      <c r="H65" s="125" t="n">
        <f aca="false">G65+$H$7</f>
        <v>3</v>
      </c>
      <c r="I65" s="124" t="n">
        <f aca="false">H65</f>
        <v>3</v>
      </c>
      <c r="J65" s="124" t="n">
        <f aca="false">VLOOKUP($A65,Table,MATCH(J$4,Curves,0))</f>
        <v>4</v>
      </c>
      <c r="K65" s="125" t="n">
        <f aca="false">J65+$K$7</f>
        <v>4</v>
      </c>
      <c r="L65" s="126" t="n">
        <f aca="false">K65</f>
        <v>4</v>
      </c>
      <c r="M65" s="124" t="n">
        <f aca="false">VLOOKUP($A65,Table,MATCH(M$4,Curves,0))</f>
        <v>4</v>
      </c>
      <c r="N65" s="125" t="n">
        <f aca="false">M65+$N$7</f>
        <v>4</v>
      </c>
      <c r="O65" s="126" t="n">
        <v>0.12</v>
      </c>
      <c r="P65" s="114"/>
      <c r="Q65" s="126" t="n">
        <f aca="false">M65+J65+G65</f>
        <v>11</v>
      </c>
      <c r="R65" s="126" t="n">
        <f aca="false">N65+K65+H65</f>
        <v>11</v>
      </c>
      <c r="S65" s="126" t="n">
        <f aca="false">O65+L65+I65</f>
        <v>7.12</v>
      </c>
      <c r="T65" s="127"/>
      <c r="U65" s="5" t="n">
        <f aca="false">A66-A65</f>
        <v>30</v>
      </c>
      <c r="V65" s="128" t="n">
        <f aca="false">CHOOSE(F$3,A66+24,A65)</f>
        <v>38961</v>
      </c>
      <c r="W65" s="5" t="n">
        <f aca="false">V65-C$3</f>
        <v>1730</v>
      </c>
      <c r="X65" s="124" t="n">
        <f aca="false">VLOOKUP($A65,Table,MATCH(X$4,Curves,0))</f>
        <v>2</v>
      </c>
      <c r="Y65" s="129" t="n">
        <f aca="false">1/(1+CHOOSE(F$3,(X66+($K$3/10000))/2,(X65+($K$3/10000))/2))^(2*W65/365.25)</f>
        <v>0.00140719334123845</v>
      </c>
      <c r="Z65" s="5" t="n">
        <f aca="false">IF(AND(mthbeg&lt;=A65,mthend&gt;=A65),1,0)</f>
        <v>0</v>
      </c>
      <c r="AA65" s="5" t="n">
        <f aca="false">U65*Z65</f>
        <v>0</v>
      </c>
      <c r="AC65" s="115" t="n">
        <f aca="false">IF(G58=2,F65*(S65-Q65),F65*(Q65-S65))</f>
        <v>0</v>
      </c>
      <c r="AE65" s="116" t="n">
        <f aca="false">IF($G$3=1,F65*(R65-Q65),F65*(Q65-R65))</f>
        <v>0</v>
      </c>
      <c r="AG65" s="116" t="n">
        <f aca="false">AC65+AE65</f>
        <v>0</v>
      </c>
    </row>
    <row r="66" customFormat="false" ht="12.75" hidden="false" customHeight="false" outlineLevel="0" collapsed="false">
      <c r="A66" s="120" t="n">
        <f aca="false">EDATE(A65,1)</f>
        <v>38991</v>
      </c>
      <c r="B66" s="121" t="e">
        <f aca="false">VLOOKUP(A66,'Inputs-Summary'!$A$32:$E$41,3,FALSE())</f>
        <v>#N/A</v>
      </c>
      <c r="C66" s="122"/>
      <c r="D66" s="123" t="e">
        <f aca="false">B66+C66</f>
        <v>#N/A</v>
      </c>
      <c r="E66" s="111" t="n">
        <f aca="false">IF(Z66=0,0,IF(AND(Z66=1,$H$3=1),D66*U66,IF($H$3=2,D66,"N/A")))</f>
        <v>0</v>
      </c>
      <c r="F66" s="111" t="n">
        <f aca="false">E66*Y66</f>
        <v>0</v>
      </c>
      <c r="G66" s="124" t="n">
        <f aca="false">VLOOKUP($A66,Table,MATCH(G$4,Curves,0))</f>
        <v>3</v>
      </c>
      <c r="H66" s="125" t="n">
        <f aca="false">G66+$H$7</f>
        <v>3</v>
      </c>
      <c r="I66" s="124" t="n">
        <f aca="false">H66</f>
        <v>3</v>
      </c>
      <c r="J66" s="124" t="n">
        <f aca="false">VLOOKUP($A66,Table,MATCH(J$4,Curves,0))</f>
        <v>4</v>
      </c>
      <c r="K66" s="125" t="n">
        <f aca="false">J66+$K$7</f>
        <v>4</v>
      </c>
      <c r="L66" s="126" t="n">
        <f aca="false">K66</f>
        <v>4</v>
      </c>
      <c r="M66" s="124" t="n">
        <f aca="false">VLOOKUP($A66,Table,MATCH(M$4,Curves,0))</f>
        <v>4</v>
      </c>
      <c r="N66" s="125" t="n">
        <f aca="false">M66+$N$7</f>
        <v>4</v>
      </c>
      <c r="O66" s="126" t="n">
        <v>0.12</v>
      </c>
      <c r="P66" s="114"/>
      <c r="Q66" s="126" t="n">
        <f aca="false">M66+J66+G66</f>
        <v>11</v>
      </c>
      <c r="R66" s="126" t="n">
        <f aca="false">N66+K66+H66</f>
        <v>11</v>
      </c>
      <c r="S66" s="126" t="n">
        <f aca="false">O66+L66+I66</f>
        <v>7.12</v>
      </c>
      <c r="T66" s="127"/>
      <c r="U66" s="5" t="n">
        <f aca="false">A67-A66</f>
        <v>31</v>
      </c>
      <c r="V66" s="128" t="n">
        <f aca="false">CHOOSE(F$3,A67+24,A66)</f>
        <v>38991</v>
      </c>
      <c r="W66" s="5" t="n">
        <f aca="false">V66-C$3</f>
        <v>1760</v>
      </c>
      <c r="X66" s="124" t="n">
        <f aca="false">VLOOKUP($A66,Table,MATCH(X$4,Curves,0))</f>
        <v>2</v>
      </c>
      <c r="Y66" s="129" t="n">
        <f aca="false">1/(1+CHOOSE(F$3,(X67+($K$3/10000))/2,(X66+($K$3/10000))/2))^(2*W66/365.25)</f>
        <v>0.00125575020798447</v>
      </c>
      <c r="Z66" s="5" t="n">
        <f aca="false">IF(AND(mthbeg&lt;=A66,mthend&gt;=A66),1,0)</f>
        <v>0</v>
      </c>
      <c r="AA66" s="5" t="n">
        <f aca="false">U66*Z66</f>
        <v>0</v>
      </c>
      <c r="AC66" s="115" t="n">
        <f aca="false">IF(G59=2,F66*(S66-Q66),F66*(Q66-S66))</f>
        <v>0</v>
      </c>
      <c r="AE66" s="116" t="n">
        <f aca="false">IF($G$3=1,F66*(R66-Q66),F66*(Q66-R66))</f>
        <v>0</v>
      </c>
      <c r="AG66" s="116" t="n">
        <f aca="false">AC66+AE66</f>
        <v>0</v>
      </c>
    </row>
    <row r="67" customFormat="false" ht="12.75" hidden="false" customHeight="false" outlineLevel="0" collapsed="false">
      <c r="A67" s="120" t="n">
        <f aca="false">EDATE(A66,1)</f>
        <v>39022</v>
      </c>
      <c r="B67" s="121" t="e">
        <f aca="false">VLOOKUP(A67,'Inputs-Summary'!$A$32:$E$41,3,FALSE())</f>
        <v>#N/A</v>
      </c>
      <c r="C67" s="122"/>
      <c r="D67" s="123" t="e">
        <f aca="false">B67+C67</f>
        <v>#N/A</v>
      </c>
      <c r="E67" s="111" t="n">
        <f aca="false">IF(Z67=0,0,IF(AND(Z67=1,$H$3=1),D67*U67,IF($H$3=2,D67,"N/A")))</f>
        <v>0</v>
      </c>
      <c r="F67" s="111" t="n">
        <f aca="false">E67*Y67</f>
        <v>0</v>
      </c>
      <c r="G67" s="124" t="n">
        <f aca="false">VLOOKUP($A67,Table,MATCH(G$4,Curves,0))</f>
        <v>3</v>
      </c>
      <c r="H67" s="125" t="n">
        <f aca="false">G67+$H$7</f>
        <v>3</v>
      </c>
      <c r="I67" s="124" t="n">
        <f aca="false">H67</f>
        <v>3</v>
      </c>
      <c r="J67" s="124" t="n">
        <f aca="false">VLOOKUP($A67,Table,MATCH(J$4,Curves,0))</f>
        <v>4</v>
      </c>
      <c r="K67" s="125" t="n">
        <f aca="false">J67+$K$7</f>
        <v>4</v>
      </c>
      <c r="L67" s="126" t="n">
        <f aca="false">K67</f>
        <v>4</v>
      </c>
      <c r="M67" s="124" t="n">
        <f aca="false">VLOOKUP($A67,Table,MATCH(M$4,Curves,0))</f>
        <v>4</v>
      </c>
      <c r="N67" s="125" t="n">
        <f aca="false">M67+$N$7</f>
        <v>4</v>
      </c>
      <c r="O67" s="126" t="n">
        <v>0.12</v>
      </c>
      <c r="P67" s="114"/>
      <c r="Q67" s="126" t="n">
        <f aca="false">M67+J67+G67</f>
        <v>11</v>
      </c>
      <c r="R67" s="126" t="n">
        <f aca="false">N67+K67+H67</f>
        <v>11</v>
      </c>
      <c r="S67" s="126" t="n">
        <f aca="false">O67+L67+I67</f>
        <v>7.12</v>
      </c>
      <c r="T67" s="127"/>
      <c r="U67" s="5" t="n">
        <f aca="false">A68-A67</f>
        <v>30</v>
      </c>
      <c r="V67" s="128" t="n">
        <f aca="false">CHOOSE(F$3,A68+24,A67)</f>
        <v>39022</v>
      </c>
      <c r="W67" s="5" t="n">
        <f aca="false">V67-C$3</f>
        <v>1791</v>
      </c>
      <c r="X67" s="124" t="n">
        <f aca="false">VLOOKUP($A67,Table,MATCH(X$4,Curves,0))</f>
        <v>2</v>
      </c>
      <c r="Y67" s="129" t="n">
        <f aca="false">1/(1+CHOOSE(F$3,(X68+($K$3/10000))/2,(X67+($K$3/10000))/2))^(2*W67/365.25)</f>
        <v>0.00111636033082877</v>
      </c>
      <c r="Z67" s="5" t="n">
        <f aca="false">IF(AND(mthbeg&lt;=A67,mthend&gt;=A67),1,0)</f>
        <v>0</v>
      </c>
      <c r="AA67" s="5" t="n">
        <f aca="false">U67*Z67</f>
        <v>0</v>
      </c>
      <c r="AC67" s="115" t="n">
        <f aca="false">IF(G60=2,F67*(S67-Q67),F67*(Q67-S67))</f>
        <v>0</v>
      </c>
      <c r="AE67" s="116" t="n">
        <f aca="false">IF($G$3=1,F67*(R67-Q67),F67*(Q67-R67))</f>
        <v>0</v>
      </c>
      <c r="AG67" s="116" t="n">
        <f aca="false">AC67+AE67</f>
        <v>0</v>
      </c>
    </row>
    <row r="68" customFormat="false" ht="12.75" hidden="false" customHeight="false" outlineLevel="0" collapsed="false">
      <c r="A68" s="120" t="n">
        <f aca="false">EDATE(A67,1)</f>
        <v>39052</v>
      </c>
      <c r="B68" s="121" t="e">
        <f aca="false">VLOOKUP(A68,'Inputs-Summary'!$A$32:$E$41,3,FALSE())</f>
        <v>#N/A</v>
      </c>
      <c r="C68" s="122"/>
      <c r="D68" s="123" t="e">
        <f aca="false">B68+C68</f>
        <v>#N/A</v>
      </c>
      <c r="E68" s="111" t="n">
        <f aca="false">IF(Z68=0,0,IF(AND(Z68=1,$H$3=1),D68*U68,IF($H$3=2,D68,"N/A")))</f>
        <v>0</v>
      </c>
      <c r="F68" s="111" t="n">
        <f aca="false">E68*Y68</f>
        <v>0</v>
      </c>
      <c r="G68" s="124" t="n">
        <f aca="false">VLOOKUP($A68,Table,MATCH(G$4,Curves,0))</f>
        <v>3</v>
      </c>
      <c r="H68" s="125" t="n">
        <f aca="false">G68+$H$7</f>
        <v>3</v>
      </c>
      <c r="I68" s="124" t="n">
        <f aca="false">H68</f>
        <v>3</v>
      </c>
      <c r="J68" s="124" t="n">
        <f aca="false">VLOOKUP($A68,Table,MATCH(J$4,Curves,0))</f>
        <v>4</v>
      </c>
      <c r="K68" s="125" t="n">
        <f aca="false">J68+$K$7</f>
        <v>4</v>
      </c>
      <c r="L68" s="126" t="n">
        <f aca="false">K68</f>
        <v>4</v>
      </c>
      <c r="M68" s="124" t="n">
        <f aca="false">VLOOKUP($A68,Table,MATCH(M$4,Curves,0))</f>
        <v>4</v>
      </c>
      <c r="N68" s="125" t="n">
        <f aca="false">M68+$N$7</f>
        <v>4</v>
      </c>
      <c r="O68" s="126" t="n">
        <v>0.12</v>
      </c>
      <c r="P68" s="114"/>
      <c r="Q68" s="126" t="n">
        <f aca="false">M68+J68+G68</f>
        <v>11</v>
      </c>
      <c r="R68" s="126" t="n">
        <f aca="false">N68+K68+H68</f>
        <v>11</v>
      </c>
      <c r="S68" s="126" t="n">
        <f aca="false">O68+L68+I68</f>
        <v>7.12</v>
      </c>
      <c r="T68" s="127"/>
      <c r="U68" s="5" t="n">
        <f aca="false">A69-A68</f>
        <v>31</v>
      </c>
      <c r="V68" s="128" t="n">
        <f aca="false">CHOOSE(F$3,A69+24,A68)</f>
        <v>39052</v>
      </c>
      <c r="W68" s="5" t="n">
        <f aca="false">V68-C$3</f>
        <v>1821</v>
      </c>
      <c r="X68" s="124" t="n">
        <f aca="false">VLOOKUP($A68,Table,MATCH(X$4,Curves,0))</f>
        <v>2</v>
      </c>
      <c r="Y68" s="129" t="n">
        <f aca="false">1/(1+CHOOSE(F$3,(X69+($K$3/10000))/2,(X68+($K$3/10000))/2))^(2*W68/365.25)</f>
        <v>0.000996216849910671</v>
      </c>
      <c r="Z68" s="5" t="n">
        <f aca="false">IF(AND(mthbeg&lt;=A68,mthend&gt;=A68),1,0)</f>
        <v>0</v>
      </c>
      <c r="AA68" s="5" t="n">
        <f aca="false">U68*Z68</f>
        <v>0</v>
      </c>
      <c r="AC68" s="115" t="n">
        <f aca="false">IF(G61=2,F68*(S68-Q68),F68*(Q68-S68))</f>
        <v>0</v>
      </c>
      <c r="AE68" s="116" t="n">
        <f aca="false">IF($G$3=1,F68*(R68-Q68),F68*(Q68-R68))</f>
        <v>0</v>
      </c>
      <c r="AG68" s="116" t="n">
        <f aca="false">AC68+AE68</f>
        <v>0</v>
      </c>
    </row>
    <row r="69" customFormat="false" ht="12.75" hidden="false" customHeight="false" outlineLevel="0" collapsed="false">
      <c r="A69" s="120" t="n">
        <f aca="false">EDATE(A68,1)</f>
        <v>39083</v>
      </c>
      <c r="B69" s="121" t="e">
        <f aca="false">VLOOKUP(A69,'Inputs-Summary'!$A$32:$E$41,3,FALSE())</f>
        <v>#N/A</v>
      </c>
      <c r="C69" s="122"/>
      <c r="D69" s="123" t="e">
        <f aca="false">B69+C69</f>
        <v>#N/A</v>
      </c>
      <c r="E69" s="111" t="n">
        <f aca="false">IF(Z69=0,0,IF(AND(Z69=1,$H$3=1),D69*U69,IF($H$3=2,D69,"N/A")))</f>
        <v>0</v>
      </c>
      <c r="F69" s="111" t="n">
        <f aca="false">E69*Y69</f>
        <v>0</v>
      </c>
      <c r="G69" s="124" t="n">
        <f aca="false">VLOOKUP($A69,Table,MATCH(G$4,Curves,0))</f>
        <v>3</v>
      </c>
      <c r="H69" s="125" t="n">
        <f aca="false">G69+$H$7</f>
        <v>3</v>
      </c>
      <c r="I69" s="124" t="n">
        <f aca="false">H69</f>
        <v>3</v>
      </c>
      <c r="J69" s="124" t="n">
        <f aca="false">VLOOKUP($A69,Table,MATCH(J$4,Curves,0))</f>
        <v>4</v>
      </c>
      <c r="K69" s="125" t="n">
        <f aca="false">J69+$K$7</f>
        <v>4</v>
      </c>
      <c r="L69" s="126" t="n">
        <f aca="false">K69</f>
        <v>4</v>
      </c>
      <c r="M69" s="124" t="n">
        <f aca="false">VLOOKUP($A69,Table,MATCH(M$4,Curves,0))</f>
        <v>4</v>
      </c>
      <c r="N69" s="125" t="n">
        <f aca="false">M69+$N$7</f>
        <v>4</v>
      </c>
      <c r="O69" s="126" t="n">
        <v>0.12</v>
      </c>
      <c r="P69" s="114"/>
      <c r="Q69" s="126" t="n">
        <f aca="false">M69+J69+G69</f>
        <v>11</v>
      </c>
      <c r="R69" s="126" t="n">
        <f aca="false">N69+K69+H69</f>
        <v>11</v>
      </c>
      <c r="S69" s="126" t="n">
        <f aca="false">O69+L69+I69</f>
        <v>7.12</v>
      </c>
      <c r="T69" s="127"/>
      <c r="U69" s="5" t="n">
        <f aca="false">A70-A69</f>
        <v>31</v>
      </c>
      <c r="V69" s="128" t="n">
        <f aca="false">CHOOSE(F$3,A70+24,A69)</f>
        <v>39083</v>
      </c>
      <c r="W69" s="5" t="n">
        <f aca="false">V69-C$3</f>
        <v>1852</v>
      </c>
      <c r="X69" s="124" t="n">
        <f aca="false">VLOOKUP($A69,Table,MATCH(X$4,Curves,0))</f>
        <v>2</v>
      </c>
      <c r="Y69" s="129" t="n">
        <f aca="false">1/(1+CHOOSE(F$3,(X70+($K$3/10000))/2,(X69+($K$3/10000))/2))^(2*W69/365.25)</f>
        <v>0.000885635507023727</v>
      </c>
      <c r="Z69" s="5" t="n">
        <f aca="false">IF(AND(mthbeg&lt;=A69,mthend&gt;=A69),1,0)</f>
        <v>0</v>
      </c>
      <c r="AA69" s="5" t="n">
        <f aca="false">U69*Z69</f>
        <v>0</v>
      </c>
      <c r="AC69" s="115" t="n">
        <f aca="false">IF(G62=2,F69*(S69-Q69),F69*(Q69-S69))</f>
        <v>0</v>
      </c>
      <c r="AE69" s="116" t="n">
        <f aca="false">IF($G$3=1,F69*(R69-Q69),F69*(Q69-R69))</f>
        <v>0</v>
      </c>
      <c r="AG69" s="116" t="n">
        <f aca="false">AC69+AE69</f>
        <v>0</v>
      </c>
    </row>
    <row r="70" customFormat="false" ht="12.75" hidden="false" customHeight="false" outlineLevel="0" collapsed="false">
      <c r="A70" s="120" t="n">
        <f aca="false">EDATE(A69,1)</f>
        <v>39114</v>
      </c>
      <c r="B70" s="121" t="e">
        <f aca="false">VLOOKUP(A70,'Inputs-Summary'!$A$32:$E$41,3,FALSE())</f>
        <v>#N/A</v>
      </c>
      <c r="C70" s="122"/>
      <c r="D70" s="123" t="e">
        <f aca="false">B70+C70</f>
        <v>#N/A</v>
      </c>
      <c r="E70" s="111" t="n">
        <f aca="false">IF(Z70=0,0,IF(AND(Z70=1,$H$3=1),D70*U70,IF($H$3=2,D70,"N/A")))</f>
        <v>0</v>
      </c>
      <c r="F70" s="111" t="n">
        <f aca="false">E70*Y70</f>
        <v>0</v>
      </c>
      <c r="G70" s="124" t="n">
        <f aca="false">VLOOKUP($A70,Table,MATCH(G$4,Curves,0))</f>
        <v>3</v>
      </c>
      <c r="H70" s="125" t="n">
        <f aca="false">G70+$H$7</f>
        <v>3</v>
      </c>
      <c r="I70" s="124" t="n">
        <f aca="false">H70</f>
        <v>3</v>
      </c>
      <c r="J70" s="124" t="n">
        <f aca="false">VLOOKUP($A70,Table,MATCH(J$4,Curves,0))</f>
        <v>4</v>
      </c>
      <c r="K70" s="125" t="n">
        <f aca="false">J70+$K$7</f>
        <v>4</v>
      </c>
      <c r="L70" s="126" t="n">
        <f aca="false">K70</f>
        <v>4</v>
      </c>
      <c r="M70" s="124" t="n">
        <f aca="false">VLOOKUP($A70,Table,MATCH(M$4,Curves,0))</f>
        <v>4</v>
      </c>
      <c r="N70" s="125" t="n">
        <f aca="false">M70+$N$7</f>
        <v>4</v>
      </c>
      <c r="O70" s="126" t="n">
        <v>0.12</v>
      </c>
      <c r="P70" s="114"/>
      <c r="Q70" s="126" t="n">
        <f aca="false">M70+J70+G70</f>
        <v>11</v>
      </c>
      <c r="R70" s="126" t="n">
        <f aca="false">N70+K70+H70</f>
        <v>11</v>
      </c>
      <c r="S70" s="126" t="n">
        <f aca="false">O70+L70+I70</f>
        <v>7.12</v>
      </c>
      <c r="T70" s="127"/>
      <c r="U70" s="5" t="n">
        <f aca="false">A71-A70</f>
        <v>28</v>
      </c>
      <c r="V70" s="128" t="n">
        <f aca="false">CHOOSE(F$3,A71+24,A70)</f>
        <v>39114</v>
      </c>
      <c r="W70" s="5" t="n">
        <f aca="false">V70-C$3</f>
        <v>1883</v>
      </c>
      <c r="X70" s="124" t="n">
        <f aca="false">VLOOKUP($A70,Table,MATCH(X$4,Curves,0))</f>
        <v>2</v>
      </c>
      <c r="Y70" s="129" t="n">
        <f aca="false">1/(1+CHOOSE(F$3,(X71+($K$3/10000))/2,(X70+($K$3/10000))/2))^(2*W70/365.25)</f>
        <v>0.000787328834451561</v>
      </c>
      <c r="Z70" s="5" t="n">
        <f aca="false">IF(AND(mthbeg&lt;=A70,mthend&gt;=A70),1,0)</f>
        <v>0</v>
      </c>
      <c r="AA70" s="5" t="n">
        <f aca="false">U70*Z70</f>
        <v>0</v>
      </c>
      <c r="AC70" s="115" t="n">
        <f aca="false">IF(G63=2,F70*(S70-Q70),F70*(Q70-S70))</f>
        <v>0</v>
      </c>
      <c r="AE70" s="116" t="n">
        <f aca="false">IF($G$3=1,F70*(R70-Q70),F70*(Q70-R70))</f>
        <v>0</v>
      </c>
      <c r="AG70" s="116" t="n">
        <f aca="false">AC70+AE70</f>
        <v>0</v>
      </c>
    </row>
    <row r="71" customFormat="false" ht="12.75" hidden="false" customHeight="false" outlineLevel="0" collapsed="false">
      <c r="A71" s="120" t="n">
        <f aca="false">EDATE(A70,1)</f>
        <v>39142</v>
      </c>
      <c r="B71" s="121" t="e">
        <f aca="false">VLOOKUP(A71,'Inputs-Summary'!$A$32:$E$41,3,FALSE())</f>
        <v>#N/A</v>
      </c>
      <c r="C71" s="122"/>
      <c r="D71" s="123" t="e">
        <f aca="false">B71+C71</f>
        <v>#N/A</v>
      </c>
      <c r="E71" s="111" t="n">
        <f aca="false">IF(Z71=0,0,IF(AND(Z71=1,$H$3=1),D71*U71,IF($H$3=2,D71,"N/A")))</f>
        <v>0</v>
      </c>
      <c r="F71" s="111" t="n">
        <f aca="false">E71*Y71</f>
        <v>0</v>
      </c>
      <c r="G71" s="124" t="n">
        <f aca="false">VLOOKUP($A71,Table,MATCH(G$4,Curves,0))</f>
        <v>3</v>
      </c>
      <c r="H71" s="125" t="n">
        <f aca="false">G71+$H$7</f>
        <v>3</v>
      </c>
      <c r="I71" s="124" t="n">
        <f aca="false">H71</f>
        <v>3</v>
      </c>
      <c r="J71" s="124" t="n">
        <f aca="false">VLOOKUP($A71,Table,MATCH(J$4,Curves,0))</f>
        <v>4</v>
      </c>
      <c r="K71" s="125" t="n">
        <f aca="false">J71+$K$7</f>
        <v>4</v>
      </c>
      <c r="L71" s="126" t="n">
        <f aca="false">K71</f>
        <v>4</v>
      </c>
      <c r="M71" s="124" t="n">
        <f aca="false">VLOOKUP($A71,Table,MATCH(M$4,Curves,0))</f>
        <v>4</v>
      </c>
      <c r="N71" s="125" t="n">
        <f aca="false">M71+$N$7</f>
        <v>4</v>
      </c>
      <c r="O71" s="126" t="n">
        <v>0.12</v>
      </c>
      <c r="P71" s="114"/>
      <c r="Q71" s="126" t="n">
        <f aca="false">M71+J71+G71</f>
        <v>11</v>
      </c>
      <c r="R71" s="126" t="n">
        <f aca="false">N71+K71+H71</f>
        <v>11</v>
      </c>
      <c r="S71" s="126" t="n">
        <f aca="false">O71+L71+I71</f>
        <v>7.12</v>
      </c>
      <c r="T71" s="127"/>
      <c r="U71" s="5" t="n">
        <f aca="false">A72-A71</f>
        <v>31</v>
      </c>
      <c r="V71" s="128" t="n">
        <f aca="false">CHOOSE(F$3,A72+24,A71)</f>
        <v>39142</v>
      </c>
      <c r="W71" s="5" t="n">
        <f aca="false">V71-C$3</f>
        <v>1911</v>
      </c>
      <c r="X71" s="124" t="n">
        <f aca="false">VLOOKUP($A71,Table,MATCH(X$4,Curves,0))</f>
        <v>2</v>
      </c>
      <c r="Y71" s="129" t="n">
        <f aca="false">1/(1+CHOOSE(F$3,(X72+($K$3/10000))/2,(X71+($K$3/10000))/2))^(2*W71/365.25)</f>
        <v>0.000707949607263949</v>
      </c>
      <c r="Z71" s="5" t="n">
        <f aca="false">IF(AND(mthbeg&lt;=A71,mthend&gt;=A71),1,0)</f>
        <v>0</v>
      </c>
      <c r="AA71" s="5" t="n">
        <f aca="false">U71*Z71</f>
        <v>0</v>
      </c>
      <c r="AC71" s="115" t="n">
        <f aca="false">IF(G64=2,F71*(S71-Q71),F71*(Q71-S71))</f>
        <v>0</v>
      </c>
      <c r="AE71" s="116" t="n">
        <f aca="false">IF($G$3=1,F71*(R71-Q71),F71*(Q71-R71))</f>
        <v>0</v>
      </c>
      <c r="AG71" s="116" t="n">
        <f aca="false">AC71+AE71</f>
        <v>0</v>
      </c>
    </row>
    <row r="72" customFormat="false" ht="12.75" hidden="false" customHeight="false" outlineLevel="0" collapsed="false">
      <c r="A72" s="120" t="n">
        <f aca="false">EDATE(A71,1)</f>
        <v>39173</v>
      </c>
      <c r="B72" s="121" t="e">
        <f aca="false">VLOOKUP(A72,'Inputs-Summary'!$A$32:$E$41,3,FALSE())</f>
        <v>#N/A</v>
      </c>
      <c r="C72" s="122"/>
      <c r="D72" s="123" t="e">
        <f aca="false">B72+C72</f>
        <v>#N/A</v>
      </c>
      <c r="E72" s="111" t="n">
        <f aca="false">IF(Z72=0,0,IF(AND(Z72=1,$H$3=1),D72*U72,IF($H$3=2,D72,"N/A")))</f>
        <v>0</v>
      </c>
      <c r="F72" s="111" t="n">
        <f aca="false">E72*Y72</f>
        <v>0</v>
      </c>
      <c r="G72" s="124" t="n">
        <f aca="false">VLOOKUP($A72,Table,MATCH(G$4,Curves,0))</f>
        <v>3</v>
      </c>
      <c r="H72" s="125" t="n">
        <f aca="false">G72+$H$7</f>
        <v>3</v>
      </c>
      <c r="I72" s="124" t="n">
        <f aca="false">H72</f>
        <v>3</v>
      </c>
      <c r="J72" s="124" t="n">
        <f aca="false">VLOOKUP($A72,Table,MATCH(J$4,Curves,0))</f>
        <v>4</v>
      </c>
      <c r="K72" s="125" t="n">
        <f aca="false">J72+$K$7</f>
        <v>4</v>
      </c>
      <c r="L72" s="126" t="n">
        <f aca="false">K72</f>
        <v>4</v>
      </c>
      <c r="M72" s="124" t="n">
        <f aca="false">VLOOKUP($A72,Table,MATCH(M$4,Curves,0))</f>
        <v>4</v>
      </c>
      <c r="N72" s="125" t="n">
        <f aca="false">M72+$N$7</f>
        <v>4</v>
      </c>
      <c r="O72" s="126" t="n">
        <v>0.12</v>
      </c>
      <c r="P72" s="114"/>
      <c r="Q72" s="126" t="n">
        <f aca="false">M72+J72+G72</f>
        <v>11</v>
      </c>
      <c r="R72" s="126" t="n">
        <f aca="false">N72+K72+H72</f>
        <v>11</v>
      </c>
      <c r="S72" s="126" t="n">
        <f aca="false">O72+L72+I72</f>
        <v>7.12</v>
      </c>
      <c r="T72" s="127"/>
      <c r="U72" s="5" t="n">
        <f aca="false">A73-A72</f>
        <v>30</v>
      </c>
      <c r="V72" s="128" t="n">
        <f aca="false">CHOOSE(F$3,A73+24,A72)</f>
        <v>39173</v>
      </c>
      <c r="W72" s="5" t="n">
        <f aca="false">V72-C$3</f>
        <v>1942</v>
      </c>
      <c r="X72" s="124" t="n">
        <f aca="false">VLOOKUP($A72,Table,MATCH(X$4,Curves,0))</f>
        <v>2</v>
      </c>
      <c r="Y72" s="129" t="n">
        <f aca="false">1/(1+CHOOSE(F$3,(X73+($K$3/10000))/2,(X72+($K$3/10000))/2))^(2*W72/365.25)</f>
        <v>0.000629366296537423</v>
      </c>
      <c r="Z72" s="5" t="n">
        <f aca="false">IF(AND(mthbeg&lt;=A72,mthend&gt;=A72),1,0)</f>
        <v>0</v>
      </c>
      <c r="AA72" s="5" t="n">
        <f aca="false">U72*Z72</f>
        <v>0</v>
      </c>
      <c r="AC72" s="115" t="n">
        <f aca="false">IF(G65=2,F72*(S72-Q72),F72*(Q72-S72))</f>
        <v>0</v>
      </c>
      <c r="AE72" s="116" t="n">
        <f aca="false">IF($G$3=1,F72*(R72-Q72),F72*(Q72-R72))</f>
        <v>0</v>
      </c>
      <c r="AG72" s="116" t="n">
        <f aca="false">AC72+AE72</f>
        <v>0</v>
      </c>
    </row>
    <row r="73" customFormat="false" ht="12.75" hidden="false" customHeight="false" outlineLevel="0" collapsed="false">
      <c r="A73" s="120" t="n">
        <f aca="false">EDATE(A72,1)</f>
        <v>39203</v>
      </c>
      <c r="B73" s="121" t="e">
        <f aca="false">VLOOKUP(A73,'Inputs-Summary'!$A$32:$E$41,3,FALSE())</f>
        <v>#N/A</v>
      </c>
      <c r="C73" s="122"/>
      <c r="D73" s="123" t="e">
        <f aca="false">B73+C73</f>
        <v>#N/A</v>
      </c>
      <c r="E73" s="111" t="n">
        <f aca="false">IF(Z73=0,0,IF(AND(Z73=1,$H$3=1),D73*U73,IF($H$3=2,D73,"N/A")))</f>
        <v>0</v>
      </c>
      <c r="F73" s="111" t="n">
        <f aca="false">E73*Y73</f>
        <v>0</v>
      </c>
      <c r="G73" s="124" t="n">
        <f aca="false">VLOOKUP($A73,Table,MATCH(G$4,Curves,0))</f>
        <v>3</v>
      </c>
      <c r="H73" s="125" t="n">
        <f aca="false">G73+$H$7</f>
        <v>3</v>
      </c>
      <c r="I73" s="124" t="n">
        <f aca="false">H73</f>
        <v>3</v>
      </c>
      <c r="J73" s="124" t="n">
        <f aca="false">VLOOKUP($A73,Table,MATCH(J$4,Curves,0))</f>
        <v>4</v>
      </c>
      <c r="K73" s="125" t="n">
        <f aca="false">J73+$K$7</f>
        <v>4</v>
      </c>
      <c r="L73" s="126" t="n">
        <f aca="false">K73</f>
        <v>4</v>
      </c>
      <c r="M73" s="124" t="n">
        <f aca="false">VLOOKUP($A73,Table,MATCH(M$4,Curves,0))</f>
        <v>4</v>
      </c>
      <c r="N73" s="125" t="n">
        <f aca="false">M73+$N$7</f>
        <v>4</v>
      </c>
      <c r="O73" s="126" t="n">
        <v>0.12</v>
      </c>
      <c r="P73" s="114"/>
      <c r="Q73" s="126" t="n">
        <f aca="false">M73+J73+G73</f>
        <v>11</v>
      </c>
      <c r="R73" s="126" t="n">
        <f aca="false">N73+K73+H73</f>
        <v>11</v>
      </c>
      <c r="S73" s="126" t="n">
        <f aca="false">O73+L73+I73</f>
        <v>7.12</v>
      </c>
      <c r="T73" s="127"/>
      <c r="U73" s="5" t="n">
        <f aca="false">A74-A73</f>
        <v>31</v>
      </c>
      <c r="V73" s="128" t="n">
        <f aca="false">CHOOSE(F$3,A74+24,A73)</f>
        <v>39203</v>
      </c>
      <c r="W73" s="5" t="n">
        <f aca="false">V73-C$3</f>
        <v>1972</v>
      </c>
      <c r="X73" s="124" t="n">
        <f aca="false">VLOOKUP($A73,Table,MATCH(X$4,Curves,0))</f>
        <v>2</v>
      </c>
      <c r="Y73" s="129" t="n">
        <f aca="false">1/(1+CHOOSE(F$3,(X74+($K$3/10000))/2,(X73+($K$3/10000))/2))^(2*W73/365.25)</f>
        <v>0.000561633454774402</v>
      </c>
      <c r="Z73" s="5" t="n">
        <f aca="false">IF(AND(mthbeg&lt;=A73,mthend&gt;=A73),1,0)</f>
        <v>0</v>
      </c>
      <c r="AA73" s="5" t="n">
        <f aca="false">U73*Z73</f>
        <v>0</v>
      </c>
      <c r="AC73" s="115" t="n">
        <f aca="false">IF(G66=2,F73*(S73-Q73),F73*(Q73-S73))</f>
        <v>0</v>
      </c>
      <c r="AE73" s="116" t="n">
        <f aca="false">IF($G$3=1,F73*(R73-Q73),F73*(Q73-R73))</f>
        <v>0</v>
      </c>
      <c r="AG73" s="116" t="n">
        <f aca="false">AC73+AE73</f>
        <v>0</v>
      </c>
    </row>
    <row r="74" customFormat="false" ht="12.75" hidden="false" customHeight="false" outlineLevel="0" collapsed="false">
      <c r="A74" s="120" t="n">
        <f aca="false">EDATE(A73,1)</f>
        <v>39234</v>
      </c>
      <c r="B74" s="121" t="e">
        <f aca="false">VLOOKUP(A74,'Inputs-Summary'!$A$32:$E$41,3,FALSE())</f>
        <v>#N/A</v>
      </c>
      <c r="C74" s="122"/>
      <c r="D74" s="123" t="e">
        <f aca="false">B74+C74</f>
        <v>#N/A</v>
      </c>
      <c r="E74" s="111" t="n">
        <f aca="false">IF(Z74=0,0,IF(AND(Z74=1,$H$3=1),D74*U74,IF($H$3=2,D74,"N/A")))</f>
        <v>0</v>
      </c>
      <c r="F74" s="111" t="n">
        <f aca="false">E74*Y74</f>
        <v>0</v>
      </c>
      <c r="G74" s="124" t="n">
        <f aca="false">VLOOKUP($A74,Table,MATCH(G$4,Curves,0))</f>
        <v>3</v>
      </c>
      <c r="H74" s="125" t="n">
        <f aca="false">G74+$H$7</f>
        <v>3</v>
      </c>
      <c r="I74" s="124" t="n">
        <f aca="false">H74</f>
        <v>3</v>
      </c>
      <c r="J74" s="124" t="n">
        <f aca="false">VLOOKUP($A74,Table,MATCH(J$4,Curves,0))</f>
        <v>4</v>
      </c>
      <c r="K74" s="125" t="n">
        <f aca="false">J74+$K$7</f>
        <v>4</v>
      </c>
      <c r="L74" s="126" t="n">
        <f aca="false">K74</f>
        <v>4</v>
      </c>
      <c r="M74" s="124" t="n">
        <f aca="false">VLOOKUP($A74,Table,MATCH(M$4,Curves,0))</f>
        <v>4</v>
      </c>
      <c r="N74" s="125" t="n">
        <f aca="false">M74+$N$7</f>
        <v>4</v>
      </c>
      <c r="O74" s="126" t="n">
        <v>0.12</v>
      </c>
      <c r="P74" s="114"/>
      <c r="Q74" s="126" t="n">
        <f aca="false">M74+J74+G74</f>
        <v>11</v>
      </c>
      <c r="R74" s="126" t="n">
        <f aca="false">N74+K74+H74</f>
        <v>11</v>
      </c>
      <c r="S74" s="126" t="n">
        <f aca="false">O74+L74+I74</f>
        <v>7.12</v>
      </c>
      <c r="T74" s="127"/>
      <c r="U74" s="5" t="n">
        <f aca="false">A75-A74</f>
        <v>30</v>
      </c>
      <c r="V74" s="128" t="n">
        <f aca="false">CHOOSE(F$3,A75+24,A74)</f>
        <v>39234</v>
      </c>
      <c r="W74" s="5" t="n">
        <f aca="false">V74-C$3</f>
        <v>2003</v>
      </c>
      <c r="X74" s="124" t="n">
        <f aca="false">VLOOKUP($A74,Table,MATCH(X$4,Curves,0))</f>
        <v>2</v>
      </c>
      <c r="Y74" s="129" t="n">
        <f aca="false">1/(1+CHOOSE(F$3,(X75+($K$3/10000))/2,(X74+($K$3/10000))/2))^(2*W74/365.25)</f>
        <v>0.00049929142387545</v>
      </c>
      <c r="Z74" s="5" t="n">
        <f aca="false">IF(AND(mthbeg&lt;=A74,mthend&gt;=A74),1,0)</f>
        <v>0</v>
      </c>
      <c r="AA74" s="5" t="n">
        <f aca="false">U74*Z74</f>
        <v>0</v>
      </c>
      <c r="AC74" s="115" t="n">
        <f aca="false">IF(G67=2,F74*(S74-Q74),F74*(Q74-S74))</f>
        <v>0</v>
      </c>
      <c r="AE74" s="116" t="n">
        <f aca="false">IF($G$3=1,F74*(R74-Q74),F74*(Q74-R74))</f>
        <v>0</v>
      </c>
      <c r="AG74" s="116" t="n">
        <f aca="false">AC74+AE74</f>
        <v>0</v>
      </c>
    </row>
    <row r="75" customFormat="false" ht="12.75" hidden="false" customHeight="false" outlineLevel="0" collapsed="false">
      <c r="A75" s="120" t="n">
        <f aca="false">EDATE(A74,1)</f>
        <v>39264</v>
      </c>
      <c r="B75" s="121" t="e">
        <f aca="false">VLOOKUP(A75,'Inputs-Summary'!$A$32:$E$41,3,FALSE())</f>
        <v>#N/A</v>
      </c>
      <c r="C75" s="122"/>
      <c r="D75" s="123" t="e">
        <f aca="false">B75+C75</f>
        <v>#N/A</v>
      </c>
      <c r="E75" s="111" t="n">
        <f aca="false">IF(Z75=0,0,IF(AND(Z75=1,$H$3=1),D75*U75,IF($H$3=2,D75,"N/A")))</f>
        <v>0</v>
      </c>
      <c r="F75" s="111" t="n">
        <f aca="false">E75*Y75</f>
        <v>0</v>
      </c>
      <c r="G75" s="124" t="n">
        <f aca="false">VLOOKUP($A75,Table,MATCH(G$4,Curves,0))</f>
        <v>3</v>
      </c>
      <c r="H75" s="125" t="n">
        <f aca="false">G75+$H$7</f>
        <v>3</v>
      </c>
      <c r="I75" s="124" t="n">
        <f aca="false">H75</f>
        <v>3</v>
      </c>
      <c r="J75" s="124" t="n">
        <f aca="false">VLOOKUP($A75,Table,MATCH(J$4,Curves,0))</f>
        <v>4</v>
      </c>
      <c r="K75" s="125" t="n">
        <f aca="false">J75+$K$7</f>
        <v>4</v>
      </c>
      <c r="L75" s="126" t="n">
        <f aca="false">K75</f>
        <v>4</v>
      </c>
      <c r="M75" s="124" t="n">
        <f aca="false">VLOOKUP($A75,Table,MATCH(M$4,Curves,0))</f>
        <v>4</v>
      </c>
      <c r="N75" s="125" t="n">
        <f aca="false">M75+$N$7</f>
        <v>4</v>
      </c>
      <c r="O75" s="126" t="n">
        <v>0.12</v>
      </c>
      <c r="P75" s="114"/>
      <c r="Q75" s="126" t="n">
        <f aca="false">M75+J75+G75</f>
        <v>11</v>
      </c>
      <c r="R75" s="126" t="n">
        <f aca="false">N75+K75+H75</f>
        <v>11</v>
      </c>
      <c r="S75" s="126" t="n">
        <f aca="false">O75+L75+I75</f>
        <v>7.12</v>
      </c>
      <c r="T75" s="127"/>
      <c r="U75" s="5" t="n">
        <f aca="false">A76-A75</f>
        <v>31</v>
      </c>
      <c r="V75" s="128" t="n">
        <f aca="false">CHOOSE(F$3,A76+24,A75)</f>
        <v>39264</v>
      </c>
      <c r="W75" s="5" t="n">
        <f aca="false">V75-C$3</f>
        <v>2033</v>
      </c>
      <c r="X75" s="124" t="n">
        <f aca="false">VLOOKUP($A75,Table,MATCH(X$4,Curves,0))</f>
        <v>2</v>
      </c>
      <c r="Y75" s="129" t="n">
        <f aca="false">1/(1+CHOOSE(F$3,(X76+($K$3/10000))/2,(X75+($K$3/10000))/2))^(2*W75/365.25)</f>
        <v>0.000445557331037864</v>
      </c>
      <c r="Z75" s="5" t="n">
        <f aca="false">IF(AND(mthbeg&lt;=A75,mthend&gt;=A75),1,0)</f>
        <v>0</v>
      </c>
      <c r="AA75" s="5" t="n">
        <f aca="false">U75*Z75</f>
        <v>0</v>
      </c>
      <c r="AC75" s="115" t="n">
        <f aca="false">IF(G68=2,F75*(S75-Q75),F75*(Q75-S75))</f>
        <v>0</v>
      </c>
      <c r="AE75" s="116" t="n">
        <f aca="false">IF($G$3=1,F75*(R75-Q75),F75*(Q75-R75))</f>
        <v>0</v>
      </c>
      <c r="AG75" s="116" t="n">
        <f aca="false">AC75+AE75</f>
        <v>0</v>
      </c>
    </row>
    <row r="76" customFormat="false" ht="12.75" hidden="false" customHeight="false" outlineLevel="0" collapsed="false">
      <c r="A76" s="120" t="n">
        <f aca="false">EDATE(A75,1)</f>
        <v>39295</v>
      </c>
      <c r="B76" s="121" t="e">
        <f aca="false">VLOOKUP(A76,'Inputs-Summary'!$A$32:$E$41,3,FALSE())</f>
        <v>#N/A</v>
      </c>
      <c r="C76" s="122"/>
      <c r="D76" s="123" t="e">
        <f aca="false">B76+C76</f>
        <v>#N/A</v>
      </c>
      <c r="E76" s="111" t="n">
        <f aca="false">IF(Z76=0,0,IF(AND(Z76=1,$H$3=1),D76*U76,IF($H$3=2,D76,"N/A")))</f>
        <v>0</v>
      </c>
      <c r="F76" s="111" t="n">
        <f aca="false">E76*Y76</f>
        <v>0</v>
      </c>
      <c r="G76" s="124" t="n">
        <f aca="false">VLOOKUP($A76,Table,MATCH(G$4,Curves,0))</f>
        <v>3</v>
      </c>
      <c r="H76" s="125" t="n">
        <f aca="false">G76+$H$7</f>
        <v>3</v>
      </c>
      <c r="I76" s="124" t="n">
        <f aca="false">H76</f>
        <v>3</v>
      </c>
      <c r="J76" s="124" t="n">
        <f aca="false">VLOOKUP($A76,Table,MATCH(J$4,Curves,0))</f>
        <v>4</v>
      </c>
      <c r="K76" s="125" t="n">
        <f aca="false">J76+$K$7</f>
        <v>4</v>
      </c>
      <c r="L76" s="126" t="n">
        <f aca="false">K76</f>
        <v>4</v>
      </c>
      <c r="M76" s="124" t="n">
        <f aca="false">VLOOKUP($A76,Table,MATCH(M$4,Curves,0))</f>
        <v>4</v>
      </c>
      <c r="N76" s="125" t="n">
        <f aca="false">M76+$N$7</f>
        <v>4</v>
      </c>
      <c r="O76" s="126" t="n">
        <v>0.12</v>
      </c>
      <c r="P76" s="114"/>
      <c r="Q76" s="126" t="n">
        <f aca="false">M76+J76+G76</f>
        <v>11</v>
      </c>
      <c r="R76" s="126" t="n">
        <f aca="false">N76+K76+H76</f>
        <v>11</v>
      </c>
      <c r="S76" s="126" t="n">
        <f aca="false">O76+L76+I76</f>
        <v>7.12</v>
      </c>
      <c r="T76" s="127"/>
      <c r="U76" s="5" t="n">
        <f aca="false">A77-A76</f>
        <v>31</v>
      </c>
      <c r="V76" s="128" t="n">
        <f aca="false">CHOOSE(F$3,A77+24,A76)</f>
        <v>39295</v>
      </c>
      <c r="W76" s="5" t="n">
        <f aca="false">V76-C$3</f>
        <v>2064</v>
      </c>
      <c r="X76" s="124" t="n">
        <f aca="false">VLOOKUP($A76,Table,MATCH(X$4,Curves,0))</f>
        <v>2</v>
      </c>
      <c r="Y76" s="129" t="n">
        <f aca="false">1/(1+CHOOSE(F$3,(X77+($K$3/10000))/2,(X76+($K$3/10000))/2))^(2*W76/365.25)</f>
        <v>0.000396099898146915</v>
      </c>
      <c r="Z76" s="5" t="n">
        <f aca="false">IF(AND(mthbeg&lt;=A76,mthend&gt;=A76),1,0)</f>
        <v>0</v>
      </c>
      <c r="AA76" s="5" t="n">
        <f aca="false">U76*Z76</f>
        <v>0</v>
      </c>
      <c r="AC76" s="115" t="n">
        <f aca="false">IF(G69=2,F76*(S76-Q76),F76*(Q76-S76))</f>
        <v>0</v>
      </c>
      <c r="AE76" s="116" t="n">
        <f aca="false">IF($G$3=1,F76*(R76-Q76),F76*(Q76-R76))</f>
        <v>0</v>
      </c>
      <c r="AG76" s="116" t="n">
        <f aca="false">AC76+AE76</f>
        <v>0</v>
      </c>
    </row>
    <row r="77" customFormat="false" ht="12.75" hidden="false" customHeight="false" outlineLevel="0" collapsed="false">
      <c r="A77" s="120" t="n">
        <f aca="false">EDATE(A76,1)</f>
        <v>39326</v>
      </c>
      <c r="B77" s="121" t="e">
        <f aca="false">VLOOKUP(A77,'Inputs-Summary'!$A$32:$E$41,3,FALSE())</f>
        <v>#N/A</v>
      </c>
      <c r="C77" s="122"/>
      <c r="D77" s="123" t="e">
        <f aca="false">B77+C77</f>
        <v>#N/A</v>
      </c>
      <c r="E77" s="111" t="n">
        <f aca="false">IF(Z77=0,0,IF(AND(Z77=1,$H$3=1),D77*U77,IF($H$3=2,D77,"N/A")))</f>
        <v>0</v>
      </c>
      <c r="F77" s="111" t="n">
        <f aca="false">E77*Y77</f>
        <v>0</v>
      </c>
      <c r="G77" s="124" t="n">
        <f aca="false">VLOOKUP($A77,Table,MATCH(G$4,Curves,0))</f>
        <v>3</v>
      </c>
      <c r="H77" s="125" t="n">
        <f aca="false">G77+$H$7</f>
        <v>3</v>
      </c>
      <c r="I77" s="124" t="n">
        <f aca="false">H77</f>
        <v>3</v>
      </c>
      <c r="J77" s="124" t="n">
        <f aca="false">VLOOKUP($A77,Table,MATCH(J$4,Curves,0))</f>
        <v>4</v>
      </c>
      <c r="K77" s="125" t="n">
        <f aca="false">J77+$K$7</f>
        <v>4</v>
      </c>
      <c r="L77" s="126" t="n">
        <f aca="false">K77</f>
        <v>4</v>
      </c>
      <c r="M77" s="124" t="n">
        <f aca="false">VLOOKUP($A77,Table,MATCH(M$4,Curves,0))</f>
        <v>4</v>
      </c>
      <c r="N77" s="125" t="n">
        <f aca="false">M77+$N$7</f>
        <v>4</v>
      </c>
      <c r="O77" s="126" t="n">
        <v>0.12</v>
      </c>
      <c r="P77" s="114"/>
      <c r="Q77" s="126" t="n">
        <f aca="false">M77+J77+G77</f>
        <v>11</v>
      </c>
      <c r="R77" s="126" t="n">
        <f aca="false">N77+K77+H77</f>
        <v>11</v>
      </c>
      <c r="S77" s="126" t="n">
        <f aca="false">O77+L77+I77</f>
        <v>7.12</v>
      </c>
      <c r="T77" s="127"/>
      <c r="U77" s="5" t="n">
        <f aca="false">A78-A77</f>
        <v>30</v>
      </c>
      <c r="V77" s="128" t="n">
        <f aca="false">CHOOSE(F$3,A78+24,A77)</f>
        <v>39326</v>
      </c>
      <c r="W77" s="5" t="n">
        <f aca="false">V77-C$3</f>
        <v>2095</v>
      </c>
      <c r="X77" s="124" t="n">
        <f aca="false">VLOOKUP($A77,Table,MATCH(X$4,Curves,0))</f>
        <v>2</v>
      </c>
      <c r="Y77" s="129" t="n">
        <f aca="false">1/(1+CHOOSE(F$3,(X78+($K$3/10000))/2,(X77+($K$3/10000))/2))^(2*W77/365.25)</f>
        <v>0.000352132303482767</v>
      </c>
      <c r="Z77" s="5" t="n">
        <f aca="false">IF(AND(mthbeg&lt;=A77,mthend&gt;=A77),1,0)</f>
        <v>0</v>
      </c>
      <c r="AA77" s="5" t="n">
        <f aca="false">U77*Z77</f>
        <v>0</v>
      </c>
      <c r="AC77" s="115" t="n">
        <f aca="false">IF(G70=2,F77*(S77-Q77),F77*(Q77-S77))</f>
        <v>0</v>
      </c>
      <c r="AE77" s="116" t="n">
        <f aca="false">IF($G$3=1,F77*(R77-Q77),F77*(Q77-R77))</f>
        <v>0</v>
      </c>
      <c r="AG77" s="116" t="n">
        <f aca="false">AC77+AE77</f>
        <v>0</v>
      </c>
    </row>
    <row r="78" customFormat="false" ht="12.75" hidden="false" customHeight="false" outlineLevel="0" collapsed="false">
      <c r="A78" s="120" t="n">
        <f aca="false">EDATE(A77,1)</f>
        <v>39356</v>
      </c>
      <c r="B78" s="121" t="e">
        <f aca="false">VLOOKUP(A78,'Inputs-Summary'!$A$32:$E$41,3,FALSE())</f>
        <v>#N/A</v>
      </c>
      <c r="C78" s="122"/>
      <c r="D78" s="123" t="e">
        <f aca="false">B78+C78</f>
        <v>#N/A</v>
      </c>
      <c r="E78" s="111" t="n">
        <f aca="false">IF(Z78=0,0,IF(AND(Z78=1,$H$3=1),D78*U78,IF($H$3=2,D78,"N/A")))</f>
        <v>0</v>
      </c>
      <c r="F78" s="111" t="n">
        <f aca="false">E78*Y78</f>
        <v>0</v>
      </c>
      <c r="G78" s="124" t="n">
        <f aca="false">VLOOKUP($A78,Table,MATCH(G$4,Curves,0))</f>
        <v>3</v>
      </c>
      <c r="H78" s="125" t="n">
        <f aca="false">G78+$H$7</f>
        <v>3</v>
      </c>
      <c r="I78" s="124" t="n">
        <f aca="false">H78</f>
        <v>3</v>
      </c>
      <c r="J78" s="124" t="n">
        <f aca="false">VLOOKUP($A78,Table,MATCH(J$4,Curves,0))</f>
        <v>4</v>
      </c>
      <c r="K78" s="125" t="n">
        <f aca="false">J78+$K$7</f>
        <v>4</v>
      </c>
      <c r="L78" s="126" t="n">
        <f aca="false">K78</f>
        <v>4</v>
      </c>
      <c r="M78" s="124" t="n">
        <f aca="false">VLOOKUP($A78,Table,MATCH(M$4,Curves,0))</f>
        <v>4</v>
      </c>
      <c r="N78" s="125" t="n">
        <f aca="false">M78+$N$7</f>
        <v>4</v>
      </c>
      <c r="O78" s="126" t="n">
        <v>0.12</v>
      </c>
      <c r="P78" s="114"/>
      <c r="Q78" s="126" t="n">
        <f aca="false">M78+J78+G78</f>
        <v>11</v>
      </c>
      <c r="R78" s="126" t="n">
        <f aca="false">N78+K78+H78</f>
        <v>11</v>
      </c>
      <c r="S78" s="126" t="n">
        <f aca="false">O78+L78+I78</f>
        <v>7.12</v>
      </c>
      <c r="T78" s="127"/>
      <c r="U78" s="5" t="n">
        <f aca="false">A79-A78</f>
        <v>31</v>
      </c>
      <c r="V78" s="128" t="n">
        <f aca="false">CHOOSE(F$3,A79+24,A78)</f>
        <v>39356</v>
      </c>
      <c r="W78" s="5" t="n">
        <f aca="false">V78-C$3</f>
        <v>2125</v>
      </c>
      <c r="X78" s="124" t="n">
        <f aca="false">VLOOKUP($A78,Table,MATCH(X$4,Curves,0))</f>
        <v>2</v>
      </c>
      <c r="Y78" s="129" t="n">
        <f aca="false">1/(1+CHOOSE(F$3,(X79+($K$3/10000))/2,(X78+($K$3/10000))/2))^(2*W78/365.25)</f>
        <v>0.000314235578280501</v>
      </c>
      <c r="Z78" s="5" t="n">
        <f aca="false">IF(AND(mthbeg&lt;=A78,mthend&gt;=A78),1,0)</f>
        <v>0</v>
      </c>
      <c r="AA78" s="5" t="n">
        <f aca="false">U78*Z78</f>
        <v>0</v>
      </c>
      <c r="AC78" s="115" t="n">
        <f aca="false">IF(G71=2,F78*(S78-Q78),F78*(Q78-S78))</f>
        <v>0</v>
      </c>
      <c r="AE78" s="116" t="n">
        <f aca="false">IF($G$3=1,F78*(R78-Q78),F78*(Q78-R78))</f>
        <v>0</v>
      </c>
      <c r="AG78" s="116" t="n">
        <f aca="false">AC78+AE78</f>
        <v>0</v>
      </c>
    </row>
    <row r="79" customFormat="false" ht="12.75" hidden="false" customHeight="false" outlineLevel="0" collapsed="false">
      <c r="A79" s="120" t="n">
        <f aca="false">EDATE(A78,1)</f>
        <v>39387</v>
      </c>
      <c r="B79" s="121" t="e">
        <f aca="false">VLOOKUP(A79,'Inputs-Summary'!$A$32:$E$41,3,FALSE())</f>
        <v>#N/A</v>
      </c>
      <c r="C79" s="122"/>
      <c r="D79" s="123" t="e">
        <f aca="false">B79+C79</f>
        <v>#N/A</v>
      </c>
      <c r="E79" s="111" t="n">
        <f aca="false">IF(Z79=0,0,IF(AND(Z79=1,$H$3=1),D79*U79,IF($H$3=2,D79,"N/A")))</f>
        <v>0</v>
      </c>
      <c r="F79" s="111" t="n">
        <f aca="false">E79*Y79</f>
        <v>0</v>
      </c>
      <c r="G79" s="124" t="n">
        <f aca="false">VLOOKUP($A79,Table,MATCH(G$4,Curves,0))</f>
        <v>3</v>
      </c>
      <c r="H79" s="125" t="n">
        <f aca="false">G79+$H$7</f>
        <v>3</v>
      </c>
      <c r="I79" s="124" t="n">
        <f aca="false">H79</f>
        <v>3</v>
      </c>
      <c r="J79" s="124" t="n">
        <f aca="false">VLOOKUP($A79,Table,MATCH(J$4,Curves,0))</f>
        <v>4</v>
      </c>
      <c r="K79" s="125" t="n">
        <f aca="false">J79+$K$7</f>
        <v>4</v>
      </c>
      <c r="L79" s="126" t="n">
        <f aca="false">K79</f>
        <v>4</v>
      </c>
      <c r="M79" s="124" t="n">
        <f aca="false">VLOOKUP($A79,Table,MATCH(M$4,Curves,0))</f>
        <v>4</v>
      </c>
      <c r="N79" s="125" t="n">
        <f aca="false">M79+$N$7</f>
        <v>4</v>
      </c>
      <c r="O79" s="126" t="n">
        <v>0.12</v>
      </c>
      <c r="P79" s="114"/>
      <c r="Q79" s="126" t="n">
        <f aca="false">M79+J79+G79</f>
        <v>11</v>
      </c>
      <c r="R79" s="126" t="n">
        <f aca="false">N79+K79+H79</f>
        <v>11</v>
      </c>
      <c r="S79" s="126" t="n">
        <f aca="false">O79+L79+I79</f>
        <v>7.12</v>
      </c>
      <c r="T79" s="127"/>
      <c r="U79" s="5" t="n">
        <f aca="false">A80-A79</f>
        <v>30</v>
      </c>
      <c r="V79" s="128" t="n">
        <f aca="false">CHOOSE(F$3,A80+24,A79)</f>
        <v>39387</v>
      </c>
      <c r="W79" s="5" t="n">
        <f aca="false">V79-C$3</f>
        <v>2156</v>
      </c>
      <c r="X79" s="124" t="n">
        <f aca="false">VLOOKUP($A79,Table,MATCH(X$4,Curves,0))</f>
        <v>2</v>
      </c>
      <c r="Y79" s="129" t="n">
        <f aca="false">1/(1+CHOOSE(F$3,(X80+($K$3/10000))/2,(X79+($K$3/10000))/2))^(2*W79/365.25)</f>
        <v>0.000279355027693318</v>
      </c>
      <c r="Z79" s="5" t="n">
        <f aca="false">IF(AND(mthbeg&lt;=A79,mthend&gt;=A79),1,0)</f>
        <v>0</v>
      </c>
      <c r="AA79" s="5" t="n">
        <f aca="false">U79*Z79</f>
        <v>0</v>
      </c>
      <c r="AC79" s="115" t="n">
        <f aca="false">IF(G72=2,F79*(S79-Q79),F79*(Q79-S79))</f>
        <v>0</v>
      </c>
      <c r="AE79" s="116" t="n">
        <f aca="false">IF($G$3=1,F79*(R79-Q79),F79*(Q79-R79))</f>
        <v>0</v>
      </c>
      <c r="AG79" s="116" t="n">
        <f aca="false">AC79+AE79</f>
        <v>0</v>
      </c>
    </row>
    <row r="80" customFormat="false" ht="12.75" hidden="false" customHeight="false" outlineLevel="0" collapsed="false">
      <c r="A80" s="120" t="n">
        <f aca="false">EDATE(A79,1)</f>
        <v>39417</v>
      </c>
      <c r="B80" s="121" t="e">
        <f aca="false">VLOOKUP(A80,'Inputs-Summary'!$A$32:$E$41,3,FALSE())</f>
        <v>#N/A</v>
      </c>
      <c r="C80" s="122"/>
      <c r="D80" s="123" t="e">
        <f aca="false">B80+C80</f>
        <v>#N/A</v>
      </c>
      <c r="E80" s="111" t="n">
        <f aca="false">IF(Z80=0,0,IF(AND(Z80=1,$H$3=1),D80*U80,IF($H$3=2,D80,"N/A")))</f>
        <v>0</v>
      </c>
      <c r="F80" s="111" t="n">
        <f aca="false">E80*Y80</f>
        <v>0</v>
      </c>
      <c r="G80" s="124" t="n">
        <f aca="false">VLOOKUP($A80,Table,MATCH(G$4,Curves,0))</f>
        <v>3</v>
      </c>
      <c r="H80" s="125" t="n">
        <f aca="false">G80+$H$7</f>
        <v>3</v>
      </c>
      <c r="I80" s="124" t="n">
        <f aca="false">H80</f>
        <v>3</v>
      </c>
      <c r="J80" s="124" t="n">
        <f aca="false">VLOOKUP($A80,Table,MATCH(J$4,Curves,0))</f>
        <v>4</v>
      </c>
      <c r="K80" s="125" t="n">
        <f aca="false">J80+$K$7</f>
        <v>4</v>
      </c>
      <c r="L80" s="126" t="n">
        <f aca="false">K80</f>
        <v>4</v>
      </c>
      <c r="M80" s="124" t="n">
        <f aca="false">VLOOKUP($A80,Table,MATCH(M$4,Curves,0))</f>
        <v>4</v>
      </c>
      <c r="N80" s="125" t="n">
        <f aca="false">M80+$N$7</f>
        <v>4</v>
      </c>
      <c r="O80" s="126" t="n">
        <v>0.12</v>
      </c>
      <c r="P80" s="114"/>
      <c r="Q80" s="126" t="n">
        <f aca="false">M80+J80+G80</f>
        <v>11</v>
      </c>
      <c r="R80" s="126" t="n">
        <f aca="false">N80+K80+H80</f>
        <v>11</v>
      </c>
      <c r="S80" s="126" t="n">
        <f aca="false">O80+L80+I80</f>
        <v>7.12</v>
      </c>
      <c r="T80" s="127"/>
      <c r="U80" s="5" t="n">
        <f aca="false">A81-A80</f>
        <v>31</v>
      </c>
      <c r="V80" s="128" t="n">
        <f aca="false">CHOOSE(F$3,A81+24,A80)</f>
        <v>39417</v>
      </c>
      <c r="W80" s="5" t="n">
        <f aca="false">V80-C$3</f>
        <v>2186</v>
      </c>
      <c r="X80" s="124" t="n">
        <f aca="false">VLOOKUP($A80,Table,MATCH(X$4,Curves,0))</f>
        <v>2</v>
      </c>
      <c r="Y80" s="129" t="n">
        <f aca="false">1/(1+CHOOSE(F$3,(X81+($K$3/10000))/2,(X80+($K$3/10000))/2))^(2*W80/365.25)</f>
        <v>0.000249290643898768</v>
      </c>
      <c r="Z80" s="5" t="n">
        <f aca="false">IF(AND(mthbeg&lt;=A80,mthend&gt;=A80),1,0)</f>
        <v>0</v>
      </c>
      <c r="AA80" s="5" t="n">
        <f aca="false">U80*Z80</f>
        <v>0</v>
      </c>
      <c r="AC80" s="115" t="n">
        <f aca="false">IF(G73=2,F80*(S80-Q80),F80*(Q80-S80))</f>
        <v>0</v>
      </c>
      <c r="AE80" s="116" t="n">
        <f aca="false">IF($G$3=1,F80*(R80-Q80),F80*(Q80-R80))</f>
        <v>0</v>
      </c>
      <c r="AG80" s="116" t="n">
        <f aca="false">AC80+AE80</f>
        <v>0</v>
      </c>
    </row>
    <row r="81" customFormat="false" ht="12.75" hidden="false" customHeight="false" outlineLevel="0" collapsed="false">
      <c r="A81" s="120" t="n">
        <f aca="false">EDATE(A80,1)</f>
        <v>39448</v>
      </c>
      <c r="B81" s="121" t="e">
        <f aca="false">VLOOKUP(A81,'Inputs-Summary'!$A$32:$E$41,3,FALSE())</f>
        <v>#N/A</v>
      </c>
      <c r="C81" s="122"/>
      <c r="D81" s="123" t="e">
        <f aca="false">B81+C81</f>
        <v>#N/A</v>
      </c>
      <c r="E81" s="111" t="n">
        <f aca="false">IF(Z81=0,0,IF(AND(Z81=1,$H$3=1),D81*U81,IF($H$3=2,D81,"N/A")))</f>
        <v>0</v>
      </c>
      <c r="F81" s="111" t="n">
        <f aca="false">E81*Y81</f>
        <v>0</v>
      </c>
      <c r="G81" s="124" t="n">
        <f aca="false">VLOOKUP($A81,Table,MATCH(G$4,Curves,0))</f>
        <v>3</v>
      </c>
      <c r="H81" s="125" t="n">
        <f aca="false">G81+$H$7</f>
        <v>3</v>
      </c>
      <c r="I81" s="124" t="n">
        <f aca="false">H81</f>
        <v>3</v>
      </c>
      <c r="J81" s="124" t="n">
        <f aca="false">VLOOKUP($A81,Table,MATCH(J$4,Curves,0))</f>
        <v>4</v>
      </c>
      <c r="K81" s="125" t="n">
        <f aca="false">J81+$K$7</f>
        <v>4</v>
      </c>
      <c r="L81" s="126" t="n">
        <f aca="false">K81</f>
        <v>4</v>
      </c>
      <c r="M81" s="124" t="n">
        <f aca="false">VLOOKUP($A81,Table,MATCH(M$4,Curves,0))</f>
        <v>4</v>
      </c>
      <c r="N81" s="125" t="n">
        <f aca="false">M81+$N$7</f>
        <v>4</v>
      </c>
      <c r="O81" s="126" t="n">
        <v>0.12</v>
      </c>
      <c r="P81" s="114"/>
      <c r="Q81" s="126" t="n">
        <f aca="false">M81+J81+G81</f>
        <v>11</v>
      </c>
      <c r="R81" s="126" t="n">
        <f aca="false">N81+K81+H81</f>
        <v>11</v>
      </c>
      <c r="S81" s="126" t="n">
        <f aca="false">O81+L81+I81</f>
        <v>7.12</v>
      </c>
      <c r="T81" s="127"/>
      <c r="U81" s="5" t="n">
        <f aca="false">A82-A81</f>
        <v>31</v>
      </c>
      <c r="V81" s="128" t="n">
        <f aca="false">CHOOSE(F$3,A82+24,A81)</f>
        <v>39448</v>
      </c>
      <c r="W81" s="5" t="n">
        <f aca="false">V81-C$3</f>
        <v>2217</v>
      </c>
      <c r="X81" s="124" t="n">
        <f aca="false">VLOOKUP($A81,Table,MATCH(X$4,Curves,0))</f>
        <v>2</v>
      </c>
      <c r="Y81" s="129" t="n">
        <f aca="false">1/(1+CHOOSE(F$3,(X82+($K$3/10000))/2,(X81+($K$3/10000))/2))^(2*W81/365.25)</f>
        <v>0.000221619063987277</v>
      </c>
      <c r="Z81" s="5" t="n">
        <f aca="false">IF(AND(mthbeg&lt;=A81,mthend&gt;=A81),1,0)</f>
        <v>0</v>
      </c>
      <c r="AA81" s="5" t="n">
        <f aca="false">U81*Z81</f>
        <v>0</v>
      </c>
      <c r="AC81" s="115" t="n">
        <f aca="false">IF(G74=2,F81*(S81-Q81),F81*(Q81-S81))</f>
        <v>0</v>
      </c>
      <c r="AE81" s="116" t="n">
        <f aca="false">IF($G$3=1,F81*(R81-Q81),F81*(Q81-R81))</f>
        <v>0</v>
      </c>
      <c r="AG81" s="116" t="n">
        <f aca="false">AC81+AE81</f>
        <v>0</v>
      </c>
    </row>
    <row r="82" customFormat="false" ht="12.75" hidden="false" customHeight="false" outlineLevel="0" collapsed="false">
      <c r="A82" s="120" t="n">
        <f aca="false">EDATE(A81,1)</f>
        <v>39479</v>
      </c>
      <c r="B82" s="121" t="e">
        <f aca="false">VLOOKUP(A82,'Inputs-Summary'!$A$32:$E$41,3,FALSE())</f>
        <v>#N/A</v>
      </c>
      <c r="C82" s="122"/>
      <c r="D82" s="123" t="e">
        <f aca="false">B82+C82</f>
        <v>#N/A</v>
      </c>
      <c r="E82" s="111" t="n">
        <f aca="false">IF(Z82=0,0,IF(AND(Z82=1,$H$3=1),D82*U82,IF($H$3=2,D82,"N/A")))</f>
        <v>0</v>
      </c>
      <c r="F82" s="111" t="n">
        <f aca="false">E82*Y82</f>
        <v>0</v>
      </c>
      <c r="G82" s="124" t="n">
        <f aca="false">VLOOKUP($A82,Table,MATCH(G$4,Curves,0))</f>
        <v>3</v>
      </c>
      <c r="H82" s="125" t="n">
        <f aca="false">G82+$H$7</f>
        <v>3</v>
      </c>
      <c r="I82" s="124" t="n">
        <f aca="false">H82</f>
        <v>3</v>
      </c>
      <c r="J82" s="124" t="n">
        <f aca="false">VLOOKUP($A82,Table,MATCH(J$4,Curves,0))</f>
        <v>4</v>
      </c>
      <c r="K82" s="125" t="n">
        <f aca="false">J82+$K$7</f>
        <v>4</v>
      </c>
      <c r="L82" s="126" t="n">
        <f aca="false">K82</f>
        <v>4</v>
      </c>
      <c r="M82" s="124" t="n">
        <f aca="false">VLOOKUP($A82,Table,MATCH(M$4,Curves,0))</f>
        <v>4</v>
      </c>
      <c r="N82" s="125" t="n">
        <f aca="false">M82+$N$7</f>
        <v>4</v>
      </c>
      <c r="O82" s="126" t="n">
        <v>0.12</v>
      </c>
      <c r="P82" s="114"/>
      <c r="Q82" s="126" t="n">
        <f aca="false">M82+J82+G82</f>
        <v>11</v>
      </c>
      <c r="R82" s="126" t="n">
        <f aca="false">N82+K82+H82</f>
        <v>11</v>
      </c>
      <c r="S82" s="126" t="n">
        <f aca="false">O82+L82+I82</f>
        <v>7.12</v>
      </c>
      <c r="T82" s="127"/>
      <c r="U82" s="5" t="n">
        <f aca="false">A83-A82</f>
        <v>29</v>
      </c>
      <c r="V82" s="128" t="n">
        <f aca="false">CHOOSE(F$3,A83+24,A82)</f>
        <v>39479</v>
      </c>
      <c r="W82" s="5" t="n">
        <f aca="false">V82-C$3</f>
        <v>2248</v>
      </c>
      <c r="X82" s="124" t="n">
        <f aca="false">VLOOKUP($A82,Table,MATCH(X$4,Curves,0))</f>
        <v>2</v>
      </c>
      <c r="Y82" s="129" t="n">
        <f aca="false">1/(1+CHOOSE(F$3,(X83+($K$3/10000))/2,(X82+($K$3/10000))/2))^(2*W82/365.25)</f>
        <v>0.000197019064793067</v>
      </c>
      <c r="Z82" s="5" t="n">
        <f aca="false">IF(AND(mthbeg&lt;=A82,mthend&gt;=A82),1,0)</f>
        <v>0</v>
      </c>
      <c r="AA82" s="5" t="n">
        <f aca="false">U82*Z82</f>
        <v>0</v>
      </c>
      <c r="AC82" s="115" t="n">
        <f aca="false">IF(G75=2,F82*(S82-Q82),F82*(Q82-S82))</f>
        <v>0</v>
      </c>
      <c r="AE82" s="116" t="n">
        <f aca="false">IF($G$3=1,F82*(R82-Q82),F82*(Q82-R82))</f>
        <v>0</v>
      </c>
      <c r="AG82" s="116" t="n">
        <f aca="false">AC82+AE82</f>
        <v>0</v>
      </c>
    </row>
    <row r="83" customFormat="false" ht="12.75" hidden="false" customHeight="false" outlineLevel="0" collapsed="false">
      <c r="A83" s="120" t="n">
        <f aca="false">EDATE(A82,1)</f>
        <v>39508</v>
      </c>
      <c r="B83" s="121" t="e">
        <f aca="false">VLOOKUP(A83,'Inputs-Summary'!$A$32:$E$41,3,FALSE())</f>
        <v>#N/A</v>
      </c>
      <c r="C83" s="122"/>
      <c r="D83" s="123" t="e">
        <f aca="false">B83+C83</f>
        <v>#N/A</v>
      </c>
      <c r="E83" s="111" t="n">
        <f aca="false">IF(Z83=0,0,IF(AND(Z83=1,$H$3=1),D83*U83,IF($H$3=2,D83,"N/A")))</f>
        <v>0</v>
      </c>
      <c r="F83" s="111" t="n">
        <f aca="false">E83*Y83</f>
        <v>0</v>
      </c>
      <c r="G83" s="124" t="n">
        <f aca="false">VLOOKUP($A83,Table,MATCH(G$4,Curves,0))</f>
        <v>3</v>
      </c>
      <c r="H83" s="125" t="n">
        <f aca="false">G83+$H$7</f>
        <v>3</v>
      </c>
      <c r="I83" s="124" t="n">
        <f aca="false">H83</f>
        <v>3</v>
      </c>
      <c r="J83" s="124" t="n">
        <f aca="false">VLOOKUP($A83,Table,MATCH(J$4,Curves,0))</f>
        <v>4</v>
      </c>
      <c r="K83" s="125" t="n">
        <f aca="false">J83+$K$7</f>
        <v>4</v>
      </c>
      <c r="L83" s="126" t="n">
        <f aca="false">K83</f>
        <v>4</v>
      </c>
      <c r="M83" s="124" t="n">
        <f aca="false">VLOOKUP($A83,Table,MATCH(M$4,Curves,0))</f>
        <v>4</v>
      </c>
      <c r="N83" s="125" t="n">
        <f aca="false">M83+$N$7</f>
        <v>4</v>
      </c>
      <c r="O83" s="126" t="n">
        <v>0.12</v>
      </c>
      <c r="P83" s="114"/>
      <c r="Q83" s="126" t="n">
        <f aca="false">M83+J83+G83</f>
        <v>11</v>
      </c>
      <c r="R83" s="126" t="n">
        <f aca="false">N83+K83+H83</f>
        <v>11</v>
      </c>
      <c r="S83" s="126" t="n">
        <f aca="false">O83+L83+I83</f>
        <v>7.12</v>
      </c>
      <c r="T83" s="127"/>
      <c r="U83" s="5" t="n">
        <f aca="false">A84-A83</f>
        <v>31</v>
      </c>
      <c r="V83" s="128" t="n">
        <f aca="false">CHOOSE(F$3,A84+24,A83)</f>
        <v>39508</v>
      </c>
      <c r="W83" s="5" t="n">
        <f aca="false">V83-C$3</f>
        <v>2277</v>
      </c>
      <c r="X83" s="124" t="n">
        <f aca="false">VLOOKUP($A83,Table,MATCH(X$4,Curves,0))</f>
        <v>2</v>
      </c>
      <c r="Y83" s="129" t="n">
        <f aca="false">1/(1+CHOOSE(F$3,(X84+($K$3/10000))/2,(X83+($K$3/10000))/2))^(2*W83/365.25)</f>
        <v>0.000176484305815765</v>
      </c>
      <c r="Z83" s="5" t="n">
        <f aca="false">IF(AND(mthbeg&lt;=A83,mthend&gt;=A83),1,0)</f>
        <v>0</v>
      </c>
      <c r="AA83" s="5" t="n">
        <f aca="false">U83*Z83</f>
        <v>0</v>
      </c>
      <c r="AC83" s="115" t="n">
        <f aca="false">IF(G76=2,F83*(S83-Q83),F83*(Q83-S83))</f>
        <v>0</v>
      </c>
      <c r="AE83" s="116" t="n">
        <f aca="false">IF($G$3=1,F83*(R83-Q83),F83*(Q83-R83))</f>
        <v>0</v>
      </c>
      <c r="AG83" s="116" t="n">
        <f aca="false">AC83+AE83</f>
        <v>0</v>
      </c>
    </row>
    <row r="84" customFormat="false" ht="12.75" hidden="false" customHeight="false" outlineLevel="0" collapsed="false">
      <c r="A84" s="120" t="n">
        <f aca="false">EDATE(A83,1)</f>
        <v>39539</v>
      </c>
      <c r="B84" s="121" t="e">
        <f aca="false">VLOOKUP(A84,'Inputs-Summary'!$A$32:$E$41,3,FALSE())</f>
        <v>#N/A</v>
      </c>
      <c r="C84" s="122"/>
      <c r="D84" s="123" t="e">
        <f aca="false">B84+C84</f>
        <v>#N/A</v>
      </c>
      <c r="E84" s="111" t="n">
        <f aca="false">IF(Z84=0,0,IF(AND(Z84=1,$H$3=1),D84*U84,IF($H$3=2,D84,"N/A")))</f>
        <v>0</v>
      </c>
      <c r="F84" s="111" t="n">
        <f aca="false">E84*Y84</f>
        <v>0</v>
      </c>
      <c r="G84" s="124" t="n">
        <f aca="false">VLOOKUP($A84,Table,MATCH(G$4,Curves,0))</f>
        <v>3</v>
      </c>
      <c r="H84" s="125" t="n">
        <f aca="false">G84+$H$7</f>
        <v>3</v>
      </c>
      <c r="I84" s="124" t="n">
        <f aca="false">H84</f>
        <v>3</v>
      </c>
      <c r="J84" s="124" t="n">
        <f aca="false">VLOOKUP($A84,Table,MATCH(J$4,Curves,0))</f>
        <v>4</v>
      </c>
      <c r="K84" s="125" t="n">
        <f aca="false">J84+$K$7</f>
        <v>4</v>
      </c>
      <c r="L84" s="126" t="n">
        <f aca="false">K84</f>
        <v>4</v>
      </c>
      <c r="M84" s="124" t="n">
        <f aca="false">VLOOKUP($A84,Table,MATCH(M$4,Curves,0))</f>
        <v>4</v>
      </c>
      <c r="N84" s="125" t="n">
        <f aca="false">M84+$N$7</f>
        <v>4</v>
      </c>
      <c r="O84" s="126" t="n">
        <v>0.12</v>
      </c>
      <c r="P84" s="114"/>
      <c r="Q84" s="126" t="n">
        <f aca="false">M84+J84+G84</f>
        <v>11</v>
      </c>
      <c r="R84" s="126" t="n">
        <f aca="false">N84+K84+H84</f>
        <v>11</v>
      </c>
      <c r="S84" s="126" t="n">
        <f aca="false">O84+L84+I84</f>
        <v>7.12</v>
      </c>
      <c r="T84" s="127"/>
      <c r="U84" s="5" t="n">
        <f aca="false">A85-A84</f>
        <v>30</v>
      </c>
      <c r="V84" s="128" t="n">
        <f aca="false">CHOOSE(F$3,A85+24,A84)</f>
        <v>39539</v>
      </c>
      <c r="W84" s="5" t="n">
        <f aca="false">V84-C$3</f>
        <v>2308</v>
      </c>
      <c r="X84" s="124" t="n">
        <f aca="false">VLOOKUP($A84,Table,MATCH(X$4,Curves,0))</f>
        <v>2</v>
      </c>
      <c r="Y84" s="129" t="n">
        <f aca="false">1/(1+CHOOSE(F$3,(X85+($K$3/10000))/2,(X84+($K$3/10000))/2))^(2*W84/365.25)</f>
        <v>0.000156894322432802</v>
      </c>
      <c r="Z84" s="5" t="n">
        <f aca="false">IF(AND(mthbeg&lt;=A84,mthend&gt;=A84),1,0)</f>
        <v>0</v>
      </c>
      <c r="AA84" s="5" t="n">
        <f aca="false">U84*Z84</f>
        <v>0</v>
      </c>
      <c r="AC84" s="115" t="n">
        <f aca="false">IF(G77=2,F84*(S84-Q84),F84*(Q84-S84))</f>
        <v>0</v>
      </c>
      <c r="AE84" s="116" t="n">
        <f aca="false">IF($G$3=1,F84*(R84-Q84),F84*(Q84-R84))</f>
        <v>0</v>
      </c>
      <c r="AG84" s="116" t="n">
        <f aca="false">AC84+AE84</f>
        <v>0</v>
      </c>
    </row>
    <row r="85" customFormat="false" ht="12.75" hidden="false" customHeight="false" outlineLevel="0" collapsed="false">
      <c r="A85" s="120" t="n">
        <f aca="false">EDATE(A84,1)</f>
        <v>39569</v>
      </c>
      <c r="B85" s="121" t="e">
        <f aca="false">VLOOKUP(A85,'Inputs-Summary'!$A$32:$E$41,3,FALSE())</f>
        <v>#N/A</v>
      </c>
      <c r="C85" s="122"/>
      <c r="D85" s="123" t="e">
        <f aca="false">B85+C85</f>
        <v>#N/A</v>
      </c>
      <c r="E85" s="111" t="n">
        <f aca="false">IF(Z85=0,0,IF(AND(Z85=1,$H$3=1),D85*U85,IF($H$3=2,D85,"N/A")))</f>
        <v>0</v>
      </c>
      <c r="F85" s="111" t="n">
        <f aca="false">E85*Y85</f>
        <v>0</v>
      </c>
      <c r="G85" s="124" t="n">
        <f aca="false">VLOOKUP($A85,Table,MATCH(G$4,Curves,0))</f>
        <v>3</v>
      </c>
      <c r="H85" s="125" t="n">
        <f aca="false">G85+$H$7</f>
        <v>3</v>
      </c>
      <c r="I85" s="124" t="n">
        <f aca="false">H85</f>
        <v>3</v>
      </c>
      <c r="J85" s="124" t="n">
        <f aca="false">VLOOKUP($A85,Table,MATCH(J$4,Curves,0))</f>
        <v>4</v>
      </c>
      <c r="K85" s="125" t="n">
        <f aca="false">J85+$K$7</f>
        <v>4</v>
      </c>
      <c r="L85" s="126" t="n">
        <f aca="false">K85</f>
        <v>4</v>
      </c>
      <c r="M85" s="124" t="n">
        <f aca="false">VLOOKUP($A85,Table,MATCH(M$4,Curves,0))</f>
        <v>4</v>
      </c>
      <c r="N85" s="125" t="n">
        <f aca="false">M85+$N$7</f>
        <v>4</v>
      </c>
      <c r="O85" s="126" t="n">
        <v>0.12</v>
      </c>
      <c r="P85" s="114"/>
      <c r="Q85" s="126" t="n">
        <f aca="false">M85+J85+G85</f>
        <v>11</v>
      </c>
      <c r="R85" s="126" t="n">
        <f aca="false">N85+K85+H85</f>
        <v>11</v>
      </c>
      <c r="S85" s="126" t="n">
        <f aca="false">O85+L85+I85</f>
        <v>7.12</v>
      </c>
      <c r="T85" s="127"/>
      <c r="U85" s="5" t="n">
        <f aca="false">A86-A85</f>
        <v>31</v>
      </c>
      <c r="V85" s="128" t="n">
        <f aca="false">CHOOSE(F$3,A86+24,A85)</f>
        <v>39569</v>
      </c>
      <c r="W85" s="5" t="n">
        <f aca="false">V85-C$3</f>
        <v>2338</v>
      </c>
      <c r="X85" s="124" t="n">
        <f aca="false">VLOOKUP($A85,Table,MATCH(X$4,Curves,0))</f>
        <v>2</v>
      </c>
      <c r="Y85" s="129" t="n">
        <f aca="false">1/(1+CHOOSE(F$3,(X86+($K$3/10000))/2,(X85+($K$3/10000))/2))^(2*W85/365.25)</f>
        <v>0.000140009245533509</v>
      </c>
      <c r="Z85" s="5" t="n">
        <f aca="false">IF(AND(mthbeg&lt;=A85,mthend&gt;=A85),1,0)</f>
        <v>0</v>
      </c>
      <c r="AA85" s="5" t="n">
        <f aca="false">U85*Z85</f>
        <v>0</v>
      </c>
      <c r="AC85" s="115" t="n">
        <f aca="false">IF(G78=2,F85*(S85-Q85),F85*(Q85-S85))</f>
        <v>0</v>
      </c>
      <c r="AE85" s="116" t="n">
        <f aca="false">IF($G$3=1,F85*(R85-Q85),F85*(Q85-R85))</f>
        <v>0</v>
      </c>
      <c r="AG85" s="116" t="n">
        <f aca="false">AC85+AE85</f>
        <v>0</v>
      </c>
    </row>
    <row r="86" customFormat="false" ht="12.75" hidden="false" customHeight="false" outlineLevel="0" collapsed="false">
      <c r="A86" s="120" t="n">
        <f aca="false">EDATE(A85,1)</f>
        <v>39600</v>
      </c>
      <c r="B86" s="121" t="e">
        <f aca="false">VLOOKUP(A86,'Inputs-Summary'!$A$32:$E$41,3,FALSE())</f>
        <v>#N/A</v>
      </c>
      <c r="C86" s="122"/>
      <c r="D86" s="123" t="e">
        <f aca="false">B86+C86</f>
        <v>#N/A</v>
      </c>
      <c r="E86" s="111" t="n">
        <f aca="false">IF(Z86=0,0,IF(AND(Z86=1,$H$3=1),D86*U86,IF($H$3=2,D86,"N/A")))</f>
        <v>0</v>
      </c>
      <c r="F86" s="111" t="n">
        <f aca="false">E86*Y86</f>
        <v>0</v>
      </c>
      <c r="G86" s="124" t="n">
        <f aca="false">VLOOKUP($A86,Table,MATCH(G$4,Curves,0))</f>
        <v>3</v>
      </c>
      <c r="H86" s="125" t="n">
        <f aca="false">G86+$H$7</f>
        <v>3</v>
      </c>
      <c r="I86" s="124" t="n">
        <f aca="false">H86</f>
        <v>3</v>
      </c>
      <c r="J86" s="124" t="n">
        <f aca="false">VLOOKUP($A86,Table,MATCH(J$4,Curves,0))</f>
        <v>4</v>
      </c>
      <c r="K86" s="125" t="n">
        <f aca="false">J86+$K$7</f>
        <v>4</v>
      </c>
      <c r="L86" s="126" t="n">
        <f aca="false">K86</f>
        <v>4</v>
      </c>
      <c r="M86" s="124" t="n">
        <f aca="false">VLOOKUP($A86,Table,MATCH(M$4,Curves,0))</f>
        <v>4</v>
      </c>
      <c r="N86" s="125" t="n">
        <f aca="false">M86+$N$7</f>
        <v>4</v>
      </c>
      <c r="O86" s="126" t="n">
        <v>0.12</v>
      </c>
      <c r="P86" s="114"/>
      <c r="Q86" s="126" t="n">
        <f aca="false">M86+J86+G86</f>
        <v>11</v>
      </c>
      <c r="R86" s="126" t="n">
        <f aca="false">N86+K86+H86</f>
        <v>11</v>
      </c>
      <c r="S86" s="126" t="n">
        <f aca="false">O86+L86+I86</f>
        <v>7.12</v>
      </c>
      <c r="T86" s="127"/>
      <c r="U86" s="5" t="n">
        <f aca="false">A87-A86</f>
        <v>30</v>
      </c>
      <c r="V86" s="128" t="n">
        <f aca="false">CHOOSE(F$3,A87+24,A86)</f>
        <v>39600</v>
      </c>
      <c r="W86" s="5" t="n">
        <f aca="false">V86-C$3</f>
        <v>2369</v>
      </c>
      <c r="X86" s="124" t="n">
        <f aca="false">VLOOKUP($A86,Table,MATCH(X$4,Curves,0))</f>
        <v>2</v>
      </c>
      <c r="Y86" s="129" t="n">
        <f aca="false">1/(1+CHOOSE(F$3,(X87+($K$3/10000))/2,(X86+($K$3/10000))/2))^(2*W86/365.25)</f>
        <v>0.000124468040434367</v>
      </c>
      <c r="Z86" s="5" t="n">
        <f aca="false">IF(AND(mthbeg&lt;=A86,mthend&gt;=A86),1,0)</f>
        <v>0</v>
      </c>
      <c r="AA86" s="5" t="n">
        <f aca="false">U86*Z86</f>
        <v>0</v>
      </c>
      <c r="AC86" s="115" t="n">
        <f aca="false">IF(G79=2,F86*(S86-Q86),F86*(Q86-S86))</f>
        <v>0</v>
      </c>
      <c r="AE86" s="116" t="n">
        <f aca="false">IF($G$3=1,F86*(R86-Q86),F86*(Q86-R86))</f>
        <v>0</v>
      </c>
      <c r="AG86" s="116" t="n">
        <f aca="false">AC86+AE86</f>
        <v>0</v>
      </c>
    </row>
    <row r="87" customFormat="false" ht="12.75" hidden="false" customHeight="false" outlineLevel="0" collapsed="false">
      <c r="A87" s="120" t="n">
        <f aca="false">EDATE(A86,1)</f>
        <v>39630</v>
      </c>
      <c r="B87" s="121" t="e">
        <f aca="false">VLOOKUP(A87,'Inputs-Summary'!$A$32:$E$41,3,FALSE())</f>
        <v>#N/A</v>
      </c>
      <c r="C87" s="122"/>
      <c r="D87" s="123" t="e">
        <f aca="false">B87+C87</f>
        <v>#N/A</v>
      </c>
      <c r="E87" s="111" t="n">
        <f aca="false">IF(Z87=0,0,IF(AND(Z87=1,$H$3=1),D87*U87,IF($H$3=2,D87,"N/A")))</f>
        <v>0</v>
      </c>
      <c r="F87" s="111" t="n">
        <f aca="false">E87*Y87</f>
        <v>0</v>
      </c>
      <c r="G87" s="124" t="n">
        <f aca="false">VLOOKUP($A87,Table,MATCH(G$4,Curves,0))</f>
        <v>3</v>
      </c>
      <c r="H87" s="125" t="n">
        <f aca="false">G87+$H$7</f>
        <v>3</v>
      </c>
      <c r="I87" s="124" t="n">
        <f aca="false">H87</f>
        <v>3</v>
      </c>
      <c r="J87" s="124" t="n">
        <f aca="false">VLOOKUP($A87,Table,MATCH(J$4,Curves,0))</f>
        <v>4</v>
      </c>
      <c r="K87" s="125" t="n">
        <f aca="false">J87+$K$7</f>
        <v>4</v>
      </c>
      <c r="L87" s="126" t="n">
        <f aca="false">K87</f>
        <v>4</v>
      </c>
      <c r="M87" s="124" t="n">
        <f aca="false">VLOOKUP($A87,Table,MATCH(M$4,Curves,0))</f>
        <v>4</v>
      </c>
      <c r="N87" s="125" t="n">
        <f aca="false">M87+$N$7</f>
        <v>4</v>
      </c>
      <c r="O87" s="126" t="n">
        <v>0.12</v>
      </c>
      <c r="P87" s="114"/>
      <c r="Q87" s="126" t="n">
        <f aca="false">M87+J87+G87</f>
        <v>11</v>
      </c>
      <c r="R87" s="126" t="n">
        <f aca="false">N87+K87+H87</f>
        <v>11</v>
      </c>
      <c r="S87" s="126" t="n">
        <f aca="false">O87+L87+I87</f>
        <v>7.12</v>
      </c>
      <c r="T87" s="127"/>
      <c r="U87" s="5" t="n">
        <f aca="false">A88-A87</f>
        <v>31</v>
      </c>
      <c r="V87" s="128" t="n">
        <f aca="false">CHOOSE(F$3,A88+24,A87)</f>
        <v>39630</v>
      </c>
      <c r="W87" s="5" t="n">
        <f aca="false">V87-C$3</f>
        <v>2399</v>
      </c>
      <c r="X87" s="124" t="n">
        <f aca="false">VLOOKUP($A87,Table,MATCH(X$4,Curves,0))</f>
        <v>2</v>
      </c>
      <c r="Y87" s="129" t="n">
        <f aca="false">1/(1+CHOOSE(F$3,(X88+($K$3/10000))/2,(X87+($K$3/10000))/2))^(2*W87/365.25)</f>
        <v>0.000111072702721374</v>
      </c>
      <c r="Z87" s="5" t="n">
        <f aca="false">IF(AND(mthbeg&lt;=A87,mthend&gt;=A87),1,0)</f>
        <v>0</v>
      </c>
      <c r="AA87" s="5" t="n">
        <f aca="false">U87*Z87</f>
        <v>0</v>
      </c>
      <c r="AC87" s="115" t="n">
        <f aca="false">IF(G80=2,F87*(S87-Q87),F87*(Q87-S87))</f>
        <v>0</v>
      </c>
      <c r="AE87" s="116" t="n">
        <f aca="false">IF($G$3=1,F87*(R87-Q87),F87*(Q87-R87))</f>
        <v>0</v>
      </c>
      <c r="AG87" s="116" t="n">
        <f aca="false">AC87+AE87</f>
        <v>0</v>
      </c>
    </row>
    <row r="88" customFormat="false" ht="12.75" hidden="false" customHeight="false" outlineLevel="0" collapsed="false">
      <c r="A88" s="120" t="n">
        <f aca="false">EDATE(A87,1)</f>
        <v>39661</v>
      </c>
      <c r="B88" s="121" t="e">
        <f aca="false">VLOOKUP(A88,'Inputs-Summary'!$A$32:$E$41,3,FALSE())</f>
        <v>#N/A</v>
      </c>
      <c r="C88" s="122"/>
      <c r="D88" s="123" t="e">
        <f aca="false">B88+C88</f>
        <v>#N/A</v>
      </c>
      <c r="E88" s="111" t="n">
        <f aca="false">IF(Z88=0,0,IF(AND(Z88=1,$H$3=1),D88*U88,IF($H$3=2,D88,"N/A")))</f>
        <v>0</v>
      </c>
      <c r="F88" s="111" t="n">
        <f aca="false">E88*Y88</f>
        <v>0</v>
      </c>
      <c r="G88" s="124" t="n">
        <f aca="false">VLOOKUP($A88,Table,MATCH(G$4,Curves,0))</f>
        <v>3</v>
      </c>
      <c r="H88" s="125" t="n">
        <f aca="false">G88+$H$7</f>
        <v>3</v>
      </c>
      <c r="I88" s="124" t="n">
        <f aca="false">H88</f>
        <v>3</v>
      </c>
      <c r="J88" s="124" t="n">
        <f aca="false">VLOOKUP($A88,Table,MATCH(J$4,Curves,0))</f>
        <v>4</v>
      </c>
      <c r="K88" s="125" t="n">
        <f aca="false">J88+$K$7</f>
        <v>4</v>
      </c>
      <c r="L88" s="126" t="n">
        <f aca="false">K88</f>
        <v>4</v>
      </c>
      <c r="M88" s="124" t="n">
        <f aca="false">VLOOKUP($A88,Table,MATCH(M$4,Curves,0))</f>
        <v>4</v>
      </c>
      <c r="N88" s="125" t="n">
        <f aca="false">M88+$N$7</f>
        <v>4</v>
      </c>
      <c r="O88" s="126" t="n">
        <v>0.12</v>
      </c>
      <c r="P88" s="114"/>
      <c r="Q88" s="126" t="n">
        <f aca="false">M88+J88+G88</f>
        <v>11</v>
      </c>
      <c r="R88" s="126" t="n">
        <f aca="false">N88+K88+H88</f>
        <v>11</v>
      </c>
      <c r="S88" s="126" t="n">
        <f aca="false">O88+L88+I88</f>
        <v>7.12</v>
      </c>
      <c r="T88" s="127"/>
      <c r="U88" s="5" t="n">
        <f aca="false">A89-A88</f>
        <v>31</v>
      </c>
      <c r="V88" s="128" t="n">
        <f aca="false">CHOOSE(F$3,A89+24,A88)</f>
        <v>39661</v>
      </c>
      <c r="W88" s="5" t="n">
        <f aca="false">V88-C$3</f>
        <v>2430</v>
      </c>
      <c r="X88" s="124" t="n">
        <f aca="false">VLOOKUP($A88,Table,MATCH(X$4,Curves,0))</f>
        <v>2</v>
      </c>
      <c r="Y88" s="129" t="n">
        <f aca="false">1/(1+CHOOSE(F$3,(X89+($K$3/10000))/2,(X88+($K$3/10000))/2))^(2*W88/365.25)</f>
        <v>9.8743490837322E-005</v>
      </c>
      <c r="Z88" s="5" t="n">
        <f aca="false">IF(AND(mthbeg&lt;=A88,mthend&gt;=A88),1,0)</f>
        <v>0</v>
      </c>
      <c r="AA88" s="5" t="n">
        <f aca="false">U88*Z88</f>
        <v>0</v>
      </c>
      <c r="AC88" s="115" t="n">
        <f aca="false">IF(G81=2,F88*(S88-Q88),F88*(Q88-S88))</f>
        <v>0</v>
      </c>
      <c r="AE88" s="116" t="n">
        <f aca="false">IF($G$3=1,F88*(R88-Q88),F88*(Q88-R88))</f>
        <v>0</v>
      </c>
      <c r="AG88" s="116" t="n">
        <f aca="false">AC88+AE88</f>
        <v>0</v>
      </c>
    </row>
    <row r="89" customFormat="false" ht="12.75" hidden="false" customHeight="false" outlineLevel="0" collapsed="false">
      <c r="A89" s="120" t="n">
        <f aca="false">EDATE(A88,1)</f>
        <v>39692</v>
      </c>
      <c r="B89" s="121" t="e">
        <f aca="false">VLOOKUP(A89,'Inputs-Summary'!$A$32:$E$41,3,FALSE())</f>
        <v>#N/A</v>
      </c>
      <c r="C89" s="122"/>
      <c r="D89" s="123" t="e">
        <f aca="false">B89+C89</f>
        <v>#N/A</v>
      </c>
      <c r="E89" s="111" t="n">
        <f aca="false">IF(Z89=0,0,IF(AND(Z89=1,$H$3=1),D89*U89,IF($H$3=2,D89,"N/A")))</f>
        <v>0</v>
      </c>
      <c r="F89" s="111" t="n">
        <f aca="false">E89*Y89</f>
        <v>0</v>
      </c>
      <c r="G89" s="124" t="n">
        <f aca="false">VLOOKUP($A89,Table,MATCH(G$4,Curves,0))</f>
        <v>3</v>
      </c>
      <c r="H89" s="125" t="n">
        <f aca="false">G89+$H$7</f>
        <v>3</v>
      </c>
      <c r="I89" s="124" t="n">
        <f aca="false">H89</f>
        <v>3</v>
      </c>
      <c r="J89" s="124" t="n">
        <f aca="false">VLOOKUP($A89,Table,MATCH(J$4,Curves,0))</f>
        <v>4</v>
      </c>
      <c r="K89" s="125" t="n">
        <f aca="false">J89+$K$7</f>
        <v>4</v>
      </c>
      <c r="L89" s="126" t="n">
        <f aca="false">K89</f>
        <v>4</v>
      </c>
      <c r="M89" s="124" t="n">
        <f aca="false">VLOOKUP($A89,Table,MATCH(M$4,Curves,0))</f>
        <v>4</v>
      </c>
      <c r="N89" s="125" t="n">
        <f aca="false">M89+$N$7</f>
        <v>4</v>
      </c>
      <c r="O89" s="126" t="n">
        <v>0.12</v>
      </c>
      <c r="P89" s="114"/>
      <c r="Q89" s="126" t="n">
        <f aca="false">M89+J89+G89</f>
        <v>11</v>
      </c>
      <c r="R89" s="126" t="n">
        <f aca="false">N89+K89+H89</f>
        <v>11</v>
      </c>
      <c r="S89" s="126" t="n">
        <f aca="false">O89+L89+I89</f>
        <v>7.12</v>
      </c>
      <c r="T89" s="127"/>
      <c r="U89" s="5" t="n">
        <f aca="false">A90-A89</f>
        <v>30</v>
      </c>
      <c r="V89" s="128" t="n">
        <f aca="false">CHOOSE(F$3,A90+24,A89)</f>
        <v>39692</v>
      </c>
      <c r="W89" s="5" t="n">
        <f aca="false">V89-C$3</f>
        <v>2461</v>
      </c>
      <c r="X89" s="124" t="n">
        <f aca="false">VLOOKUP($A89,Table,MATCH(X$4,Curves,0))</f>
        <v>2</v>
      </c>
      <c r="Y89" s="129" t="n">
        <f aca="false">1/(1+CHOOSE(F$3,(X90+($K$3/10000))/2,(X89+($K$3/10000))/2))^(2*W89/365.25)</f>
        <v>8.77828372214803E-005</v>
      </c>
      <c r="Z89" s="5" t="n">
        <f aca="false">IF(AND(mthbeg&lt;=A89,mthend&gt;=A89),1,0)</f>
        <v>0</v>
      </c>
      <c r="AA89" s="5" t="n">
        <f aca="false">U89*Z89</f>
        <v>0</v>
      </c>
      <c r="AC89" s="115" t="n">
        <f aca="false">IF(G82=2,F89*(S89-Q89),F89*(Q89-S89))</f>
        <v>0</v>
      </c>
      <c r="AE89" s="116" t="n">
        <f aca="false">IF($G$3=1,F89*(R89-Q89),F89*(Q89-R89))</f>
        <v>0</v>
      </c>
      <c r="AG89" s="116" t="n">
        <f aca="false">AC89+AE89</f>
        <v>0</v>
      </c>
    </row>
    <row r="90" customFormat="false" ht="12.75" hidden="false" customHeight="false" outlineLevel="0" collapsed="false">
      <c r="A90" s="120" t="n">
        <f aca="false">EDATE(A89,1)</f>
        <v>39722</v>
      </c>
      <c r="B90" s="121" t="e">
        <f aca="false">VLOOKUP(A90,'Inputs-Summary'!$A$32:$E$41,3,FALSE())</f>
        <v>#N/A</v>
      </c>
      <c r="C90" s="122"/>
      <c r="D90" s="123" t="e">
        <f aca="false">B90+C90</f>
        <v>#N/A</v>
      </c>
      <c r="E90" s="111" t="n">
        <f aca="false">IF(Z90=0,0,IF(AND(Z90=1,$H$3=1),D90*U90,IF($H$3=2,D90,"N/A")))</f>
        <v>0</v>
      </c>
      <c r="F90" s="111" t="n">
        <f aca="false">E90*Y90</f>
        <v>0</v>
      </c>
      <c r="G90" s="124" t="n">
        <f aca="false">VLOOKUP($A90,Table,MATCH(G$4,Curves,0))</f>
        <v>3</v>
      </c>
      <c r="H90" s="125" t="n">
        <f aca="false">G90+$H$7</f>
        <v>3</v>
      </c>
      <c r="I90" s="124" t="n">
        <f aca="false">H90</f>
        <v>3</v>
      </c>
      <c r="J90" s="124" t="n">
        <f aca="false">VLOOKUP($A90,Table,MATCH(J$4,Curves,0))</f>
        <v>4</v>
      </c>
      <c r="K90" s="125" t="n">
        <f aca="false">J90+$K$7</f>
        <v>4</v>
      </c>
      <c r="L90" s="126" t="n">
        <f aca="false">K90</f>
        <v>4</v>
      </c>
      <c r="M90" s="124" t="n">
        <f aca="false">VLOOKUP($A90,Table,MATCH(M$4,Curves,0))</f>
        <v>4</v>
      </c>
      <c r="N90" s="125" t="n">
        <f aca="false">M90+$N$7</f>
        <v>4</v>
      </c>
      <c r="O90" s="126" t="n">
        <v>0.12</v>
      </c>
      <c r="P90" s="114"/>
      <c r="Q90" s="126" t="n">
        <f aca="false">M90+J90+G90</f>
        <v>11</v>
      </c>
      <c r="R90" s="126" t="n">
        <f aca="false">N90+K90+H90</f>
        <v>11</v>
      </c>
      <c r="S90" s="126" t="n">
        <f aca="false">O90+L90+I90</f>
        <v>7.12</v>
      </c>
      <c r="T90" s="127"/>
      <c r="U90" s="5" t="n">
        <f aca="false">A91-A90</f>
        <v>31</v>
      </c>
      <c r="V90" s="128" t="n">
        <f aca="false">CHOOSE(F$3,A91+24,A90)</f>
        <v>39722</v>
      </c>
      <c r="W90" s="5" t="n">
        <f aca="false">V90-C$3</f>
        <v>2491</v>
      </c>
      <c r="X90" s="124" t="n">
        <f aca="false">VLOOKUP($A90,Table,MATCH(X$4,Curves,0))</f>
        <v>2</v>
      </c>
      <c r="Y90" s="129" t="n">
        <f aca="false">1/(1+CHOOSE(F$3,(X91+($K$3/10000))/2,(X90+($K$3/10000))/2))^(2*W90/365.25)</f>
        <v>7.83355867796575E-005</v>
      </c>
      <c r="Z90" s="5" t="n">
        <f aca="false">IF(AND(mthbeg&lt;=A90,mthend&gt;=A90),1,0)</f>
        <v>0</v>
      </c>
      <c r="AA90" s="5" t="n">
        <f aca="false">U90*Z90</f>
        <v>0</v>
      </c>
      <c r="AC90" s="115" t="n">
        <f aca="false">IF(G83=2,F90*(S90-Q90),F90*(Q90-S90))</f>
        <v>0</v>
      </c>
      <c r="AE90" s="116" t="n">
        <f aca="false">IF($G$3=1,F90*(R90-Q90),F90*(Q90-R90))</f>
        <v>0</v>
      </c>
      <c r="AG90" s="116" t="n">
        <f aca="false">AC90+AE90</f>
        <v>0</v>
      </c>
    </row>
    <row r="91" customFormat="false" ht="12.75" hidden="false" customHeight="false" outlineLevel="0" collapsed="false">
      <c r="A91" s="120" t="n">
        <f aca="false">EDATE(A90,1)</f>
        <v>39753</v>
      </c>
      <c r="B91" s="121" t="e">
        <f aca="false">VLOOKUP(A91,'Inputs-Summary'!$A$32:$E$41,3,FALSE())</f>
        <v>#N/A</v>
      </c>
      <c r="C91" s="122"/>
      <c r="D91" s="123" t="e">
        <f aca="false">B91+C91</f>
        <v>#N/A</v>
      </c>
      <c r="E91" s="111" t="n">
        <f aca="false">IF(Z91=0,0,IF(AND(Z91=1,$H$3=1),D91*U91,IF($H$3=2,D91,"N/A")))</f>
        <v>0</v>
      </c>
      <c r="F91" s="111" t="n">
        <f aca="false">E91*Y91</f>
        <v>0</v>
      </c>
      <c r="G91" s="124" t="n">
        <f aca="false">VLOOKUP($A91,Table,MATCH(G$4,Curves,0))</f>
        <v>3</v>
      </c>
      <c r="H91" s="125" t="n">
        <f aca="false">G91+$H$7</f>
        <v>3</v>
      </c>
      <c r="I91" s="124" t="n">
        <f aca="false">H91</f>
        <v>3</v>
      </c>
      <c r="J91" s="124" t="n">
        <f aca="false">VLOOKUP($A91,Table,MATCH(J$4,Curves,0))</f>
        <v>4</v>
      </c>
      <c r="K91" s="125" t="n">
        <f aca="false">J91+$K$7</f>
        <v>4</v>
      </c>
      <c r="L91" s="126" t="n">
        <f aca="false">K91</f>
        <v>4</v>
      </c>
      <c r="M91" s="124" t="n">
        <f aca="false">VLOOKUP($A91,Table,MATCH(M$4,Curves,0))</f>
        <v>4</v>
      </c>
      <c r="N91" s="125" t="n">
        <f aca="false">M91+$N$7</f>
        <v>4</v>
      </c>
      <c r="O91" s="126" t="n">
        <v>0.12</v>
      </c>
      <c r="P91" s="114"/>
      <c r="Q91" s="126" t="n">
        <f aca="false">M91+J91+G91</f>
        <v>11</v>
      </c>
      <c r="R91" s="126" t="n">
        <f aca="false">N91+K91+H91</f>
        <v>11</v>
      </c>
      <c r="S91" s="126" t="n">
        <f aca="false">O91+L91+I91</f>
        <v>7.12</v>
      </c>
      <c r="T91" s="127"/>
      <c r="U91" s="5" t="n">
        <f aca="false">A92-A91</f>
        <v>30</v>
      </c>
      <c r="V91" s="128" t="n">
        <f aca="false">CHOOSE(F$3,A92+24,A91)</f>
        <v>39753</v>
      </c>
      <c r="W91" s="5" t="n">
        <f aca="false">V91-C$3</f>
        <v>2522</v>
      </c>
      <c r="X91" s="124" t="n">
        <f aca="false">VLOOKUP($A91,Table,MATCH(X$4,Curves,0))</f>
        <v>2</v>
      </c>
      <c r="Y91" s="129" t="n">
        <f aca="false">1/(1+CHOOSE(F$3,(X92+($K$3/10000))/2,(X91+($K$3/10000))/2))^(2*W91/365.25)</f>
        <v>6.96402365828525E-005</v>
      </c>
      <c r="Z91" s="5" t="n">
        <f aca="false">IF(AND(mthbeg&lt;=A91,mthend&gt;=A91),1,0)</f>
        <v>0</v>
      </c>
      <c r="AA91" s="5" t="n">
        <f aca="false">U91*Z91</f>
        <v>0</v>
      </c>
      <c r="AC91" s="115" t="n">
        <f aca="false">IF(G84=2,F91*(S91-Q91),F91*(Q91-S91))</f>
        <v>0</v>
      </c>
      <c r="AE91" s="116" t="n">
        <f aca="false">IF($G$3=1,F91*(R91-Q91),F91*(Q91-R91))</f>
        <v>0</v>
      </c>
      <c r="AG91" s="116" t="n">
        <f aca="false">AC91+AE91</f>
        <v>0</v>
      </c>
    </row>
    <row r="92" customFormat="false" ht="12.75" hidden="false" customHeight="false" outlineLevel="0" collapsed="false">
      <c r="A92" s="120" t="n">
        <f aca="false">EDATE(A91,1)</f>
        <v>39783</v>
      </c>
      <c r="B92" s="121" t="e">
        <f aca="false">VLOOKUP(A92,'Inputs-Summary'!$A$32:$E$41,3,FALSE())</f>
        <v>#N/A</v>
      </c>
      <c r="C92" s="122"/>
      <c r="D92" s="123" t="e">
        <f aca="false">B92+C92</f>
        <v>#N/A</v>
      </c>
      <c r="E92" s="111" t="n">
        <f aca="false">IF(Z92=0,0,IF(AND(Z92=1,$H$3=1),D92*U92,IF($H$3=2,D92,"N/A")))</f>
        <v>0</v>
      </c>
      <c r="F92" s="111" t="n">
        <f aca="false">E92*Y92</f>
        <v>0</v>
      </c>
      <c r="G92" s="124" t="n">
        <f aca="false">VLOOKUP($A92,Table,MATCH(G$4,Curves,0))</f>
        <v>3</v>
      </c>
      <c r="H92" s="125" t="n">
        <f aca="false">G92+$H$7</f>
        <v>3</v>
      </c>
      <c r="I92" s="124" t="n">
        <f aca="false">H92</f>
        <v>3</v>
      </c>
      <c r="J92" s="124" t="n">
        <f aca="false">VLOOKUP($A92,Table,MATCH(J$4,Curves,0))</f>
        <v>4</v>
      </c>
      <c r="K92" s="125" t="n">
        <f aca="false">J92+$K$7</f>
        <v>4</v>
      </c>
      <c r="L92" s="126" t="n">
        <f aca="false">K92</f>
        <v>4</v>
      </c>
      <c r="M92" s="124" t="n">
        <f aca="false">VLOOKUP($A92,Table,MATCH(M$4,Curves,0))</f>
        <v>4</v>
      </c>
      <c r="N92" s="125" t="n">
        <f aca="false">M92+$N$7</f>
        <v>4</v>
      </c>
      <c r="O92" s="126" t="n">
        <v>0.12</v>
      </c>
      <c r="P92" s="114"/>
      <c r="Q92" s="126" t="n">
        <f aca="false">M92+J92+G92</f>
        <v>11</v>
      </c>
      <c r="R92" s="126" t="n">
        <f aca="false">N92+K92+H92</f>
        <v>11</v>
      </c>
      <c r="S92" s="126" t="n">
        <f aca="false">O92+L92+I92</f>
        <v>7.12</v>
      </c>
      <c r="T92" s="127"/>
      <c r="U92" s="5" t="n">
        <f aca="false">A93-A92</f>
        <v>31</v>
      </c>
      <c r="V92" s="128" t="n">
        <f aca="false">CHOOSE(F$3,A93+24,A92)</f>
        <v>39783</v>
      </c>
      <c r="W92" s="5" t="n">
        <f aca="false">V92-C$3</f>
        <v>2552</v>
      </c>
      <c r="X92" s="124" t="n">
        <f aca="false">VLOOKUP($A92,Table,MATCH(X$4,Curves,0))</f>
        <v>2</v>
      </c>
      <c r="Y92" s="129" t="n">
        <f aca="false">1/(1+CHOOSE(F$3,(X93+($K$3/10000))/2,(X92+($K$3/10000))/2))^(2*W92/365.25)</f>
        <v>6.2145505532339E-005</v>
      </c>
      <c r="Z92" s="5" t="n">
        <f aca="false">IF(AND(mthbeg&lt;=A92,mthend&gt;=A92),1,0)</f>
        <v>0</v>
      </c>
      <c r="AA92" s="5" t="n">
        <f aca="false">U92*Z92</f>
        <v>0</v>
      </c>
      <c r="AC92" s="115" t="n">
        <f aca="false">IF(G85=2,F92*(S92-Q92),F92*(Q92-S92))</f>
        <v>0</v>
      </c>
      <c r="AE92" s="116" t="n">
        <f aca="false">IF($G$3=1,F92*(R92-Q92),F92*(Q92-R92))</f>
        <v>0</v>
      </c>
      <c r="AG92" s="116" t="n">
        <f aca="false">AC92+AE92</f>
        <v>0</v>
      </c>
    </row>
    <row r="93" customFormat="false" ht="12.75" hidden="false" customHeight="false" outlineLevel="0" collapsed="false">
      <c r="A93" s="120" t="n">
        <f aca="false">EDATE(A92,1)</f>
        <v>39814</v>
      </c>
      <c r="B93" s="121" t="e">
        <f aca="false">VLOOKUP(A93,'Inputs-Summary'!$A$32:$E$41,3,FALSE())</f>
        <v>#N/A</v>
      </c>
      <c r="C93" s="122"/>
      <c r="D93" s="123" t="e">
        <f aca="false">B93+C93</f>
        <v>#N/A</v>
      </c>
      <c r="E93" s="111" t="n">
        <f aca="false">IF(Z93=0,0,IF(AND(Z93=1,$H$3=1),D93*U93,IF($H$3=2,D93,"N/A")))</f>
        <v>0</v>
      </c>
      <c r="F93" s="111" t="n">
        <f aca="false">E93*Y93</f>
        <v>0</v>
      </c>
      <c r="G93" s="124" t="n">
        <f aca="false">VLOOKUP($A93,Table,MATCH(G$4,Curves,0))</f>
        <v>3</v>
      </c>
      <c r="H93" s="125" t="n">
        <f aca="false">G93+$H$7</f>
        <v>3</v>
      </c>
      <c r="I93" s="124" t="n">
        <f aca="false">H93</f>
        <v>3</v>
      </c>
      <c r="J93" s="124" t="n">
        <f aca="false">VLOOKUP($A93,Table,MATCH(J$4,Curves,0))</f>
        <v>4</v>
      </c>
      <c r="K93" s="125" t="n">
        <f aca="false">J93+$K$7</f>
        <v>4</v>
      </c>
      <c r="L93" s="126" t="n">
        <f aca="false">K93</f>
        <v>4</v>
      </c>
      <c r="M93" s="124" t="n">
        <f aca="false">VLOOKUP($A93,Table,MATCH(M$4,Curves,0))</f>
        <v>4</v>
      </c>
      <c r="N93" s="125" t="n">
        <f aca="false">M93+$N$7</f>
        <v>4</v>
      </c>
      <c r="O93" s="126" t="n">
        <v>0.12</v>
      </c>
      <c r="P93" s="114"/>
      <c r="Q93" s="126" t="n">
        <f aca="false">M93+J93+G93</f>
        <v>11</v>
      </c>
      <c r="R93" s="126" t="n">
        <f aca="false">N93+K93+H93</f>
        <v>11</v>
      </c>
      <c r="S93" s="126" t="n">
        <f aca="false">O93+L93+I93</f>
        <v>7.12</v>
      </c>
      <c r="T93" s="127"/>
      <c r="U93" s="5" t="n">
        <f aca="false">A94-A93</f>
        <v>31</v>
      </c>
      <c r="V93" s="128" t="n">
        <f aca="false">CHOOSE(F$3,A94+24,A93)</f>
        <v>39814</v>
      </c>
      <c r="W93" s="5" t="n">
        <f aca="false">V93-C$3</f>
        <v>2583</v>
      </c>
      <c r="X93" s="124" t="n">
        <f aca="false">VLOOKUP($A93,Table,MATCH(X$4,Curves,0))</f>
        <v>2</v>
      </c>
      <c r="Y93" s="129" t="n">
        <f aca="false">1/(1+CHOOSE(F$3,(X94+($K$3/10000))/2,(X93+($K$3/10000))/2))^(2*W93/365.25)</f>
        <v>5.52472750348622E-005</v>
      </c>
      <c r="Z93" s="5" t="n">
        <f aca="false">IF(AND(mthbeg&lt;=A93,mthend&gt;=A93),1,0)</f>
        <v>0</v>
      </c>
      <c r="AA93" s="5" t="n">
        <f aca="false">U93*Z93</f>
        <v>0</v>
      </c>
      <c r="AC93" s="115" t="n">
        <f aca="false">IF(G86=2,F93*(S93-Q93),F93*(Q93-S93))</f>
        <v>0</v>
      </c>
      <c r="AE93" s="116" t="n">
        <f aca="false">IF($G$3=1,F93*(R93-Q93),F93*(Q93-R93))</f>
        <v>0</v>
      </c>
      <c r="AG93" s="116" t="n">
        <f aca="false">AC93+AE93</f>
        <v>0</v>
      </c>
    </row>
    <row r="94" customFormat="false" ht="12.75" hidden="false" customHeight="false" outlineLevel="0" collapsed="false">
      <c r="A94" s="120" t="n">
        <f aca="false">EDATE(A93,1)</f>
        <v>39845</v>
      </c>
      <c r="B94" s="121" t="e">
        <f aca="false">VLOOKUP(A94,'Inputs-Summary'!$A$32:$E$41,3,FALSE())</f>
        <v>#N/A</v>
      </c>
      <c r="C94" s="122"/>
      <c r="D94" s="123" t="e">
        <f aca="false">B94+C94</f>
        <v>#N/A</v>
      </c>
      <c r="E94" s="111" t="n">
        <f aca="false">IF(Z94=0,0,IF(AND(Z94=1,$H$3=1),D94*U94,IF($H$3=2,D94,"N/A")))</f>
        <v>0</v>
      </c>
      <c r="F94" s="111" t="n">
        <f aca="false">E94*Y94</f>
        <v>0</v>
      </c>
      <c r="G94" s="124" t="n">
        <f aca="false">VLOOKUP($A94,Table,MATCH(G$4,Curves,0))</f>
        <v>3</v>
      </c>
      <c r="H94" s="125" t="n">
        <f aca="false">G94+$H$7</f>
        <v>3</v>
      </c>
      <c r="I94" s="124" t="n">
        <f aca="false">H94</f>
        <v>3</v>
      </c>
      <c r="J94" s="124" t="n">
        <f aca="false">VLOOKUP($A94,Table,MATCH(J$4,Curves,0))</f>
        <v>4</v>
      </c>
      <c r="K94" s="125" t="n">
        <f aca="false">J94+$K$7</f>
        <v>4</v>
      </c>
      <c r="L94" s="126" t="n">
        <f aca="false">K94</f>
        <v>4</v>
      </c>
      <c r="M94" s="124" t="n">
        <f aca="false">VLOOKUP($A94,Table,MATCH(M$4,Curves,0))</f>
        <v>4</v>
      </c>
      <c r="N94" s="125" t="n">
        <f aca="false">M94+$N$7</f>
        <v>4</v>
      </c>
      <c r="O94" s="126" t="n">
        <v>0.12</v>
      </c>
      <c r="P94" s="114"/>
      <c r="Q94" s="126" t="n">
        <f aca="false">M94+J94+G94</f>
        <v>11</v>
      </c>
      <c r="R94" s="126" t="n">
        <f aca="false">N94+K94+H94</f>
        <v>11</v>
      </c>
      <c r="S94" s="126" t="n">
        <f aca="false">O94+L94+I94</f>
        <v>7.12</v>
      </c>
      <c r="T94" s="127"/>
      <c r="U94" s="5" t="n">
        <f aca="false">A95-A94</f>
        <v>28</v>
      </c>
      <c r="V94" s="128" t="n">
        <f aca="false">CHOOSE(F$3,A95+24,A94)</f>
        <v>39845</v>
      </c>
      <c r="W94" s="5" t="n">
        <f aca="false">V94-C$3</f>
        <v>2614</v>
      </c>
      <c r="X94" s="124" t="n">
        <f aca="false">VLOOKUP($A94,Table,MATCH(X$4,Curves,0))</f>
        <v>2</v>
      </c>
      <c r="Y94" s="129" t="n">
        <f aca="false">1/(1+CHOOSE(F$3,(X95+($K$3/10000))/2,(X94+($K$3/10000))/2))^(2*W94/365.25)</f>
        <v>4.91147569342627E-005</v>
      </c>
      <c r="Z94" s="5" t="n">
        <f aca="false">IF(AND(mthbeg&lt;=A94,mthend&gt;=A94),1,0)</f>
        <v>0</v>
      </c>
      <c r="AA94" s="5" t="n">
        <f aca="false">U94*Z94</f>
        <v>0</v>
      </c>
      <c r="AC94" s="115" t="n">
        <f aca="false">IF(G87=2,F94*(S94-Q94),F94*(Q94-S94))</f>
        <v>0</v>
      </c>
      <c r="AE94" s="116" t="n">
        <f aca="false">IF($G$3=1,F94*(R94-Q94),F94*(Q94-R94))</f>
        <v>0</v>
      </c>
      <c r="AG94" s="116" t="n">
        <f aca="false">AC94+AE94</f>
        <v>0</v>
      </c>
    </row>
    <row r="95" customFormat="false" ht="12.75" hidden="false" customHeight="false" outlineLevel="0" collapsed="false">
      <c r="A95" s="120" t="n">
        <f aca="false">EDATE(A94,1)</f>
        <v>39873</v>
      </c>
      <c r="B95" s="121" t="e">
        <f aca="false">VLOOKUP(A95,'Inputs-Summary'!$A$32:$E$41,3,FALSE())</f>
        <v>#N/A</v>
      </c>
      <c r="C95" s="122"/>
      <c r="D95" s="123" t="e">
        <f aca="false">B95+C95</f>
        <v>#N/A</v>
      </c>
      <c r="E95" s="111" t="n">
        <f aca="false">IF(Z95=0,0,IF(AND(Z95=1,$H$3=1),D95*U95,IF($H$3=2,D95,"N/A")))</f>
        <v>0</v>
      </c>
      <c r="F95" s="111" t="n">
        <f aca="false">E95*Y95</f>
        <v>0</v>
      </c>
      <c r="G95" s="124" t="n">
        <f aca="false">VLOOKUP($A95,Table,MATCH(G$4,Curves,0))</f>
        <v>3</v>
      </c>
      <c r="H95" s="125" t="n">
        <f aca="false">G95+$H$7</f>
        <v>3</v>
      </c>
      <c r="I95" s="124" t="n">
        <f aca="false">H95</f>
        <v>3</v>
      </c>
      <c r="J95" s="124" t="n">
        <f aca="false">VLOOKUP($A95,Table,MATCH(J$4,Curves,0))</f>
        <v>4</v>
      </c>
      <c r="K95" s="125" t="n">
        <f aca="false">J95+$K$7</f>
        <v>4</v>
      </c>
      <c r="L95" s="126" t="n">
        <f aca="false">K95</f>
        <v>4</v>
      </c>
      <c r="M95" s="124" t="n">
        <f aca="false">VLOOKUP($A95,Table,MATCH(M$4,Curves,0))</f>
        <v>4</v>
      </c>
      <c r="N95" s="125" t="n">
        <f aca="false">M95+$N$7</f>
        <v>4</v>
      </c>
      <c r="O95" s="126" t="n">
        <v>0.12</v>
      </c>
      <c r="P95" s="114"/>
      <c r="Q95" s="126" t="n">
        <f aca="false">M95+J95+G95</f>
        <v>11</v>
      </c>
      <c r="R95" s="126" t="n">
        <f aca="false">N95+K95+H95</f>
        <v>11</v>
      </c>
      <c r="S95" s="126" t="n">
        <f aca="false">O95+L95+I95</f>
        <v>7.12</v>
      </c>
      <c r="T95" s="127"/>
      <c r="U95" s="5" t="n">
        <f aca="false">A96-A95</f>
        <v>31</v>
      </c>
      <c r="V95" s="128" t="n">
        <f aca="false">CHOOSE(F$3,A96+24,A95)</f>
        <v>39873</v>
      </c>
      <c r="W95" s="5" t="n">
        <f aca="false">V95-C$3</f>
        <v>2642</v>
      </c>
      <c r="X95" s="124" t="n">
        <f aca="false">VLOOKUP($A95,Table,MATCH(X$4,Curves,0))</f>
        <v>2</v>
      </c>
      <c r="Y95" s="129" t="n">
        <f aca="false">1/(1+CHOOSE(F$3,(X96+($K$3/10000))/2,(X95+($K$3/10000))/2))^(2*W95/365.25)</f>
        <v>4.41629613460002E-005</v>
      </c>
      <c r="Z95" s="5" t="n">
        <f aca="false">IF(AND(mthbeg&lt;=A95,mthend&gt;=A95),1,0)</f>
        <v>0</v>
      </c>
      <c r="AA95" s="5" t="n">
        <f aca="false">U95*Z95</f>
        <v>0</v>
      </c>
      <c r="AC95" s="115" t="n">
        <f aca="false">IF(G88=2,F95*(S95-Q95),F95*(Q95-S95))</f>
        <v>0</v>
      </c>
      <c r="AE95" s="116" t="n">
        <f aca="false">IF($G$3=1,F95*(R95-Q95),F95*(Q95-R95))</f>
        <v>0</v>
      </c>
      <c r="AG95" s="116" t="n">
        <f aca="false">AC95+AE95</f>
        <v>0</v>
      </c>
    </row>
    <row r="96" customFormat="false" ht="12.75" hidden="false" customHeight="false" outlineLevel="0" collapsed="false">
      <c r="A96" s="120" t="n">
        <f aca="false">EDATE(A95,1)</f>
        <v>39904</v>
      </c>
      <c r="B96" s="121" t="e">
        <f aca="false">VLOOKUP(A96,'Inputs-Summary'!$A$32:$E$41,3,FALSE())</f>
        <v>#N/A</v>
      </c>
      <c r="C96" s="122"/>
      <c r="D96" s="123" t="e">
        <f aca="false">B96+C96</f>
        <v>#N/A</v>
      </c>
      <c r="E96" s="111" t="n">
        <f aca="false">IF(Z96=0,0,IF(AND(Z96=1,$H$3=1),D96*U96,IF($H$3=2,D96,"N/A")))</f>
        <v>0</v>
      </c>
      <c r="F96" s="111" t="n">
        <f aca="false">E96*Y96</f>
        <v>0</v>
      </c>
      <c r="G96" s="124" t="n">
        <f aca="false">VLOOKUP($A96,Table,MATCH(G$4,Curves,0))</f>
        <v>3</v>
      </c>
      <c r="H96" s="125" t="n">
        <f aca="false">G96+$H$7</f>
        <v>3</v>
      </c>
      <c r="I96" s="124" t="n">
        <f aca="false">H96</f>
        <v>3</v>
      </c>
      <c r="J96" s="124" t="n">
        <f aca="false">VLOOKUP($A96,Table,MATCH(J$4,Curves,0))</f>
        <v>4</v>
      </c>
      <c r="K96" s="125" t="n">
        <f aca="false">J96+$K$7</f>
        <v>4</v>
      </c>
      <c r="L96" s="126" t="n">
        <f aca="false">K96</f>
        <v>4</v>
      </c>
      <c r="M96" s="124" t="n">
        <f aca="false">VLOOKUP($A96,Table,MATCH(M$4,Curves,0))</f>
        <v>4</v>
      </c>
      <c r="N96" s="125" t="n">
        <f aca="false">M96+$N$7</f>
        <v>4</v>
      </c>
      <c r="O96" s="126" t="n">
        <v>0.12</v>
      </c>
      <c r="P96" s="114"/>
      <c r="Q96" s="126" t="n">
        <f aca="false">M96+J96+G96</f>
        <v>11</v>
      </c>
      <c r="R96" s="126" t="n">
        <f aca="false">N96+K96+H96</f>
        <v>11</v>
      </c>
      <c r="S96" s="126" t="n">
        <f aca="false">O96+L96+I96</f>
        <v>7.12</v>
      </c>
      <c r="T96" s="127"/>
      <c r="U96" s="5" t="n">
        <f aca="false">A97-A96</f>
        <v>30</v>
      </c>
      <c r="V96" s="128" t="n">
        <f aca="false">CHOOSE(F$3,A97+24,A96)</f>
        <v>39904</v>
      </c>
      <c r="W96" s="5" t="n">
        <f aca="false">V96-C$3</f>
        <v>2673</v>
      </c>
      <c r="X96" s="124" t="n">
        <f aca="false">VLOOKUP($A96,Table,MATCH(X$4,Curves,0))</f>
        <v>2</v>
      </c>
      <c r="Y96" s="129" t="n">
        <f aca="false">1/(1+CHOOSE(F$3,(X97+($K$3/10000))/2,(X96+($K$3/10000))/2))^(2*W96/365.25)</f>
        <v>3.9260816223738E-005</v>
      </c>
      <c r="Z96" s="5" t="n">
        <f aca="false">IF(AND(mthbeg&lt;=A96,mthend&gt;=A96),1,0)</f>
        <v>0</v>
      </c>
      <c r="AA96" s="5" t="n">
        <f aca="false">U96*Z96</f>
        <v>0</v>
      </c>
      <c r="AC96" s="115" t="n">
        <f aca="false">IF(G89=2,F96*(S96-Q96),F96*(Q96-S96))</f>
        <v>0</v>
      </c>
      <c r="AE96" s="116" t="n">
        <f aca="false">IF($G$3=1,F96*(R96-Q96),F96*(Q96-R96))</f>
        <v>0</v>
      </c>
      <c r="AG96" s="116" t="n">
        <f aca="false">AC96+AE96</f>
        <v>0</v>
      </c>
    </row>
    <row r="97" customFormat="false" ht="12.75" hidden="false" customHeight="false" outlineLevel="0" collapsed="false">
      <c r="A97" s="120" t="n">
        <f aca="false">EDATE(A96,1)</f>
        <v>39934</v>
      </c>
      <c r="B97" s="121" t="e">
        <f aca="false">VLOOKUP(A97,'Inputs-Summary'!$A$32:$E$41,3,FALSE())</f>
        <v>#N/A</v>
      </c>
      <c r="C97" s="122"/>
      <c r="D97" s="123" t="e">
        <f aca="false">B97+C97</f>
        <v>#N/A</v>
      </c>
      <c r="E97" s="111" t="n">
        <f aca="false">IF(Z97=0,0,IF(AND(Z97=1,$H$3=1),D97*U97,IF($H$3=2,D97,"N/A")))</f>
        <v>0</v>
      </c>
      <c r="F97" s="111" t="n">
        <f aca="false">E97*Y97</f>
        <v>0</v>
      </c>
      <c r="G97" s="124" t="n">
        <f aca="false">VLOOKUP($A97,Table,MATCH(G$4,Curves,0))</f>
        <v>3</v>
      </c>
      <c r="H97" s="125" t="n">
        <f aca="false">G97+$H$7</f>
        <v>3</v>
      </c>
      <c r="I97" s="124" t="n">
        <f aca="false">H97</f>
        <v>3</v>
      </c>
      <c r="J97" s="124" t="n">
        <f aca="false">VLOOKUP($A97,Table,MATCH(J$4,Curves,0))</f>
        <v>4</v>
      </c>
      <c r="K97" s="125" t="n">
        <f aca="false">J97+$K$7</f>
        <v>4</v>
      </c>
      <c r="L97" s="126" t="n">
        <f aca="false">K97</f>
        <v>4</v>
      </c>
      <c r="M97" s="124" t="n">
        <f aca="false">VLOOKUP($A97,Table,MATCH(M$4,Curves,0))</f>
        <v>4</v>
      </c>
      <c r="N97" s="125" t="n">
        <f aca="false">M97+$N$7</f>
        <v>4</v>
      </c>
      <c r="O97" s="126" t="n">
        <v>0.12</v>
      </c>
      <c r="P97" s="114"/>
      <c r="Q97" s="126" t="n">
        <f aca="false">M97+J97+G97</f>
        <v>11</v>
      </c>
      <c r="R97" s="126" t="n">
        <f aca="false">N97+K97+H97</f>
        <v>11</v>
      </c>
      <c r="S97" s="126" t="n">
        <f aca="false">O97+L97+I97</f>
        <v>7.12</v>
      </c>
      <c r="T97" s="127"/>
      <c r="U97" s="5" t="n">
        <f aca="false">A98-A97</f>
        <v>31</v>
      </c>
      <c r="V97" s="128" t="n">
        <f aca="false">CHOOSE(F$3,A98+24,A97)</f>
        <v>39934</v>
      </c>
      <c r="W97" s="5" t="n">
        <f aca="false">V97-C$3</f>
        <v>2703</v>
      </c>
      <c r="X97" s="124" t="n">
        <f aca="false">VLOOKUP($A97,Table,MATCH(X$4,Curves,0))</f>
        <v>2</v>
      </c>
      <c r="Y97" s="129" t="n">
        <f aca="false">1/(1+CHOOSE(F$3,(X98+($K$3/10000))/2,(X97+($K$3/10000))/2))^(2*W97/365.25)</f>
        <v>3.50355396758837E-005</v>
      </c>
      <c r="Z97" s="5" t="n">
        <f aca="false">IF(AND(mthbeg&lt;=A97,mthend&gt;=A97),1,0)</f>
        <v>0</v>
      </c>
      <c r="AA97" s="5" t="n">
        <f aca="false">U97*Z97</f>
        <v>0</v>
      </c>
      <c r="AC97" s="115" t="n">
        <f aca="false">IF(G90=2,F97*(S97-Q97),F97*(Q97-S97))</f>
        <v>0</v>
      </c>
      <c r="AE97" s="116" t="n">
        <f aca="false">IF($G$3=1,F97*(R97-Q97),F97*(Q97-R97))</f>
        <v>0</v>
      </c>
      <c r="AG97" s="116" t="n">
        <f aca="false">AC97+AE97</f>
        <v>0</v>
      </c>
    </row>
    <row r="98" customFormat="false" ht="12.75" hidden="false" customHeight="false" outlineLevel="0" collapsed="false">
      <c r="A98" s="120" t="n">
        <f aca="false">EDATE(A97,1)</f>
        <v>39965</v>
      </c>
      <c r="B98" s="121" t="e">
        <f aca="false">VLOOKUP(A98,'Inputs-Summary'!$A$32:$E$41,3,FALSE())</f>
        <v>#N/A</v>
      </c>
      <c r="C98" s="122"/>
      <c r="D98" s="123" t="e">
        <f aca="false">B98+C98</f>
        <v>#N/A</v>
      </c>
      <c r="E98" s="111" t="n">
        <f aca="false">IF(Z98=0,0,IF(AND(Z98=1,$H$3=1),D98*U98,IF($H$3=2,D98,"N/A")))</f>
        <v>0</v>
      </c>
      <c r="F98" s="111" t="n">
        <f aca="false">E98*Y98</f>
        <v>0</v>
      </c>
      <c r="G98" s="124" t="n">
        <f aca="false">VLOOKUP($A98,Table,MATCH(G$4,Curves,0))</f>
        <v>3</v>
      </c>
      <c r="H98" s="125" t="n">
        <f aca="false">G98+$H$7</f>
        <v>3</v>
      </c>
      <c r="I98" s="124" t="n">
        <f aca="false">H98</f>
        <v>3</v>
      </c>
      <c r="J98" s="124" t="n">
        <f aca="false">VLOOKUP($A98,Table,MATCH(J$4,Curves,0))</f>
        <v>4</v>
      </c>
      <c r="K98" s="125" t="n">
        <f aca="false">J98+$K$7</f>
        <v>4</v>
      </c>
      <c r="L98" s="126" t="n">
        <f aca="false">K98</f>
        <v>4</v>
      </c>
      <c r="M98" s="124" t="n">
        <f aca="false">VLOOKUP($A98,Table,MATCH(M$4,Curves,0))</f>
        <v>4</v>
      </c>
      <c r="N98" s="125" t="n">
        <f aca="false">M98+$N$7</f>
        <v>4</v>
      </c>
      <c r="O98" s="126" t="n">
        <v>0.12</v>
      </c>
      <c r="P98" s="114"/>
      <c r="Q98" s="126" t="n">
        <f aca="false">M98+J98+G98</f>
        <v>11</v>
      </c>
      <c r="R98" s="126" t="n">
        <f aca="false">N98+K98+H98</f>
        <v>11</v>
      </c>
      <c r="S98" s="126" t="n">
        <f aca="false">O98+L98+I98</f>
        <v>7.12</v>
      </c>
      <c r="T98" s="127"/>
      <c r="U98" s="5" t="n">
        <f aca="false">A99-A98</f>
        <v>30</v>
      </c>
      <c r="V98" s="128" t="n">
        <f aca="false">CHOOSE(F$3,A99+24,A98)</f>
        <v>39965</v>
      </c>
      <c r="W98" s="5" t="n">
        <f aca="false">V98-C$3</f>
        <v>2734</v>
      </c>
      <c r="X98" s="124" t="n">
        <f aca="false">VLOOKUP($A98,Table,MATCH(X$4,Curves,0))</f>
        <v>2</v>
      </c>
      <c r="Y98" s="129" t="n">
        <f aca="false">1/(1+CHOOSE(F$3,(X99+($K$3/10000))/2,(X98+($K$3/10000))/2))^(2*W98/365.25)</f>
        <v>3.11465500181848E-005</v>
      </c>
      <c r="Z98" s="5" t="n">
        <f aca="false">IF(AND(mthbeg&lt;=A98,mthend&gt;=A98),1,0)</f>
        <v>0</v>
      </c>
      <c r="AA98" s="5" t="n">
        <f aca="false">U98*Z98</f>
        <v>0</v>
      </c>
      <c r="AC98" s="115" t="n">
        <f aca="false">IF(G91=2,F98*(S98-Q98),F98*(Q98-S98))</f>
        <v>0</v>
      </c>
      <c r="AE98" s="116" t="n">
        <f aca="false">IF($G$3=1,F98*(R98-Q98),F98*(Q98-R98))</f>
        <v>0</v>
      </c>
      <c r="AG98" s="116" t="n">
        <f aca="false">AC98+AE98</f>
        <v>0</v>
      </c>
    </row>
    <row r="99" customFormat="false" ht="12.75" hidden="false" customHeight="false" outlineLevel="0" collapsed="false">
      <c r="A99" s="120" t="n">
        <f aca="false">EDATE(A98,1)</f>
        <v>39995</v>
      </c>
      <c r="B99" s="121" t="e">
        <f aca="false">VLOOKUP(A99,'Inputs-Summary'!$A$32:$E$41,3,FALSE())</f>
        <v>#N/A</v>
      </c>
      <c r="C99" s="122"/>
      <c r="D99" s="123" t="e">
        <f aca="false">B99+C99</f>
        <v>#N/A</v>
      </c>
      <c r="E99" s="111" t="n">
        <f aca="false">IF(Z99=0,0,IF(AND(Z99=1,$H$3=1),D99*U99,IF($H$3=2,D99,"N/A")))</f>
        <v>0</v>
      </c>
      <c r="F99" s="111" t="n">
        <f aca="false">E99*Y99</f>
        <v>0</v>
      </c>
      <c r="G99" s="124" t="n">
        <f aca="false">VLOOKUP($A99,Table,MATCH(G$4,Curves,0))</f>
        <v>3</v>
      </c>
      <c r="H99" s="125" t="n">
        <f aca="false">G99+$H$7</f>
        <v>3</v>
      </c>
      <c r="I99" s="124" t="n">
        <f aca="false">H99</f>
        <v>3</v>
      </c>
      <c r="J99" s="124" t="n">
        <f aca="false">VLOOKUP($A99,Table,MATCH(J$4,Curves,0))</f>
        <v>4</v>
      </c>
      <c r="K99" s="125" t="n">
        <f aca="false">J99+$K$7</f>
        <v>4</v>
      </c>
      <c r="L99" s="126" t="n">
        <f aca="false">K99</f>
        <v>4</v>
      </c>
      <c r="M99" s="124" t="n">
        <f aca="false">VLOOKUP($A99,Table,MATCH(M$4,Curves,0))</f>
        <v>4</v>
      </c>
      <c r="N99" s="125" t="n">
        <f aca="false">M99+$N$7</f>
        <v>4</v>
      </c>
      <c r="O99" s="126" t="n">
        <v>0.12</v>
      </c>
      <c r="P99" s="114"/>
      <c r="Q99" s="126" t="n">
        <f aca="false">M99+J99+G99</f>
        <v>11</v>
      </c>
      <c r="R99" s="126" t="n">
        <f aca="false">N99+K99+H99</f>
        <v>11</v>
      </c>
      <c r="S99" s="126" t="n">
        <f aca="false">O99+L99+I99</f>
        <v>7.12</v>
      </c>
      <c r="T99" s="127"/>
      <c r="U99" s="5" t="n">
        <f aca="false">A100-A99</f>
        <v>31</v>
      </c>
      <c r="V99" s="128" t="n">
        <f aca="false">CHOOSE(F$3,A100+24,A99)</f>
        <v>39995</v>
      </c>
      <c r="W99" s="5" t="n">
        <f aca="false">V99-C$3</f>
        <v>2764</v>
      </c>
      <c r="X99" s="124" t="n">
        <f aca="false">VLOOKUP($A99,Table,MATCH(X$4,Curves,0))</f>
        <v>2</v>
      </c>
      <c r="Y99" s="129" t="n">
        <f aca="false">1/(1+CHOOSE(F$3,(X100+($K$3/10000))/2,(X99+($K$3/10000))/2))^(2*W99/365.25)</f>
        <v>2.77945364841708E-005</v>
      </c>
      <c r="Z99" s="5" t="n">
        <f aca="false">IF(AND(mthbeg&lt;=A99,mthend&gt;=A99),1,0)</f>
        <v>0</v>
      </c>
      <c r="AA99" s="5" t="n">
        <f aca="false">U99*Z99</f>
        <v>0</v>
      </c>
      <c r="AC99" s="115" t="n">
        <f aca="false">IF(G92=2,F99*(S99-Q99),F99*(Q99-S99))</f>
        <v>0</v>
      </c>
      <c r="AE99" s="116" t="n">
        <f aca="false">IF($G$3=1,F99*(R99-Q99),F99*(Q99-R99))</f>
        <v>0</v>
      </c>
      <c r="AG99" s="116" t="n">
        <f aca="false">AC99+AE99</f>
        <v>0</v>
      </c>
    </row>
    <row r="100" customFormat="false" ht="12.75" hidden="false" customHeight="false" outlineLevel="0" collapsed="false">
      <c r="A100" s="120" t="n">
        <f aca="false">EDATE(A99,1)</f>
        <v>40026</v>
      </c>
      <c r="B100" s="121" t="e">
        <f aca="false">VLOOKUP(A100,'Inputs-Summary'!$A$32:$E$41,3,FALSE())</f>
        <v>#N/A</v>
      </c>
      <c r="C100" s="122"/>
      <c r="D100" s="123" t="e">
        <f aca="false">B100+C100</f>
        <v>#N/A</v>
      </c>
      <c r="E100" s="111" t="n">
        <f aca="false">IF(Z100=0,0,IF(AND(Z100=1,$H$3=1),D100*U100,IF($H$3=2,D100,"N/A")))</f>
        <v>0</v>
      </c>
      <c r="F100" s="111" t="n">
        <f aca="false">E100*Y100</f>
        <v>0</v>
      </c>
      <c r="G100" s="124" t="n">
        <f aca="false">VLOOKUP($A100,Table,MATCH(G$4,Curves,0))</f>
        <v>3</v>
      </c>
      <c r="H100" s="125" t="n">
        <f aca="false">G100+$H$7</f>
        <v>3</v>
      </c>
      <c r="I100" s="124" t="n">
        <f aca="false">H100</f>
        <v>3</v>
      </c>
      <c r="J100" s="124" t="n">
        <f aca="false">VLOOKUP($A100,Table,MATCH(J$4,Curves,0))</f>
        <v>4</v>
      </c>
      <c r="K100" s="125" t="n">
        <f aca="false">J100+$K$7</f>
        <v>4</v>
      </c>
      <c r="L100" s="126" t="n">
        <f aca="false">K100</f>
        <v>4</v>
      </c>
      <c r="M100" s="124" t="n">
        <f aca="false">VLOOKUP($A100,Table,MATCH(M$4,Curves,0))</f>
        <v>4</v>
      </c>
      <c r="N100" s="125" t="n">
        <f aca="false">M100+$N$7</f>
        <v>4</v>
      </c>
      <c r="O100" s="126" t="n">
        <v>0.12</v>
      </c>
      <c r="P100" s="114"/>
      <c r="Q100" s="126" t="n">
        <f aca="false">M100+J100+G100</f>
        <v>11</v>
      </c>
      <c r="R100" s="126" t="n">
        <f aca="false">N100+K100+H100</f>
        <v>11</v>
      </c>
      <c r="S100" s="126" t="n">
        <f aca="false">O100+L100+I100</f>
        <v>7.12</v>
      </c>
      <c r="T100" s="127"/>
      <c r="U100" s="5" t="n">
        <f aca="false">A101-A100</f>
        <v>31</v>
      </c>
      <c r="V100" s="128" t="n">
        <f aca="false">CHOOSE(F$3,A101+24,A100)</f>
        <v>40026</v>
      </c>
      <c r="W100" s="5" t="n">
        <f aca="false">V100-C$3</f>
        <v>2795</v>
      </c>
      <c r="X100" s="124" t="n">
        <f aca="false">VLOOKUP($A100,Table,MATCH(X$4,Curves,0))</f>
        <v>2</v>
      </c>
      <c r="Y100" s="129" t="n">
        <f aca="false">1/(1+CHOOSE(F$3,(X101+($K$3/10000))/2,(X100+($K$3/10000))/2))^(2*W100/365.25)</f>
        <v>2.47093074302601E-005</v>
      </c>
      <c r="Z100" s="5" t="n">
        <f aca="false">IF(AND(mthbeg&lt;=A100,mthend&gt;=A100),1,0)</f>
        <v>0</v>
      </c>
      <c r="AA100" s="5" t="n">
        <f aca="false">U100*Z100</f>
        <v>0</v>
      </c>
      <c r="AC100" s="115" t="n">
        <f aca="false">IF(G93=2,F100*(S100-Q100),F100*(Q100-S100))</f>
        <v>0</v>
      </c>
      <c r="AE100" s="116" t="n">
        <f aca="false">IF($G$3=1,F100*(R100-Q100),F100*(Q100-R100))</f>
        <v>0</v>
      </c>
      <c r="AG100" s="116" t="n">
        <f aca="false">AC100+AE100</f>
        <v>0</v>
      </c>
    </row>
    <row r="101" customFormat="false" ht="12.75" hidden="false" customHeight="false" outlineLevel="0" collapsed="false">
      <c r="A101" s="120" t="n">
        <f aca="false">EDATE(A100,1)</f>
        <v>40057</v>
      </c>
      <c r="B101" s="121" t="e">
        <f aca="false">VLOOKUP(A101,'Inputs-Summary'!$A$32:$E$41,3,FALSE())</f>
        <v>#N/A</v>
      </c>
      <c r="C101" s="122"/>
      <c r="D101" s="123" t="e">
        <f aca="false">B101+C101</f>
        <v>#N/A</v>
      </c>
      <c r="E101" s="111" t="n">
        <f aca="false">IF(Z101=0,0,IF(AND(Z101=1,$H$3=1),D101*U101,IF($H$3=2,D101,"N/A")))</f>
        <v>0</v>
      </c>
      <c r="F101" s="111" t="n">
        <f aca="false">E101*Y101</f>
        <v>0</v>
      </c>
      <c r="G101" s="124" t="n">
        <f aca="false">VLOOKUP($A101,Table,MATCH(G$4,Curves,0))</f>
        <v>3</v>
      </c>
      <c r="H101" s="125" t="n">
        <f aca="false">G101+$H$7</f>
        <v>3</v>
      </c>
      <c r="I101" s="124" t="n">
        <f aca="false">H101</f>
        <v>3</v>
      </c>
      <c r="J101" s="124" t="n">
        <f aca="false">VLOOKUP($A101,Table,MATCH(J$4,Curves,0))</f>
        <v>4</v>
      </c>
      <c r="K101" s="125" t="n">
        <f aca="false">J101+$K$7</f>
        <v>4</v>
      </c>
      <c r="L101" s="126" t="n">
        <f aca="false">K101</f>
        <v>4</v>
      </c>
      <c r="M101" s="124" t="n">
        <f aca="false">VLOOKUP($A101,Table,MATCH(M$4,Curves,0))</f>
        <v>4</v>
      </c>
      <c r="N101" s="125" t="n">
        <f aca="false">M101+$N$7</f>
        <v>4</v>
      </c>
      <c r="O101" s="126" t="n">
        <v>0.12</v>
      </c>
      <c r="P101" s="114"/>
      <c r="Q101" s="126" t="n">
        <f aca="false">M101+J101+G101</f>
        <v>11</v>
      </c>
      <c r="R101" s="126" t="n">
        <f aca="false">N101+K101+H101</f>
        <v>11</v>
      </c>
      <c r="S101" s="126" t="n">
        <f aca="false">O101+L101+I101</f>
        <v>7.12</v>
      </c>
      <c r="T101" s="127"/>
      <c r="U101" s="5" t="n">
        <f aca="false">A102-A101</f>
        <v>30</v>
      </c>
      <c r="V101" s="128" t="n">
        <f aca="false">CHOOSE(F$3,A102+24,A101)</f>
        <v>40057</v>
      </c>
      <c r="W101" s="5" t="n">
        <f aca="false">V101-C$3</f>
        <v>2826</v>
      </c>
      <c r="X101" s="124" t="n">
        <f aca="false">VLOOKUP($A101,Table,MATCH(X$4,Curves,0))</f>
        <v>2</v>
      </c>
      <c r="Y101" s="129" t="n">
        <f aca="false">1/(1+CHOOSE(F$3,(X102+($K$3/10000))/2,(X101+($K$3/10000))/2))^(2*W101/365.25)</f>
        <v>2.19665427423415E-005</v>
      </c>
      <c r="Z101" s="5" t="n">
        <f aca="false">IF(AND(mthbeg&lt;=A101,mthend&gt;=A101),1,0)</f>
        <v>0</v>
      </c>
      <c r="AA101" s="5" t="n">
        <f aca="false">U101*Z101</f>
        <v>0</v>
      </c>
      <c r="AC101" s="115" t="n">
        <f aca="false">IF(G94=2,F101*(S101-Q101),F101*(Q101-S101))</f>
        <v>0</v>
      </c>
      <c r="AE101" s="116" t="n">
        <f aca="false">IF($G$3=1,F101*(R101-Q101),F101*(Q101-R101))</f>
        <v>0</v>
      </c>
      <c r="AG101" s="116" t="n">
        <f aca="false">AC101+AE101</f>
        <v>0</v>
      </c>
    </row>
    <row r="102" customFormat="false" ht="12.75" hidden="false" customHeight="false" outlineLevel="0" collapsed="false">
      <c r="A102" s="120" t="n">
        <f aca="false">EDATE(A101,1)</f>
        <v>40087</v>
      </c>
      <c r="B102" s="121" t="e">
        <f aca="false">VLOOKUP(A102,'Inputs-Summary'!$A$32:$E$41,3,FALSE())</f>
        <v>#N/A</v>
      </c>
      <c r="C102" s="122"/>
      <c r="D102" s="123" t="e">
        <f aca="false">B102+C102</f>
        <v>#N/A</v>
      </c>
      <c r="E102" s="111" t="n">
        <f aca="false">IF(Z102=0,0,IF(AND(Z102=1,$H$3=1),D102*U102,IF($H$3=2,D102,"N/A")))</f>
        <v>0</v>
      </c>
      <c r="F102" s="111" t="n">
        <f aca="false">E102*Y102</f>
        <v>0</v>
      </c>
      <c r="G102" s="124" t="n">
        <f aca="false">VLOOKUP($A102,Table,MATCH(G$4,Curves,0))</f>
        <v>3</v>
      </c>
      <c r="H102" s="125" t="n">
        <f aca="false">G102+$H$7</f>
        <v>3</v>
      </c>
      <c r="I102" s="124" t="n">
        <f aca="false">H102</f>
        <v>3</v>
      </c>
      <c r="J102" s="124" t="n">
        <f aca="false">VLOOKUP($A102,Table,MATCH(J$4,Curves,0))</f>
        <v>4</v>
      </c>
      <c r="K102" s="125" t="n">
        <f aca="false">J102+$K$7</f>
        <v>4</v>
      </c>
      <c r="L102" s="126" t="n">
        <f aca="false">K102</f>
        <v>4</v>
      </c>
      <c r="M102" s="124" t="n">
        <f aca="false">VLOOKUP($A102,Table,MATCH(M$4,Curves,0))</f>
        <v>4</v>
      </c>
      <c r="N102" s="125" t="n">
        <f aca="false">M102+$N$7</f>
        <v>4</v>
      </c>
      <c r="O102" s="126" t="n">
        <v>0.12</v>
      </c>
      <c r="P102" s="114"/>
      <c r="Q102" s="126" t="n">
        <f aca="false">M102+J102+G102</f>
        <v>11</v>
      </c>
      <c r="R102" s="126" t="n">
        <f aca="false">N102+K102+H102</f>
        <v>11</v>
      </c>
      <c r="S102" s="126" t="n">
        <f aca="false">O102+L102+I102</f>
        <v>7.12</v>
      </c>
      <c r="T102" s="127"/>
      <c r="U102" s="5" t="n">
        <f aca="false">A103-A102</f>
        <v>31</v>
      </c>
      <c r="V102" s="128" t="n">
        <f aca="false">CHOOSE(F$3,A103+24,A102)</f>
        <v>40087</v>
      </c>
      <c r="W102" s="5" t="n">
        <f aca="false">V102-C$3</f>
        <v>2856</v>
      </c>
      <c r="X102" s="124" t="n">
        <f aca="false">VLOOKUP($A102,Table,MATCH(X$4,Curves,0))</f>
        <v>2</v>
      </c>
      <c r="Y102" s="129" t="n">
        <f aca="false">1/(1+CHOOSE(F$3,(X103+($K$3/10000))/2,(X102+($K$3/10000))/2))^(2*W102/365.25)</f>
        <v>1.96024880228031E-005</v>
      </c>
      <c r="Z102" s="5" t="n">
        <f aca="false">IF(AND(mthbeg&lt;=A102,mthend&gt;=A102),1,0)</f>
        <v>0</v>
      </c>
      <c r="AA102" s="5" t="n">
        <f aca="false">U102*Z102</f>
        <v>0</v>
      </c>
      <c r="AC102" s="115" t="n">
        <f aca="false">IF(G95=2,F102*(S102-Q102),F102*(Q102-S102))</f>
        <v>0</v>
      </c>
      <c r="AE102" s="116" t="n">
        <f aca="false">IF($G$3=1,F102*(R102-Q102),F102*(Q102-R102))</f>
        <v>0</v>
      </c>
      <c r="AG102" s="116" t="n">
        <f aca="false">AC102+AE102</f>
        <v>0</v>
      </c>
    </row>
    <row r="103" customFormat="false" ht="12.75" hidden="false" customHeight="false" outlineLevel="0" collapsed="false">
      <c r="A103" s="120" t="n">
        <f aca="false">EDATE(A102,1)</f>
        <v>40118</v>
      </c>
      <c r="B103" s="121" t="e">
        <f aca="false">VLOOKUP(A103,'Inputs-Summary'!$A$32:$E$41,3,FALSE())</f>
        <v>#N/A</v>
      </c>
      <c r="C103" s="122"/>
      <c r="D103" s="123" t="e">
        <f aca="false">B103+C103</f>
        <v>#N/A</v>
      </c>
      <c r="E103" s="111" t="n">
        <f aca="false">IF(Z103=0,0,IF(AND(Z103=1,$H$3=1),D103*U103,IF($H$3=2,D103,"N/A")))</f>
        <v>0</v>
      </c>
      <c r="F103" s="111" t="n">
        <f aca="false">E103*Y103</f>
        <v>0</v>
      </c>
      <c r="G103" s="124" t="n">
        <f aca="false">VLOOKUP($A103,Table,MATCH(G$4,Curves,0))</f>
        <v>3</v>
      </c>
      <c r="H103" s="125" t="n">
        <f aca="false">G103+$H$7</f>
        <v>3</v>
      </c>
      <c r="I103" s="124" t="n">
        <f aca="false">H103</f>
        <v>3</v>
      </c>
      <c r="J103" s="124" t="n">
        <f aca="false">VLOOKUP($A103,Table,MATCH(J$4,Curves,0))</f>
        <v>4</v>
      </c>
      <c r="K103" s="125" t="n">
        <f aca="false">J103+$K$7</f>
        <v>4</v>
      </c>
      <c r="L103" s="126" t="n">
        <f aca="false">K103</f>
        <v>4</v>
      </c>
      <c r="M103" s="124" t="n">
        <f aca="false">VLOOKUP($A103,Table,MATCH(M$4,Curves,0))</f>
        <v>4</v>
      </c>
      <c r="N103" s="125" t="n">
        <f aca="false">M103+$N$7</f>
        <v>4</v>
      </c>
      <c r="O103" s="126" t="n">
        <v>0.12</v>
      </c>
      <c r="P103" s="114"/>
      <c r="Q103" s="126" t="n">
        <f aca="false">M103+J103+G103</f>
        <v>11</v>
      </c>
      <c r="R103" s="126" t="n">
        <f aca="false">N103+K103+H103</f>
        <v>11</v>
      </c>
      <c r="S103" s="126" t="n">
        <f aca="false">O103+L103+I103</f>
        <v>7.12</v>
      </c>
      <c r="T103" s="127"/>
      <c r="U103" s="5" t="n">
        <f aca="false">A104-A103</f>
        <v>30</v>
      </c>
      <c r="V103" s="128" t="n">
        <f aca="false">CHOOSE(F$3,A104+24,A103)</f>
        <v>40118</v>
      </c>
      <c r="W103" s="5" t="n">
        <f aca="false">V103-C$3</f>
        <v>2887</v>
      </c>
      <c r="X103" s="124" t="n">
        <f aca="false">VLOOKUP($A103,Table,MATCH(X$4,Curves,0))</f>
        <v>2</v>
      </c>
      <c r="Y103" s="129" t="n">
        <f aca="false">1/(1+CHOOSE(F$3,(X104+($K$3/10000))/2,(X103+($K$3/10000))/2))^(2*W103/365.25)</f>
        <v>1.7426586812458E-005</v>
      </c>
      <c r="Z103" s="5" t="n">
        <f aca="false">IF(AND(mthbeg&lt;=A103,mthend&gt;=A103),1,0)</f>
        <v>0</v>
      </c>
      <c r="AA103" s="5" t="n">
        <f aca="false">U103*Z103</f>
        <v>0</v>
      </c>
      <c r="AC103" s="115" t="n">
        <f aca="false">IF(G96=2,F103*(S103-Q103),F103*(Q103-S103))</f>
        <v>0</v>
      </c>
      <c r="AE103" s="116" t="n">
        <f aca="false">IF($G$3=1,F103*(R103-Q103),F103*(Q103-R103))</f>
        <v>0</v>
      </c>
      <c r="AG103" s="116" t="n">
        <f aca="false">AC103+AE103</f>
        <v>0</v>
      </c>
    </row>
    <row r="104" customFormat="false" ht="12.75" hidden="false" customHeight="false" outlineLevel="0" collapsed="false">
      <c r="A104" s="120" t="n">
        <f aca="false">EDATE(A103,1)</f>
        <v>40148</v>
      </c>
      <c r="B104" s="121" t="e">
        <f aca="false">VLOOKUP(A104,'Inputs-Summary'!$A$32:$E$41,3,FALSE())</f>
        <v>#N/A</v>
      </c>
      <c r="C104" s="122"/>
      <c r="D104" s="123" t="e">
        <f aca="false">B104+C104</f>
        <v>#N/A</v>
      </c>
      <c r="E104" s="111" t="n">
        <f aca="false">IF(Z104=0,0,IF(AND(Z104=1,$H$3=1),D104*U104,IF($H$3=2,D104,"N/A")))</f>
        <v>0</v>
      </c>
      <c r="F104" s="111" t="n">
        <f aca="false">E104*Y104</f>
        <v>0</v>
      </c>
      <c r="G104" s="124" t="n">
        <f aca="false">VLOOKUP($A104,Table,MATCH(G$4,Curves,0))</f>
        <v>3</v>
      </c>
      <c r="H104" s="125" t="n">
        <f aca="false">G104+$H$7</f>
        <v>3</v>
      </c>
      <c r="I104" s="124" t="n">
        <f aca="false">H104</f>
        <v>3</v>
      </c>
      <c r="J104" s="124" t="n">
        <f aca="false">VLOOKUP($A104,Table,MATCH(J$4,Curves,0))</f>
        <v>4</v>
      </c>
      <c r="K104" s="125" t="n">
        <f aca="false">J104+$K$7</f>
        <v>4</v>
      </c>
      <c r="L104" s="126" t="n">
        <f aca="false">K104</f>
        <v>4</v>
      </c>
      <c r="M104" s="124" t="n">
        <f aca="false">VLOOKUP($A104,Table,MATCH(M$4,Curves,0))</f>
        <v>4</v>
      </c>
      <c r="N104" s="125" t="n">
        <f aca="false">M104+$N$7</f>
        <v>4</v>
      </c>
      <c r="O104" s="126" t="n">
        <v>0.12</v>
      </c>
      <c r="P104" s="114"/>
      <c r="Q104" s="126" t="n">
        <f aca="false">M104+J104+G104</f>
        <v>11</v>
      </c>
      <c r="R104" s="126" t="n">
        <f aca="false">N104+K104+H104</f>
        <v>11</v>
      </c>
      <c r="S104" s="126" t="n">
        <f aca="false">O104+L104+I104</f>
        <v>7.12</v>
      </c>
      <c r="T104" s="127"/>
      <c r="U104" s="5" t="n">
        <f aca="false">A105-A104</f>
        <v>31</v>
      </c>
      <c r="V104" s="128" t="n">
        <f aca="false">CHOOSE(F$3,A105+24,A104)</f>
        <v>40148</v>
      </c>
      <c r="W104" s="5" t="n">
        <f aca="false">V104-C$3</f>
        <v>2917</v>
      </c>
      <c r="X104" s="124" t="n">
        <f aca="false">VLOOKUP($A104,Table,MATCH(X$4,Curves,0))</f>
        <v>2</v>
      </c>
      <c r="Y104" s="129" t="n">
        <f aca="false">1/(1+CHOOSE(F$3,(X105+($K$3/10000))/2,(X104+($K$3/10000))/2))^(2*W104/365.25)</f>
        <v>1.55511253307554E-005</v>
      </c>
      <c r="Z104" s="5" t="n">
        <f aca="false">IF(AND(mthbeg&lt;=A104,mthend&gt;=A104),1,0)</f>
        <v>0</v>
      </c>
      <c r="AA104" s="5" t="n">
        <f aca="false">U104*Z104</f>
        <v>0</v>
      </c>
      <c r="AC104" s="115" t="n">
        <f aca="false">IF(G97=2,F104*(S104-Q104),F104*(Q104-S104))</f>
        <v>0</v>
      </c>
      <c r="AE104" s="116" t="n">
        <f aca="false">IF($G$3=1,F104*(R104-Q104),F104*(Q104-R104))</f>
        <v>0</v>
      </c>
      <c r="AG104" s="116" t="n">
        <f aca="false">AC104+AE104</f>
        <v>0</v>
      </c>
    </row>
    <row r="105" customFormat="false" ht="12.75" hidden="false" customHeight="false" outlineLevel="0" collapsed="false">
      <c r="A105" s="120" t="n">
        <f aca="false">EDATE(A104,1)</f>
        <v>40179</v>
      </c>
      <c r="B105" s="121" t="e">
        <f aca="false">VLOOKUP(A105,'Inputs-Summary'!$A$32:$E$41,3,FALSE())</f>
        <v>#N/A</v>
      </c>
      <c r="C105" s="122"/>
      <c r="D105" s="123" t="e">
        <f aca="false">B105+C105</f>
        <v>#N/A</v>
      </c>
      <c r="E105" s="111" t="n">
        <f aca="false">IF(Z105=0,0,IF(AND(Z105=1,$H$3=1),D105*U105,IF($H$3=2,D105,"N/A")))</f>
        <v>0</v>
      </c>
      <c r="F105" s="111" t="n">
        <f aca="false">E105*Y105</f>
        <v>0</v>
      </c>
      <c r="G105" s="124" t="n">
        <f aca="false">VLOOKUP($A105,Table,MATCH(G$4,Curves,0))</f>
        <v>3</v>
      </c>
      <c r="H105" s="125" t="n">
        <f aca="false">G105+$H$7</f>
        <v>3</v>
      </c>
      <c r="I105" s="124" t="n">
        <f aca="false">H105</f>
        <v>3</v>
      </c>
      <c r="J105" s="124" t="n">
        <f aca="false">VLOOKUP($A105,Table,MATCH(J$4,Curves,0))</f>
        <v>4</v>
      </c>
      <c r="K105" s="125" t="n">
        <f aca="false">J105+$K$7</f>
        <v>4</v>
      </c>
      <c r="L105" s="126" t="n">
        <f aca="false">K105</f>
        <v>4</v>
      </c>
      <c r="M105" s="124" t="n">
        <f aca="false">VLOOKUP($A105,Table,MATCH(M$4,Curves,0))</f>
        <v>4</v>
      </c>
      <c r="N105" s="125" t="n">
        <f aca="false">M105+$N$7</f>
        <v>4</v>
      </c>
      <c r="O105" s="126" t="n">
        <v>0.12</v>
      </c>
      <c r="P105" s="114"/>
      <c r="Q105" s="126" t="n">
        <f aca="false">M105+J105+G105</f>
        <v>11</v>
      </c>
      <c r="R105" s="126" t="n">
        <f aca="false">N105+K105+H105</f>
        <v>11</v>
      </c>
      <c r="S105" s="126" t="n">
        <f aca="false">O105+L105+I105</f>
        <v>7.12</v>
      </c>
      <c r="T105" s="127"/>
      <c r="U105" s="5" t="n">
        <f aca="false">A106-A105</f>
        <v>31</v>
      </c>
      <c r="V105" s="128" t="n">
        <f aca="false">CHOOSE(F$3,A106+24,A105)</f>
        <v>40179</v>
      </c>
      <c r="W105" s="5" t="n">
        <f aca="false">V105-C$3</f>
        <v>2948</v>
      </c>
      <c r="X105" s="124" t="n">
        <f aca="false">VLOOKUP($A105,Table,MATCH(X$4,Curves,0))</f>
        <v>2</v>
      </c>
      <c r="Y105" s="129" t="n">
        <f aca="false">1/(1+CHOOSE(F$3,(X106+($K$3/10000))/2,(X105+($K$3/10000))/2))^(2*W105/365.25)</f>
        <v>1.38249305543548E-005</v>
      </c>
      <c r="Z105" s="5" t="n">
        <f aca="false">IF(AND(mthbeg&lt;=A105,mthend&gt;=A105),1,0)</f>
        <v>0</v>
      </c>
      <c r="AA105" s="5" t="n">
        <f aca="false">U105*Z105</f>
        <v>0</v>
      </c>
      <c r="AC105" s="115" t="n">
        <f aca="false">IF(G98=2,F105*(S105-Q105),F105*(Q105-S105))</f>
        <v>0</v>
      </c>
      <c r="AE105" s="116" t="n">
        <f aca="false">IF($G$3=1,F105*(R105-Q105),F105*(Q105-R105))</f>
        <v>0</v>
      </c>
      <c r="AG105" s="116" t="n">
        <f aca="false">AC105+AE105</f>
        <v>0</v>
      </c>
    </row>
    <row r="106" customFormat="false" ht="12.75" hidden="false" customHeight="false" outlineLevel="0" collapsed="false">
      <c r="A106" s="120" t="n">
        <f aca="false">EDATE(A105,1)</f>
        <v>40210</v>
      </c>
      <c r="B106" s="121" t="e">
        <f aca="false">VLOOKUP(A106,'Inputs-Summary'!$A$32:$E$41,3,FALSE())</f>
        <v>#N/A</v>
      </c>
      <c r="C106" s="122"/>
      <c r="D106" s="123" t="e">
        <f aca="false">B106+C106</f>
        <v>#N/A</v>
      </c>
      <c r="E106" s="111" t="n">
        <f aca="false">IF(Z106=0,0,IF(AND(Z106=1,$H$3=1),D106*U106,IF($H$3=2,D106,"N/A")))</f>
        <v>0</v>
      </c>
      <c r="F106" s="111" t="n">
        <f aca="false">E106*Y106</f>
        <v>0</v>
      </c>
      <c r="G106" s="124" t="n">
        <f aca="false">VLOOKUP($A106,Table,MATCH(G$4,Curves,0))</f>
        <v>3</v>
      </c>
      <c r="H106" s="125" t="n">
        <f aca="false">G106+$H$7</f>
        <v>3</v>
      </c>
      <c r="I106" s="124" t="n">
        <f aca="false">H106</f>
        <v>3</v>
      </c>
      <c r="J106" s="124" t="n">
        <f aca="false">VLOOKUP($A106,Table,MATCH(J$4,Curves,0))</f>
        <v>4</v>
      </c>
      <c r="K106" s="125" t="n">
        <f aca="false">J106+$K$7</f>
        <v>4</v>
      </c>
      <c r="L106" s="126" t="n">
        <f aca="false">K106</f>
        <v>4</v>
      </c>
      <c r="M106" s="124" t="n">
        <f aca="false">VLOOKUP($A106,Table,MATCH(M$4,Curves,0))</f>
        <v>4</v>
      </c>
      <c r="N106" s="125" t="n">
        <f aca="false">M106+$N$7</f>
        <v>4</v>
      </c>
      <c r="O106" s="126" t="n">
        <v>0.12</v>
      </c>
      <c r="P106" s="114"/>
      <c r="Q106" s="126" t="n">
        <f aca="false">M106+J106+G106</f>
        <v>11</v>
      </c>
      <c r="R106" s="126" t="n">
        <f aca="false">N106+K106+H106</f>
        <v>11</v>
      </c>
      <c r="S106" s="126" t="n">
        <f aca="false">O106+L106+I106</f>
        <v>7.12</v>
      </c>
      <c r="T106" s="127"/>
      <c r="U106" s="5" t="n">
        <f aca="false">A107-A106</f>
        <v>28</v>
      </c>
      <c r="V106" s="128" t="n">
        <f aca="false">CHOOSE(F$3,A107+24,A106)</f>
        <v>40210</v>
      </c>
      <c r="W106" s="5" t="n">
        <f aca="false">V106-C$3</f>
        <v>2979</v>
      </c>
      <c r="X106" s="124" t="n">
        <f aca="false">VLOOKUP($A106,Table,MATCH(X$4,Curves,0))</f>
        <v>2</v>
      </c>
      <c r="Y106" s="129" t="n">
        <f aca="false">1/(1+CHOOSE(F$3,(X107+($K$3/10000))/2,(X106+($K$3/10000))/2))^(2*W106/365.25)</f>
        <v>1.22903456031402E-005</v>
      </c>
      <c r="Z106" s="5" t="n">
        <f aca="false">IF(AND(mthbeg&lt;=A106,mthend&gt;=A106),1,0)</f>
        <v>0</v>
      </c>
      <c r="AA106" s="5" t="n">
        <f aca="false">U106*Z106</f>
        <v>0</v>
      </c>
      <c r="AC106" s="115" t="n">
        <f aca="false">IF(G99=2,F106*(S106-Q106),F106*(Q106-S106))</f>
        <v>0</v>
      </c>
      <c r="AE106" s="116" t="n">
        <f aca="false">IF($G$3=1,F106*(R106-Q106),F106*(Q106-R106))</f>
        <v>0</v>
      </c>
      <c r="AG106" s="116" t="n">
        <f aca="false">AC106+AE106</f>
        <v>0</v>
      </c>
    </row>
    <row r="107" customFormat="false" ht="12.75" hidden="false" customHeight="false" outlineLevel="0" collapsed="false">
      <c r="A107" s="120" t="n">
        <f aca="false">EDATE(A106,1)</f>
        <v>40238</v>
      </c>
      <c r="B107" s="121" t="e">
        <f aca="false">VLOOKUP(A107,'Inputs-Summary'!$A$32:$E$41,3,FALSE())</f>
        <v>#N/A</v>
      </c>
      <c r="C107" s="122"/>
      <c r="D107" s="123" t="e">
        <f aca="false">B107+C107</f>
        <v>#N/A</v>
      </c>
      <c r="E107" s="111" t="n">
        <f aca="false">IF(Z107=0,0,IF(AND(Z107=1,$H$3=1),D107*U107,IF($H$3=2,D107,"N/A")))</f>
        <v>0</v>
      </c>
      <c r="F107" s="111" t="n">
        <f aca="false">E107*Y107</f>
        <v>0</v>
      </c>
      <c r="G107" s="124" t="n">
        <f aca="false">VLOOKUP($A107,Table,MATCH(G$4,Curves,0))</f>
        <v>3</v>
      </c>
      <c r="H107" s="125" t="n">
        <f aca="false">G107+$H$7</f>
        <v>3</v>
      </c>
      <c r="I107" s="124" t="n">
        <f aca="false">H107</f>
        <v>3</v>
      </c>
      <c r="J107" s="124" t="n">
        <f aca="false">VLOOKUP($A107,Table,MATCH(J$4,Curves,0))</f>
        <v>4</v>
      </c>
      <c r="K107" s="125" t="n">
        <f aca="false">J107+$K$7</f>
        <v>4</v>
      </c>
      <c r="L107" s="126" t="n">
        <f aca="false">K107</f>
        <v>4</v>
      </c>
      <c r="M107" s="124" t="n">
        <f aca="false">VLOOKUP($A107,Table,MATCH(M$4,Curves,0))</f>
        <v>4</v>
      </c>
      <c r="N107" s="125" t="n">
        <f aca="false">M107+$N$7</f>
        <v>4</v>
      </c>
      <c r="O107" s="126" t="n">
        <v>0.12</v>
      </c>
      <c r="P107" s="114"/>
      <c r="Q107" s="126" t="n">
        <f aca="false">M107+J107+G107</f>
        <v>11</v>
      </c>
      <c r="R107" s="126" t="n">
        <f aca="false">N107+K107+H107</f>
        <v>11</v>
      </c>
      <c r="S107" s="126" t="n">
        <f aca="false">O107+L107+I107</f>
        <v>7.12</v>
      </c>
      <c r="T107" s="127"/>
      <c r="U107" s="5" t="n">
        <f aca="false">A108-A107</f>
        <v>31</v>
      </c>
      <c r="V107" s="128" t="n">
        <f aca="false">CHOOSE(F$3,A108+24,A107)</f>
        <v>40238</v>
      </c>
      <c r="W107" s="5" t="n">
        <f aca="false">V107-C$3</f>
        <v>3007</v>
      </c>
      <c r="X107" s="124" t="n">
        <f aca="false">VLOOKUP($A107,Table,MATCH(X$4,Curves,0))</f>
        <v>2</v>
      </c>
      <c r="Y107" s="129" t="n">
        <f aca="false">1/(1+CHOOSE(F$3,(X108+($K$3/10000))/2,(X107+($K$3/10000))/2))^(2*W107/365.25)</f>
        <v>1.10512215000258E-005</v>
      </c>
      <c r="Z107" s="5" t="n">
        <f aca="false">IF(AND(mthbeg&lt;=A107,mthend&gt;=A107),1,0)</f>
        <v>0</v>
      </c>
      <c r="AA107" s="5" t="n">
        <f aca="false">U107*Z107</f>
        <v>0</v>
      </c>
      <c r="AC107" s="115" t="n">
        <f aca="false">IF(G100=2,F107*(S107-Q107),F107*(Q107-S107))</f>
        <v>0</v>
      </c>
      <c r="AE107" s="116" t="n">
        <f aca="false">IF($G$3=1,F107*(R107-Q107),F107*(Q107-R107))</f>
        <v>0</v>
      </c>
      <c r="AG107" s="116" t="n">
        <f aca="false">AC107+AE107</f>
        <v>0</v>
      </c>
    </row>
    <row r="108" customFormat="false" ht="12.75" hidden="false" customHeight="false" outlineLevel="0" collapsed="false">
      <c r="A108" s="120" t="n">
        <f aca="false">EDATE(A107,1)</f>
        <v>40269</v>
      </c>
      <c r="B108" s="121" t="e">
        <f aca="false">VLOOKUP(A108,'Inputs-Summary'!$A$32:$E$41,3,FALSE())</f>
        <v>#N/A</v>
      </c>
      <c r="C108" s="122"/>
      <c r="D108" s="123" t="e">
        <f aca="false">B108+C108</f>
        <v>#N/A</v>
      </c>
      <c r="E108" s="111" t="n">
        <f aca="false">IF(Z108=0,0,IF(AND(Z108=1,$H$3=1),D108*U108,IF($H$3=2,D108,"N/A")))</f>
        <v>0</v>
      </c>
      <c r="F108" s="111" t="n">
        <f aca="false">E108*Y108</f>
        <v>0</v>
      </c>
      <c r="G108" s="124" t="n">
        <f aca="false">VLOOKUP($A108,Table,MATCH(G$4,Curves,0))</f>
        <v>3</v>
      </c>
      <c r="H108" s="125" t="n">
        <f aca="false">G108+$H$7</f>
        <v>3</v>
      </c>
      <c r="I108" s="124" t="n">
        <f aca="false">H108</f>
        <v>3</v>
      </c>
      <c r="J108" s="124" t="n">
        <f aca="false">VLOOKUP($A108,Table,MATCH(J$4,Curves,0))</f>
        <v>4</v>
      </c>
      <c r="K108" s="125" t="n">
        <f aca="false">J108+$K$7</f>
        <v>4</v>
      </c>
      <c r="L108" s="126" t="n">
        <f aca="false">K108</f>
        <v>4</v>
      </c>
      <c r="M108" s="124" t="n">
        <f aca="false">VLOOKUP($A108,Table,MATCH(M$4,Curves,0))</f>
        <v>4</v>
      </c>
      <c r="N108" s="125" t="n">
        <f aca="false">M108+$N$7</f>
        <v>4</v>
      </c>
      <c r="O108" s="126" t="n">
        <v>0.12</v>
      </c>
      <c r="P108" s="114"/>
      <c r="Q108" s="126" t="n">
        <f aca="false">M108+J108+G108</f>
        <v>11</v>
      </c>
      <c r="R108" s="126" t="n">
        <f aca="false">N108+K108+H108</f>
        <v>11</v>
      </c>
      <c r="S108" s="126" t="n">
        <f aca="false">O108+L108+I108</f>
        <v>7.12</v>
      </c>
      <c r="T108" s="127"/>
      <c r="U108" s="5" t="n">
        <f aca="false">A109-A108</f>
        <v>30</v>
      </c>
      <c r="V108" s="128" t="n">
        <f aca="false">CHOOSE(F$3,A109+24,A108)</f>
        <v>40269</v>
      </c>
      <c r="W108" s="5" t="n">
        <f aca="false">V108-C$3</f>
        <v>3038</v>
      </c>
      <c r="X108" s="124" t="n">
        <f aca="false">VLOOKUP($A108,Table,MATCH(X$4,Curves,0))</f>
        <v>2</v>
      </c>
      <c r="Y108" s="129" t="n">
        <f aca="false">1/(1+CHOOSE(F$3,(X109+($K$3/10000))/2,(X108+($K$3/10000))/2))^(2*W108/365.25)</f>
        <v>9.82452179692048E-006</v>
      </c>
      <c r="Z108" s="5" t="n">
        <f aca="false">IF(AND(mthbeg&lt;=A108,mthend&gt;=A108),1,0)</f>
        <v>0</v>
      </c>
      <c r="AA108" s="5" t="n">
        <f aca="false">U108*Z108</f>
        <v>0</v>
      </c>
      <c r="AC108" s="115" t="n">
        <f aca="false">IF(G101=2,F108*(S108-Q108),F108*(Q108-S108))</f>
        <v>0</v>
      </c>
      <c r="AE108" s="116" t="n">
        <f aca="false">IF($G$3=1,F108*(R108-Q108),F108*(Q108-R108))</f>
        <v>0</v>
      </c>
      <c r="AG108" s="116" t="n">
        <f aca="false">AC108+AE108</f>
        <v>0</v>
      </c>
    </row>
    <row r="109" customFormat="false" ht="12.75" hidden="false" customHeight="false" outlineLevel="0" collapsed="false">
      <c r="A109" s="120" t="n">
        <f aca="false">EDATE(A108,1)</f>
        <v>40299</v>
      </c>
      <c r="B109" s="121" t="e">
        <f aca="false">VLOOKUP(A109,'Inputs-Summary'!$A$32:$E$41,3,FALSE())</f>
        <v>#N/A</v>
      </c>
      <c r="C109" s="122"/>
      <c r="D109" s="123" t="e">
        <f aca="false">B109+C109</f>
        <v>#N/A</v>
      </c>
      <c r="E109" s="111" t="n">
        <f aca="false">IF(Z109=0,0,IF(AND(Z109=1,$H$3=1),D109*U109,IF($H$3=2,D109,"N/A")))</f>
        <v>0</v>
      </c>
      <c r="F109" s="111" t="n">
        <f aca="false">E109*Y109</f>
        <v>0</v>
      </c>
      <c r="G109" s="124" t="n">
        <f aca="false">VLOOKUP($A109,Table,MATCH(G$4,Curves,0))</f>
        <v>3</v>
      </c>
      <c r="H109" s="125" t="n">
        <f aca="false">G109+$H$7</f>
        <v>3</v>
      </c>
      <c r="I109" s="124" t="n">
        <f aca="false">H109</f>
        <v>3</v>
      </c>
      <c r="J109" s="124" t="n">
        <f aca="false">VLOOKUP($A109,Table,MATCH(J$4,Curves,0))</f>
        <v>4</v>
      </c>
      <c r="K109" s="125" t="n">
        <f aca="false">J109+$K$7</f>
        <v>4</v>
      </c>
      <c r="L109" s="126" t="n">
        <f aca="false">K109</f>
        <v>4</v>
      </c>
      <c r="M109" s="124" t="n">
        <f aca="false">VLOOKUP($A109,Table,MATCH(M$4,Curves,0))</f>
        <v>4</v>
      </c>
      <c r="N109" s="125" t="n">
        <f aca="false">M109+$N$7</f>
        <v>4</v>
      </c>
      <c r="O109" s="126" t="n">
        <v>0.12</v>
      </c>
      <c r="P109" s="114"/>
      <c r="Q109" s="126" t="n">
        <f aca="false">M109+J109+G109</f>
        <v>11</v>
      </c>
      <c r="R109" s="126" t="n">
        <f aca="false">N109+K109+H109</f>
        <v>11</v>
      </c>
      <c r="S109" s="126" t="n">
        <f aca="false">O109+L109+I109</f>
        <v>7.12</v>
      </c>
      <c r="T109" s="127"/>
      <c r="U109" s="5" t="n">
        <f aca="false">A110-A109</f>
        <v>31</v>
      </c>
      <c r="V109" s="128" t="n">
        <f aca="false">CHOOSE(F$3,A110+24,A109)</f>
        <v>40299</v>
      </c>
      <c r="W109" s="5" t="n">
        <f aca="false">V109-C$3</f>
        <v>3068</v>
      </c>
      <c r="X109" s="124" t="n">
        <f aca="false">VLOOKUP($A109,Table,MATCH(X$4,Curves,0))</f>
        <v>2</v>
      </c>
      <c r="Y109" s="129" t="n">
        <f aca="false">1/(1+CHOOSE(F$3,(X110+($K$3/10000))/2,(X109+($K$3/10000))/2))^(2*W109/365.25)</f>
        <v>8.76719987814404E-006</v>
      </c>
      <c r="Z109" s="5" t="n">
        <f aca="false">IF(AND(mthbeg&lt;=A109,mthend&gt;=A109),1,0)</f>
        <v>0</v>
      </c>
      <c r="AA109" s="5" t="n">
        <f aca="false">U109*Z109</f>
        <v>0</v>
      </c>
      <c r="AC109" s="115" t="n">
        <f aca="false">IF(G102=2,F109*(S109-Q109),F109*(Q109-S109))</f>
        <v>0</v>
      </c>
      <c r="AE109" s="116" t="n">
        <f aca="false">IF($G$3=1,F109*(R109-Q109),F109*(Q109-R109))</f>
        <v>0</v>
      </c>
      <c r="AG109" s="116" t="n">
        <f aca="false">AC109+AE109</f>
        <v>0</v>
      </c>
    </row>
    <row r="110" customFormat="false" ht="12.75" hidden="false" customHeight="false" outlineLevel="0" collapsed="false">
      <c r="A110" s="120" t="n">
        <f aca="false">EDATE(A109,1)</f>
        <v>40330</v>
      </c>
      <c r="B110" s="121" t="e">
        <f aca="false">VLOOKUP(A110,'Inputs-Summary'!$A$32:$E$41,3,FALSE())</f>
        <v>#N/A</v>
      </c>
      <c r="C110" s="122"/>
      <c r="D110" s="123" t="e">
        <f aca="false">B110+C110</f>
        <v>#N/A</v>
      </c>
      <c r="E110" s="111" t="n">
        <f aca="false">IF(Z110=0,0,IF(AND(Z110=1,$H$3=1),D110*U110,IF($H$3=2,D110,"N/A")))</f>
        <v>0</v>
      </c>
      <c r="F110" s="111" t="n">
        <f aca="false">E110*Y110</f>
        <v>0</v>
      </c>
      <c r="G110" s="124" t="n">
        <f aca="false">VLOOKUP($A110,Table,MATCH(G$4,Curves,0))</f>
        <v>3</v>
      </c>
      <c r="H110" s="125" t="n">
        <f aca="false">G110+$H$7</f>
        <v>3</v>
      </c>
      <c r="I110" s="124" t="n">
        <f aca="false">H110</f>
        <v>3</v>
      </c>
      <c r="J110" s="124" t="n">
        <f aca="false">VLOOKUP($A110,Table,MATCH(J$4,Curves,0))</f>
        <v>4</v>
      </c>
      <c r="K110" s="125" t="n">
        <f aca="false">J110+$K$7</f>
        <v>4</v>
      </c>
      <c r="L110" s="126" t="n">
        <f aca="false">K110</f>
        <v>4</v>
      </c>
      <c r="M110" s="124" t="n">
        <f aca="false">VLOOKUP($A110,Table,MATCH(M$4,Curves,0))</f>
        <v>4</v>
      </c>
      <c r="N110" s="125" t="n">
        <f aca="false">M110+$N$7</f>
        <v>4</v>
      </c>
      <c r="O110" s="126" t="n">
        <v>0.12</v>
      </c>
      <c r="P110" s="114"/>
      <c r="Q110" s="126" t="n">
        <f aca="false">M110+J110+G110</f>
        <v>11</v>
      </c>
      <c r="R110" s="126" t="n">
        <f aca="false">N110+K110+H110</f>
        <v>11</v>
      </c>
      <c r="S110" s="126" t="n">
        <f aca="false">O110+L110+I110</f>
        <v>7.12</v>
      </c>
      <c r="T110" s="127"/>
      <c r="U110" s="5" t="n">
        <f aca="false">A111-A110</f>
        <v>30</v>
      </c>
      <c r="V110" s="128" t="n">
        <f aca="false">CHOOSE(F$3,A111+24,A110)</f>
        <v>40330</v>
      </c>
      <c r="W110" s="5" t="n">
        <f aca="false">V110-C$3</f>
        <v>3099</v>
      </c>
      <c r="X110" s="124" t="n">
        <f aca="false">VLOOKUP($A110,Table,MATCH(X$4,Curves,0))</f>
        <v>2</v>
      </c>
      <c r="Y110" s="129" t="n">
        <f aca="false">1/(1+CHOOSE(F$3,(X111+($K$3/10000))/2,(X110+($K$3/10000))/2))^(2*W110/365.25)</f>
        <v>7.79402949262973E-006</v>
      </c>
      <c r="Z110" s="5" t="n">
        <f aca="false">IF(AND(mthbeg&lt;=A110,mthend&gt;=A110),1,0)</f>
        <v>0</v>
      </c>
      <c r="AA110" s="5" t="n">
        <f aca="false">U110*Z110</f>
        <v>0</v>
      </c>
      <c r="AC110" s="115" t="n">
        <f aca="false">IF(G103=2,F110*(S110-Q110),F110*(Q110-S110))</f>
        <v>0</v>
      </c>
      <c r="AE110" s="116" t="n">
        <f aca="false">IF($G$3=1,F110*(R110-Q110),F110*(Q110-R110))</f>
        <v>0</v>
      </c>
      <c r="AG110" s="116" t="n">
        <f aca="false">AC110+AE110</f>
        <v>0</v>
      </c>
    </row>
    <row r="111" customFormat="false" ht="12.75" hidden="false" customHeight="false" outlineLevel="0" collapsed="false">
      <c r="A111" s="120" t="n">
        <f aca="false">EDATE(A110,1)</f>
        <v>40360</v>
      </c>
      <c r="B111" s="121" t="e">
        <f aca="false">VLOOKUP(A111,'Inputs-Summary'!$A$32:$E$41,3,FALSE())</f>
        <v>#N/A</v>
      </c>
      <c r="C111" s="122"/>
      <c r="D111" s="123" t="e">
        <f aca="false">B111+C111</f>
        <v>#N/A</v>
      </c>
      <c r="E111" s="111" t="n">
        <f aca="false">IF(Z111=0,0,IF(AND(Z111=1,$H$3=1),D111*U111,IF($H$3=2,D111,"N/A")))</f>
        <v>0</v>
      </c>
      <c r="F111" s="111" t="n">
        <f aca="false">E111*Y111</f>
        <v>0</v>
      </c>
      <c r="G111" s="124" t="n">
        <f aca="false">VLOOKUP($A111,Table,MATCH(G$4,Curves,0))</f>
        <v>3</v>
      </c>
      <c r="H111" s="125" t="n">
        <f aca="false">G111+$H$7</f>
        <v>3</v>
      </c>
      <c r="I111" s="124" t="n">
        <f aca="false">H111</f>
        <v>3</v>
      </c>
      <c r="J111" s="124" t="n">
        <f aca="false">VLOOKUP($A111,Table,MATCH(J$4,Curves,0))</f>
        <v>4</v>
      </c>
      <c r="K111" s="125" t="n">
        <f aca="false">J111+$K$7</f>
        <v>4</v>
      </c>
      <c r="L111" s="126" t="n">
        <f aca="false">K111</f>
        <v>4</v>
      </c>
      <c r="M111" s="124" t="n">
        <f aca="false">VLOOKUP($A111,Table,MATCH(M$4,Curves,0))</f>
        <v>4</v>
      </c>
      <c r="N111" s="125" t="n">
        <f aca="false">M111+$N$7</f>
        <v>4</v>
      </c>
      <c r="O111" s="126" t="n">
        <v>0.12</v>
      </c>
      <c r="P111" s="114"/>
      <c r="Q111" s="126" t="n">
        <f aca="false">M111+J111+G111</f>
        <v>11</v>
      </c>
      <c r="R111" s="126" t="n">
        <f aca="false">N111+K111+H111</f>
        <v>11</v>
      </c>
      <c r="S111" s="126" t="n">
        <f aca="false">O111+L111+I111</f>
        <v>7.12</v>
      </c>
      <c r="T111" s="127"/>
      <c r="U111" s="5" t="n">
        <f aca="false">A112-A111</f>
        <v>31</v>
      </c>
      <c r="V111" s="128" t="n">
        <f aca="false">CHOOSE(F$3,A112+24,A111)</f>
        <v>40360</v>
      </c>
      <c r="W111" s="5" t="n">
        <f aca="false">V111-C$3</f>
        <v>3129</v>
      </c>
      <c r="X111" s="124" t="n">
        <f aca="false">VLOOKUP($A111,Table,MATCH(X$4,Curves,0))</f>
        <v>2</v>
      </c>
      <c r="Y111" s="129" t="n">
        <f aca="false">1/(1+CHOOSE(F$3,(X112+($K$3/10000))/2,(X111+($K$3/10000))/2))^(2*W111/365.25)</f>
        <v>6.95523057818991E-006</v>
      </c>
      <c r="Z111" s="5" t="n">
        <f aca="false">IF(AND(mthbeg&lt;=A111,mthend&gt;=A111),1,0)</f>
        <v>0</v>
      </c>
      <c r="AA111" s="5" t="n">
        <f aca="false">U111*Z111</f>
        <v>0</v>
      </c>
      <c r="AC111" s="115" t="n">
        <f aca="false">IF(G104=2,F111*(S111-Q111),F111*(Q111-S111))</f>
        <v>0</v>
      </c>
      <c r="AE111" s="116" t="n">
        <f aca="false">IF($G$3=1,F111*(R111-Q111),F111*(Q111-R111))</f>
        <v>0</v>
      </c>
      <c r="AG111" s="116" t="n">
        <f aca="false">AC111+AE111</f>
        <v>0</v>
      </c>
    </row>
    <row r="112" customFormat="false" ht="12.75" hidden="false" customHeight="false" outlineLevel="0" collapsed="false">
      <c r="A112" s="120" t="n">
        <f aca="false">EDATE(A111,1)</f>
        <v>40391</v>
      </c>
      <c r="B112" s="121" t="e">
        <f aca="false">VLOOKUP(A112,'Inputs-Summary'!$A$32:$E$41,3,FALSE())</f>
        <v>#N/A</v>
      </c>
      <c r="C112" s="122"/>
      <c r="D112" s="123" t="e">
        <f aca="false">B112+C112</f>
        <v>#N/A</v>
      </c>
      <c r="E112" s="111" t="n">
        <f aca="false">IF(Z112=0,0,IF(AND(Z112=1,$H$3=1),D112*U112,IF($H$3=2,D112,"N/A")))</f>
        <v>0</v>
      </c>
      <c r="F112" s="111" t="n">
        <f aca="false">E112*Y112</f>
        <v>0</v>
      </c>
      <c r="G112" s="124" t="n">
        <f aca="false">VLOOKUP($A112,Table,MATCH(G$4,Curves,0))</f>
        <v>3</v>
      </c>
      <c r="H112" s="125" t="n">
        <f aca="false">G112+$H$7</f>
        <v>3</v>
      </c>
      <c r="I112" s="124" t="n">
        <f aca="false">H112</f>
        <v>3</v>
      </c>
      <c r="J112" s="124" t="n">
        <f aca="false">VLOOKUP($A112,Table,MATCH(J$4,Curves,0))</f>
        <v>4</v>
      </c>
      <c r="K112" s="125" t="n">
        <f aca="false">J112+$K$7</f>
        <v>4</v>
      </c>
      <c r="L112" s="126" t="n">
        <f aca="false">K112</f>
        <v>4</v>
      </c>
      <c r="M112" s="124" t="n">
        <f aca="false">VLOOKUP($A112,Table,MATCH(M$4,Curves,0))</f>
        <v>4</v>
      </c>
      <c r="N112" s="125" t="n">
        <f aca="false">M112+$N$7</f>
        <v>4</v>
      </c>
      <c r="O112" s="126" t="n">
        <v>0.12</v>
      </c>
      <c r="P112" s="114"/>
      <c r="Q112" s="126" t="n">
        <f aca="false">M112+J112+G112</f>
        <v>11</v>
      </c>
      <c r="R112" s="126" t="n">
        <f aca="false">N112+K112+H112</f>
        <v>11</v>
      </c>
      <c r="S112" s="126" t="n">
        <f aca="false">O112+L112+I112</f>
        <v>7.12</v>
      </c>
      <c r="T112" s="127"/>
      <c r="U112" s="5" t="n">
        <f aca="false">A113-A112</f>
        <v>31</v>
      </c>
      <c r="V112" s="128" t="n">
        <f aca="false">CHOOSE(F$3,A113+24,A112)</f>
        <v>40391</v>
      </c>
      <c r="W112" s="5" t="n">
        <f aca="false">V112-C$3</f>
        <v>3160</v>
      </c>
      <c r="X112" s="124" t="n">
        <f aca="false">VLOOKUP($A112,Table,MATCH(X$4,Curves,0))</f>
        <v>2</v>
      </c>
      <c r="Y112" s="129" t="n">
        <f aca="false">1/(1+CHOOSE(F$3,(X113+($K$3/10000))/2,(X112+($K$3/10000))/2))^(2*W112/365.25)</f>
        <v>6.18319109954272E-006</v>
      </c>
      <c r="Z112" s="5" t="n">
        <f aca="false">IF(AND(mthbeg&lt;=A112,mthend&gt;=A112),1,0)</f>
        <v>0</v>
      </c>
      <c r="AA112" s="5" t="n">
        <f aca="false">U112*Z112</f>
        <v>0</v>
      </c>
      <c r="AC112" s="115" t="n">
        <f aca="false">IF(G105=2,F112*(S112-Q112),F112*(Q112-S112))</f>
        <v>0</v>
      </c>
      <c r="AE112" s="116" t="n">
        <f aca="false">IF($G$3=1,F112*(R112-Q112),F112*(Q112-R112))</f>
        <v>0</v>
      </c>
      <c r="AG112" s="116" t="n">
        <f aca="false">AC112+AE112</f>
        <v>0</v>
      </c>
    </row>
    <row r="113" customFormat="false" ht="12.75" hidden="false" customHeight="false" outlineLevel="0" collapsed="false">
      <c r="A113" s="120" t="n">
        <f aca="false">EDATE(A112,1)</f>
        <v>40422</v>
      </c>
      <c r="B113" s="121" t="e">
        <f aca="false">VLOOKUP(A113,'Inputs-Summary'!$A$32:$E$41,3,FALSE())</f>
        <v>#N/A</v>
      </c>
      <c r="C113" s="122"/>
      <c r="D113" s="123" t="e">
        <f aca="false">B113+C113</f>
        <v>#N/A</v>
      </c>
      <c r="E113" s="111" t="n">
        <f aca="false">IF(Z113=0,0,IF(AND(Z113=1,$H$3=1),D113*U113,IF($H$3=2,D113,"N/A")))</f>
        <v>0</v>
      </c>
      <c r="F113" s="111" t="n">
        <f aca="false">E113*Y113</f>
        <v>0</v>
      </c>
      <c r="G113" s="124" t="n">
        <f aca="false">VLOOKUP($A113,Table,MATCH(G$4,Curves,0))</f>
        <v>3</v>
      </c>
      <c r="H113" s="125" t="n">
        <f aca="false">G113+$H$7</f>
        <v>3</v>
      </c>
      <c r="I113" s="124" t="n">
        <f aca="false">H113</f>
        <v>3</v>
      </c>
      <c r="J113" s="124" t="n">
        <f aca="false">VLOOKUP($A113,Table,MATCH(J$4,Curves,0))</f>
        <v>4</v>
      </c>
      <c r="K113" s="125" t="n">
        <f aca="false">J113+$K$7</f>
        <v>4</v>
      </c>
      <c r="L113" s="126" t="n">
        <f aca="false">K113</f>
        <v>4</v>
      </c>
      <c r="M113" s="124" t="n">
        <f aca="false">VLOOKUP($A113,Table,MATCH(M$4,Curves,0))</f>
        <v>4</v>
      </c>
      <c r="N113" s="125" t="n">
        <f aca="false">M113+$N$7</f>
        <v>4</v>
      </c>
      <c r="O113" s="126" t="n">
        <v>0.12</v>
      </c>
      <c r="P113" s="114"/>
      <c r="Q113" s="126" t="n">
        <f aca="false">M113+J113+G113</f>
        <v>11</v>
      </c>
      <c r="R113" s="126" t="n">
        <f aca="false">N113+K113+H113</f>
        <v>11</v>
      </c>
      <c r="S113" s="126" t="n">
        <f aca="false">O113+L113+I113</f>
        <v>7.12</v>
      </c>
      <c r="T113" s="127"/>
      <c r="U113" s="5" t="n">
        <f aca="false">A114-A113</f>
        <v>30</v>
      </c>
      <c r="V113" s="128" t="n">
        <f aca="false">CHOOSE(F$3,A114+24,A113)</f>
        <v>40422</v>
      </c>
      <c r="W113" s="5" t="n">
        <f aca="false">V113-C$3</f>
        <v>3191</v>
      </c>
      <c r="X113" s="124" t="n">
        <f aca="false">VLOOKUP($A113,Table,MATCH(X$4,Curves,0))</f>
        <v>2</v>
      </c>
      <c r="Y113" s="129" t="n">
        <f aca="false">1/(1+CHOOSE(F$3,(X114+($K$3/10000))/2,(X113+($K$3/10000))/2))^(2*W113/365.25)</f>
        <v>5.49684898921267E-006</v>
      </c>
      <c r="Z113" s="5" t="n">
        <f aca="false">IF(AND(mthbeg&lt;=A113,mthend&gt;=A113),1,0)</f>
        <v>0</v>
      </c>
      <c r="AA113" s="5" t="n">
        <f aca="false">U113*Z113</f>
        <v>0</v>
      </c>
      <c r="AC113" s="115" t="n">
        <f aca="false">IF(G106=2,F113*(S113-Q113),F113*(Q113-S113))</f>
        <v>0</v>
      </c>
      <c r="AE113" s="116" t="n">
        <f aca="false">IF($G$3=1,F113*(R113-Q113),F113*(Q113-R113))</f>
        <v>0</v>
      </c>
      <c r="AG113" s="116" t="n">
        <f aca="false">AC113+AE113</f>
        <v>0</v>
      </c>
    </row>
    <row r="114" customFormat="false" ht="12.75" hidden="false" customHeight="false" outlineLevel="0" collapsed="false">
      <c r="A114" s="120" t="n">
        <f aca="false">EDATE(A113,1)</f>
        <v>40452</v>
      </c>
      <c r="B114" s="121" t="e">
        <f aca="false">VLOOKUP(A114,'Inputs-Summary'!$A$32:$E$41,3,FALSE())</f>
        <v>#N/A</v>
      </c>
      <c r="C114" s="122"/>
      <c r="D114" s="123" t="e">
        <f aca="false">B114+C114</f>
        <v>#N/A</v>
      </c>
      <c r="E114" s="111" t="n">
        <f aca="false">IF(Z114=0,0,IF(AND(Z114=1,$H$3=1),D114*U114,IF($H$3=2,D114,"N/A")))</f>
        <v>0</v>
      </c>
      <c r="F114" s="111" t="n">
        <f aca="false">E114*Y114</f>
        <v>0</v>
      </c>
      <c r="G114" s="124" t="n">
        <f aca="false">VLOOKUP($A114,Table,MATCH(G$4,Curves,0))</f>
        <v>3</v>
      </c>
      <c r="H114" s="125" t="n">
        <f aca="false">G114+$H$7</f>
        <v>3</v>
      </c>
      <c r="I114" s="124" t="n">
        <f aca="false">H114</f>
        <v>3</v>
      </c>
      <c r="J114" s="124" t="n">
        <f aca="false">VLOOKUP($A114,Table,MATCH(J$4,Curves,0))</f>
        <v>4</v>
      </c>
      <c r="K114" s="125" t="n">
        <f aca="false">J114+$K$7</f>
        <v>4</v>
      </c>
      <c r="L114" s="126" t="n">
        <f aca="false">K114</f>
        <v>4</v>
      </c>
      <c r="M114" s="124" t="n">
        <f aca="false">VLOOKUP($A114,Table,MATCH(M$4,Curves,0))</f>
        <v>4</v>
      </c>
      <c r="N114" s="125" t="n">
        <f aca="false">M114+$N$7</f>
        <v>4</v>
      </c>
      <c r="O114" s="126" t="n">
        <v>0.12</v>
      </c>
      <c r="P114" s="114"/>
      <c r="Q114" s="126" t="n">
        <f aca="false">M114+J114+G114</f>
        <v>11</v>
      </c>
      <c r="R114" s="126" t="n">
        <f aca="false">N114+K114+H114</f>
        <v>11</v>
      </c>
      <c r="S114" s="126" t="n">
        <f aca="false">O114+L114+I114</f>
        <v>7.12</v>
      </c>
      <c r="T114" s="127"/>
      <c r="U114" s="5" t="n">
        <f aca="false">A115-A114</f>
        <v>31</v>
      </c>
      <c r="V114" s="128" t="n">
        <f aca="false">CHOOSE(F$3,A115+24,A114)</f>
        <v>40452</v>
      </c>
      <c r="W114" s="5" t="n">
        <f aca="false">V114-C$3</f>
        <v>3221</v>
      </c>
      <c r="X114" s="124" t="n">
        <f aca="false">VLOOKUP($A114,Table,MATCH(X$4,Curves,0))</f>
        <v>2</v>
      </c>
      <c r="Y114" s="129" t="n">
        <f aca="false">1/(1+CHOOSE(F$3,(X115+($K$3/10000))/2,(X114+($K$3/10000))/2))^(2*W114/365.25)</f>
        <v>4.90527424993932E-006</v>
      </c>
      <c r="Z114" s="5" t="n">
        <f aca="false">IF(AND(mthbeg&lt;=A114,mthend&gt;=A114),1,0)</f>
        <v>0</v>
      </c>
      <c r="AA114" s="5" t="n">
        <f aca="false">U114*Z114</f>
        <v>0</v>
      </c>
      <c r="AC114" s="115" t="n">
        <f aca="false">IF(G107=2,F114*(S114-Q114),F114*(Q114-S114))</f>
        <v>0</v>
      </c>
      <c r="AE114" s="116" t="n">
        <f aca="false">IF($G$3=1,F114*(R114-Q114),F114*(Q114-R114))</f>
        <v>0</v>
      </c>
      <c r="AG114" s="116" t="n">
        <f aca="false">AC114+AE114</f>
        <v>0</v>
      </c>
    </row>
    <row r="115" customFormat="false" ht="12.75" hidden="false" customHeight="false" outlineLevel="0" collapsed="false">
      <c r="A115" s="120" t="n">
        <f aca="false">EDATE(A114,1)</f>
        <v>40483</v>
      </c>
      <c r="B115" s="121" t="e">
        <f aca="false">VLOOKUP(A115,'Inputs-Summary'!$A$32:$E$41,3,FALSE())</f>
        <v>#N/A</v>
      </c>
      <c r="C115" s="122"/>
      <c r="D115" s="123" t="e">
        <f aca="false">B115+C115</f>
        <v>#N/A</v>
      </c>
      <c r="E115" s="111" t="n">
        <f aca="false">IF(Z115=0,0,IF(AND(Z115=1,$H$3=1),D115*U115,IF($H$3=2,D115,"N/A")))</f>
        <v>0</v>
      </c>
      <c r="F115" s="111" t="n">
        <f aca="false">E115*Y115</f>
        <v>0</v>
      </c>
      <c r="G115" s="124" t="n">
        <f aca="false">VLOOKUP($A115,Table,MATCH(G$4,Curves,0))</f>
        <v>3</v>
      </c>
      <c r="H115" s="125" t="n">
        <f aca="false">G115+$H$7</f>
        <v>3</v>
      </c>
      <c r="I115" s="124" t="n">
        <f aca="false">H115</f>
        <v>3</v>
      </c>
      <c r="J115" s="124" t="n">
        <f aca="false">VLOOKUP($A115,Table,MATCH(J$4,Curves,0))</f>
        <v>4</v>
      </c>
      <c r="K115" s="125" t="n">
        <f aca="false">J115+$K$7</f>
        <v>4</v>
      </c>
      <c r="L115" s="126" t="n">
        <f aca="false">K115</f>
        <v>4</v>
      </c>
      <c r="M115" s="124" t="n">
        <f aca="false">VLOOKUP($A115,Table,MATCH(M$4,Curves,0))</f>
        <v>4</v>
      </c>
      <c r="N115" s="125" t="n">
        <f aca="false">M115+$N$7</f>
        <v>4</v>
      </c>
      <c r="O115" s="126" t="n">
        <v>0.12</v>
      </c>
      <c r="P115" s="114"/>
      <c r="Q115" s="126" t="n">
        <f aca="false">M115+J115+G115</f>
        <v>11</v>
      </c>
      <c r="R115" s="126" t="n">
        <f aca="false">N115+K115+H115</f>
        <v>11</v>
      </c>
      <c r="S115" s="126" t="n">
        <f aca="false">O115+L115+I115</f>
        <v>7.12</v>
      </c>
      <c r="T115" s="127"/>
      <c r="U115" s="5" t="n">
        <f aca="false">A116-A115</f>
        <v>30</v>
      </c>
      <c r="V115" s="128" t="n">
        <f aca="false">CHOOSE(F$3,A116+24,A115)</f>
        <v>40483</v>
      </c>
      <c r="W115" s="5" t="n">
        <f aca="false">V115-C$3</f>
        <v>3252</v>
      </c>
      <c r="X115" s="124" t="n">
        <f aca="false">VLOOKUP($A115,Table,MATCH(X$4,Curves,0))</f>
        <v>2</v>
      </c>
      <c r="Y115" s="129" t="n">
        <f aca="false">1/(1+CHOOSE(F$3,(X116+($K$3/10000))/2,(X115+($K$3/10000))/2))^(2*W115/365.25)</f>
        <v>4.36078254229989E-006</v>
      </c>
      <c r="Z115" s="5" t="n">
        <f aca="false">IF(AND(mthbeg&lt;=A115,mthend&gt;=A115),1,0)</f>
        <v>0</v>
      </c>
      <c r="AA115" s="5" t="n">
        <f aca="false">U115*Z115</f>
        <v>0</v>
      </c>
      <c r="AC115" s="115" t="n">
        <f aca="false">IF(G108=2,F115*(S115-Q115),F115*(Q115-S115))</f>
        <v>0</v>
      </c>
      <c r="AE115" s="116" t="n">
        <f aca="false">IF($G$3=1,F115*(R115-Q115),F115*(Q115-R115))</f>
        <v>0</v>
      </c>
      <c r="AG115" s="116" t="n">
        <f aca="false">AC115+AE115</f>
        <v>0</v>
      </c>
    </row>
    <row r="116" customFormat="false" ht="12.75" hidden="false" customHeight="false" outlineLevel="0" collapsed="false">
      <c r="A116" s="120" t="n">
        <f aca="false">EDATE(A115,1)</f>
        <v>40513</v>
      </c>
      <c r="B116" s="121" t="e">
        <f aca="false">VLOOKUP(A116,'Inputs-Summary'!$A$32:$E$41,3,FALSE())</f>
        <v>#N/A</v>
      </c>
      <c r="C116" s="122"/>
      <c r="D116" s="123" t="e">
        <f aca="false">B116+C116</f>
        <v>#N/A</v>
      </c>
      <c r="E116" s="111" t="n">
        <f aca="false">IF(Z116=0,0,IF(AND(Z116=1,$H$3=1),D116*U116,IF($H$3=2,D116,"N/A")))</f>
        <v>0</v>
      </c>
      <c r="F116" s="111" t="n">
        <f aca="false">E116*Y116</f>
        <v>0</v>
      </c>
      <c r="G116" s="124" t="n">
        <f aca="false">VLOOKUP($A116,Table,MATCH(G$4,Curves,0))</f>
        <v>3</v>
      </c>
      <c r="H116" s="125" t="n">
        <f aca="false">G116+$H$7</f>
        <v>3</v>
      </c>
      <c r="I116" s="124" t="n">
        <f aca="false">H116</f>
        <v>3</v>
      </c>
      <c r="J116" s="124" t="n">
        <f aca="false">VLOOKUP($A116,Table,MATCH(J$4,Curves,0))</f>
        <v>4</v>
      </c>
      <c r="K116" s="125" t="n">
        <f aca="false">J116+$K$7</f>
        <v>4</v>
      </c>
      <c r="L116" s="126" t="n">
        <f aca="false">K116</f>
        <v>4</v>
      </c>
      <c r="M116" s="124" t="n">
        <f aca="false">VLOOKUP($A116,Table,MATCH(M$4,Curves,0))</f>
        <v>4</v>
      </c>
      <c r="N116" s="125" t="n">
        <f aca="false">M116+$N$7</f>
        <v>4</v>
      </c>
      <c r="O116" s="126" t="n">
        <v>0.12</v>
      </c>
      <c r="P116" s="114"/>
      <c r="Q116" s="126" t="n">
        <f aca="false">M116+J116+G116</f>
        <v>11</v>
      </c>
      <c r="R116" s="126" t="n">
        <f aca="false">N116+K116+H116</f>
        <v>11</v>
      </c>
      <c r="S116" s="126" t="n">
        <f aca="false">O116+L116+I116</f>
        <v>7.12</v>
      </c>
      <c r="T116" s="127"/>
      <c r="U116" s="5" t="n">
        <f aca="false">A117-A116</f>
        <v>31</v>
      </c>
      <c r="V116" s="128" t="n">
        <f aca="false">CHOOSE(F$3,A117+24,A116)</f>
        <v>40513</v>
      </c>
      <c r="W116" s="5" t="n">
        <f aca="false">V116-C$3</f>
        <v>3282</v>
      </c>
      <c r="X116" s="124" t="n">
        <f aca="false">VLOOKUP($A116,Table,MATCH(X$4,Curves,0))</f>
        <v>2</v>
      </c>
      <c r="Y116" s="129" t="n">
        <f aca="false">1/(1+CHOOSE(F$3,(X117+($K$3/10000))/2,(X116+($K$3/10000))/2))^(2*W116/365.25)</f>
        <v>3.89147206996356E-006</v>
      </c>
      <c r="Z116" s="5" t="n">
        <f aca="false">IF(AND(mthbeg&lt;=A116,mthend&gt;=A116),1,0)</f>
        <v>0</v>
      </c>
      <c r="AA116" s="5" t="n">
        <f aca="false">U116*Z116</f>
        <v>0</v>
      </c>
      <c r="AC116" s="115" t="n">
        <f aca="false">IF(G109=2,F116*(S116-Q116),F116*(Q116-S116))</f>
        <v>0</v>
      </c>
      <c r="AE116" s="116" t="n">
        <f aca="false">IF($G$3=1,F116*(R116-Q116),F116*(Q116-R116))</f>
        <v>0</v>
      </c>
      <c r="AG116" s="116" t="n">
        <f aca="false">AC116+AE116</f>
        <v>0</v>
      </c>
    </row>
    <row r="117" customFormat="false" ht="12.75" hidden="false" customHeight="false" outlineLevel="0" collapsed="false">
      <c r="A117" s="120" t="n">
        <f aca="false">EDATE(A116,1)</f>
        <v>40544</v>
      </c>
      <c r="B117" s="121" t="e">
        <f aca="false">VLOOKUP(A117,'Inputs-Summary'!$A$32:$E$41,3,FALSE())</f>
        <v>#N/A</v>
      </c>
      <c r="C117" s="122"/>
      <c r="D117" s="123" t="e">
        <f aca="false">B117+C117</f>
        <v>#N/A</v>
      </c>
      <c r="E117" s="111" t="n">
        <f aca="false">IF(Z117=0,0,IF(AND(Z117=1,$H$3=1),D117*U117,IF($H$3=2,D117,"N/A")))</f>
        <v>0</v>
      </c>
      <c r="F117" s="111" t="n">
        <f aca="false">E117*Y117</f>
        <v>0</v>
      </c>
      <c r="G117" s="124" t="n">
        <f aca="false">VLOOKUP($A117,Table,MATCH(G$4,Curves,0))</f>
        <v>3</v>
      </c>
      <c r="H117" s="125" t="n">
        <f aca="false">G117+$H$7</f>
        <v>3</v>
      </c>
      <c r="I117" s="124" t="n">
        <f aca="false">H117</f>
        <v>3</v>
      </c>
      <c r="J117" s="124" t="n">
        <f aca="false">VLOOKUP($A117,Table,MATCH(J$4,Curves,0))</f>
        <v>4</v>
      </c>
      <c r="K117" s="125" t="n">
        <f aca="false">J117+$K$7</f>
        <v>4</v>
      </c>
      <c r="L117" s="126" t="n">
        <f aca="false">K117</f>
        <v>4</v>
      </c>
      <c r="M117" s="124" t="n">
        <f aca="false">VLOOKUP($A117,Table,MATCH(M$4,Curves,0))</f>
        <v>4</v>
      </c>
      <c r="N117" s="125" t="n">
        <f aca="false">M117+$N$7</f>
        <v>4</v>
      </c>
      <c r="O117" s="126" t="n">
        <v>0.12</v>
      </c>
      <c r="P117" s="114"/>
      <c r="Q117" s="126" t="n">
        <f aca="false">M117+J117+G117</f>
        <v>11</v>
      </c>
      <c r="R117" s="126" t="n">
        <f aca="false">N117+K117+H117</f>
        <v>11</v>
      </c>
      <c r="S117" s="126" t="n">
        <f aca="false">O117+L117+I117</f>
        <v>7.12</v>
      </c>
      <c r="T117" s="127"/>
      <c r="U117" s="5" t="n">
        <f aca="false">A118-A117</f>
        <v>31</v>
      </c>
      <c r="V117" s="128" t="n">
        <f aca="false">CHOOSE(F$3,A118+24,A117)</f>
        <v>40544</v>
      </c>
      <c r="W117" s="5" t="n">
        <f aca="false">V117-C$3</f>
        <v>3313</v>
      </c>
      <c r="X117" s="124" t="n">
        <f aca="false">VLOOKUP($A117,Table,MATCH(X$4,Curves,0))</f>
        <v>2</v>
      </c>
      <c r="Y117" s="129" t="n">
        <f aca="false">1/(1+CHOOSE(F$3,(X118+($K$3/10000))/2,(X117+($K$3/10000))/2))^(2*W117/365.25)</f>
        <v>3.45951369931143E-006</v>
      </c>
      <c r="Z117" s="5" t="n">
        <f aca="false">IF(AND(mthbeg&lt;=A117,mthend&gt;=A117),1,0)</f>
        <v>0</v>
      </c>
      <c r="AA117" s="5" t="n">
        <f aca="false">U117*Z117</f>
        <v>0</v>
      </c>
      <c r="AC117" s="115" t="n">
        <f aca="false">IF(G110=2,F117*(S117-Q117),F117*(Q117-S117))</f>
        <v>0</v>
      </c>
      <c r="AE117" s="116" t="n">
        <f aca="false">IF($G$3=1,F117*(R117-Q117),F117*(Q117-R117))</f>
        <v>0</v>
      </c>
      <c r="AG117" s="116" t="n">
        <f aca="false">AC117+AE117</f>
        <v>0</v>
      </c>
    </row>
    <row r="118" customFormat="false" ht="12.75" hidden="false" customHeight="false" outlineLevel="0" collapsed="false">
      <c r="A118" s="120" t="n">
        <f aca="false">EDATE(A117,1)</f>
        <v>40575</v>
      </c>
      <c r="B118" s="121" t="e">
        <f aca="false">VLOOKUP(A118,'Inputs-Summary'!$A$32:$E$41,3,FALSE())</f>
        <v>#N/A</v>
      </c>
      <c r="C118" s="122"/>
      <c r="D118" s="123" t="e">
        <f aca="false">B118+C118</f>
        <v>#N/A</v>
      </c>
      <c r="E118" s="111" t="n">
        <f aca="false">IF(Z118=0,0,IF(AND(Z118=1,$H$3=1),D118*U118,IF($H$3=2,D118,"N/A")))</f>
        <v>0</v>
      </c>
      <c r="F118" s="111" t="n">
        <f aca="false">E118*Y118</f>
        <v>0</v>
      </c>
      <c r="G118" s="124" t="n">
        <f aca="false">VLOOKUP($A118,Table,MATCH(G$4,Curves,0))</f>
        <v>3</v>
      </c>
      <c r="H118" s="125" t="n">
        <f aca="false">G118+$H$7</f>
        <v>3</v>
      </c>
      <c r="I118" s="124" t="n">
        <f aca="false">H118</f>
        <v>3</v>
      </c>
      <c r="J118" s="124" t="n">
        <f aca="false">VLOOKUP($A118,Table,MATCH(J$4,Curves,0))</f>
        <v>4</v>
      </c>
      <c r="K118" s="125" t="n">
        <f aca="false">J118+$K$7</f>
        <v>4</v>
      </c>
      <c r="L118" s="126" t="n">
        <f aca="false">K118</f>
        <v>4</v>
      </c>
      <c r="M118" s="124" t="n">
        <f aca="false">VLOOKUP($A118,Table,MATCH(M$4,Curves,0))</f>
        <v>4</v>
      </c>
      <c r="N118" s="125" t="n">
        <f aca="false">M118+$N$7</f>
        <v>4</v>
      </c>
      <c r="O118" s="126" t="n">
        <v>0.12</v>
      </c>
      <c r="P118" s="114"/>
      <c r="Q118" s="126" t="n">
        <f aca="false">M118+J118+G118</f>
        <v>11</v>
      </c>
      <c r="R118" s="126" t="n">
        <f aca="false">N118+K118+H118</f>
        <v>11</v>
      </c>
      <c r="S118" s="126" t="n">
        <f aca="false">O118+L118+I118</f>
        <v>7.12</v>
      </c>
      <c r="T118" s="127"/>
      <c r="U118" s="5" t="n">
        <f aca="false">A119-A118</f>
        <v>28</v>
      </c>
      <c r="V118" s="128" t="n">
        <f aca="false">CHOOSE(F$3,A119+24,A118)</f>
        <v>40575</v>
      </c>
      <c r="W118" s="5" t="n">
        <f aca="false">V118-C$3</f>
        <v>3344</v>
      </c>
      <c r="X118" s="124" t="n">
        <f aca="false">VLOOKUP($A118,Table,MATCH(X$4,Curves,0))</f>
        <v>2</v>
      </c>
      <c r="Y118" s="129" t="n">
        <f aca="false">1/(1+CHOOSE(F$3,(X119+($K$3/10000))/2,(X118+($K$3/10000))/2))^(2*W118/365.25)</f>
        <v>3.07550325957641E-006</v>
      </c>
      <c r="Z118" s="5" t="n">
        <f aca="false">IF(AND(mthbeg&lt;=A118,mthend&gt;=A118),1,0)</f>
        <v>0</v>
      </c>
      <c r="AA118" s="5" t="n">
        <f aca="false">U118*Z118</f>
        <v>0</v>
      </c>
      <c r="AC118" s="115" t="n">
        <f aca="false">IF(G111=2,F118*(S118-Q118),F118*(Q118-S118))</f>
        <v>0</v>
      </c>
      <c r="AE118" s="116" t="n">
        <f aca="false">IF($G$3=1,F118*(R118-Q118),F118*(Q118-R118))</f>
        <v>0</v>
      </c>
      <c r="AG118" s="116" t="n">
        <f aca="false">AC118+AE118</f>
        <v>0</v>
      </c>
    </row>
    <row r="119" customFormat="false" ht="12.75" hidden="false" customHeight="false" outlineLevel="0" collapsed="false">
      <c r="A119" s="120" t="n">
        <f aca="false">EDATE(A118,1)</f>
        <v>40603</v>
      </c>
      <c r="B119" s="121" t="e">
        <f aca="false">VLOOKUP(A119,'Inputs-Summary'!$A$32:$E$41,3,FALSE())</f>
        <v>#N/A</v>
      </c>
      <c r="C119" s="122"/>
      <c r="D119" s="123" t="e">
        <f aca="false">B119+C119</f>
        <v>#N/A</v>
      </c>
      <c r="E119" s="111" t="n">
        <f aca="false">IF(Z119=0,0,IF(AND(Z119=1,$H$3=1),D119*U119,IF($H$3=2,D119,"N/A")))</f>
        <v>0</v>
      </c>
      <c r="F119" s="111" t="n">
        <f aca="false">E119*Y119</f>
        <v>0</v>
      </c>
      <c r="G119" s="124" t="n">
        <f aca="false">VLOOKUP($A119,Table,MATCH(G$4,Curves,0))</f>
        <v>3</v>
      </c>
      <c r="H119" s="125" t="n">
        <f aca="false">G119+$H$7</f>
        <v>3</v>
      </c>
      <c r="I119" s="124" t="n">
        <f aca="false">H119</f>
        <v>3</v>
      </c>
      <c r="J119" s="124" t="n">
        <f aca="false">VLOOKUP($A119,Table,MATCH(J$4,Curves,0))</f>
        <v>4</v>
      </c>
      <c r="K119" s="125" t="n">
        <f aca="false">J119+$K$7</f>
        <v>4</v>
      </c>
      <c r="L119" s="126" t="n">
        <f aca="false">K119</f>
        <v>4</v>
      </c>
      <c r="M119" s="124" t="n">
        <f aca="false">VLOOKUP($A119,Table,MATCH(M$4,Curves,0))</f>
        <v>4</v>
      </c>
      <c r="N119" s="125" t="n">
        <f aca="false">M119+$N$7</f>
        <v>4</v>
      </c>
      <c r="O119" s="126" t="n">
        <v>0.12</v>
      </c>
      <c r="P119" s="114"/>
      <c r="Q119" s="126" t="n">
        <f aca="false">M119+J119+G119</f>
        <v>11</v>
      </c>
      <c r="R119" s="126" t="n">
        <f aca="false">N119+K119+H119</f>
        <v>11</v>
      </c>
      <c r="S119" s="126" t="n">
        <f aca="false">O119+L119+I119</f>
        <v>7.12</v>
      </c>
      <c r="T119" s="127"/>
      <c r="U119" s="5" t="n">
        <f aca="false">A120-A119</f>
        <v>31</v>
      </c>
      <c r="V119" s="128" t="n">
        <f aca="false">CHOOSE(F$3,A120+24,A119)</f>
        <v>40603</v>
      </c>
      <c r="W119" s="5" t="n">
        <f aca="false">V119-C$3</f>
        <v>3372</v>
      </c>
      <c r="X119" s="124" t="n">
        <f aca="false">VLOOKUP($A119,Table,MATCH(X$4,Curves,0))</f>
        <v>2</v>
      </c>
      <c r="Y119" s="129" t="n">
        <f aca="false">1/(1+CHOOSE(F$3,(X120+($K$3/10000))/2,(X119+($K$3/10000))/2))^(2*W119/365.25)</f>
        <v>2.76542815337481E-006</v>
      </c>
      <c r="Z119" s="5" t="n">
        <f aca="false">IF(AND(mthbeg&lt;=A119,mthend&gt;=A119),1,0)</f>
        <v>0</v>
      </c>
      <c r="AA119" s="5" t="n">
        <f aca="false">U119*Z119</f>
        <v>0</v>
      </c>
      <c r="AC119" s="115" t="n">
        <f aca="false">IF(G112=2,F119*(S119-Q119),F119*(Q119-S119))</f>
        <v>0</v>
      </c>
      <c r="AE119" s="116" t="n">
        <f aca="false">IF($G$3=1,F119*(R119-Q119),F119*(Q119-R119))</f>
        <v>0</v>
      </c>
      <c r="AG119" s="116" t="n">
        <f aca="false">AC119+AE119</f>
        <v>0</v>
      </c>
    </row>
    <row r="120" customFormat="false" ht="12.75" hidden="false" customHeight="false" outlineLevel="0" collapsed="false">
      <c r="A120" s="120" t="n">
        <f aca="false">EDATE(A119,1)</f>
        <v>40634</v>
      </c>
      <c r="B120" s="121" t="e">
        <f aca="false">VLOOKUP(A120,'Inputs-Summary'!$A$32:$E$41,3,FALSE())</f>
        <v>#N/A</v>
      </c>
      <c r="C120" s="122"/>
      <c r="D120" s="123" t="e">
        <f aca="false">B120+C120</f>
        <v>#N/A</v>
      </c>
      <c r="E120" s="111" t="n">
        <f aca="false">IF(Z120=0,0,IF(AND(Z120=1,$H$3=1),D120*U120,IF($H$3=2,D120,"N/A")))</f>
        <v>0</v>
      </c>
      <c r="F120" s="111" t="n">
        <f aca="false">E120*Y120</f>
        <v>0</v>
      </c>
      <c r="G120" s="124" t="n">
        <f aca="false">VLOOKUP($A120,Table,MATCH(G$4,Curves,0))</f>
        <v>3</v>
      </c>
      <c r="H120" s="125" t="n">
        <f aca="false">G120+$H$7</f>
        <v>3</v>
      </c>
      <c r="I120" s="124" t="n">
        <f aca="false">H120</f>
        <v>3</v>
      </c>
      <c r="J120" s="124" t="n">
        <f aca="false">VLOOKUP($A120,Table,MATCH(J$4,Curves,0))</f>
        <v>4</v>
      </c>
      <c r="K120" s="125" t="n">
        <f aca="false">J120+$K$7</f>
        <v>4</v>
      </c>
      <c r="L120" s="126" t="n">
        <f aca="false">K120</f>
        <v>4</v>
      </c>
      <c r="M120" s="124" t="n">
        <f aca="false">VLOOKUP($A120,Table,MATCH(M$4,Curves,0))</f>
        <v>4</v>
      </c>
      <c r="N120" s="125" t="n">
        <f aca="false">M120+$N$7</f>
        <v>4</v>
      </c>
      <c r="O120" s="126" t="n">
        <v>0.12</v>
      </c>
      <c r="P120" s="114"/>
      <c r="Q120" s="126" t="n">
        <f aca="false">M120+J120+G120</f>
        <v>11</v>
      </c>
      <c r="R120" s="126" t="n">
        <f aca="false">N120+K120+H120</f>
        <v>11</v>
      </c>
      <c r="S120" s="126" t="n">
        <f aca="false">O120+L120+I120</f>
        <v>7.12</v>
      </c>
      <c r="T120" s="127"/>
      <c r="U120" s="5" t="n">
        <f aca="false">A121-A120</f>
        <v>30</v>
      </c>
      <c r="V120" s="128" t="n">
        <f aca="false">CHOOSE(F$3,A121+24,A120)</f>
        <v>40634</v>
      </c>
      <c r="W120" s="5" t="n">
        <f aca="false">V120-C$3</f>
        <v>3403</v>
      </c>
      <c r="X120" s="124" t="n">
        <f aca="false">VLOOKUP($A120,Table,MATCH(X$4,Curves,0))</f>
        <v>2</v>
      </c>
      <c r="Y120" s="129" t="n">
        <f aca="false">1/(1+CHOOSE(F$3,(X121+($K$3/10000))/2,(X120+($K$3/10000))/2))^(2*W120/365.25)</f>
        <v>2.4584620958493E-006</v>
      </c>
      <c r="Z120" s="5" t="n">
        <f aca="false">IF(AND(mthbeg&lt;=A120,mthend&gt;=A120),1,0)</f>
        <v>0</v>
      </c>
      <c r="AA120" s="5" t="n">
        <f aca="false">U120*Z120</f>
        <v>0</v>
      </c>
      <c r="AC120" s="115" t="n">
        <f aca="false">IF(G113=2,F120*(S120-Q120),F120*(Q120-S120))</f>
        <v>0</v>
      </c>
      <c r="AE120" s="116" t="n">
        <f aca="false">IF($G$3=1,F120*(R120-Q120),F120*(Q120-R120))</f>
        <v>0</v>
      </c>
      <c r="AG120" s="116" t="n">
        <f aca="false">AC120+AE120</f>
        <v>0</v>
      </c>
    </row>
    <row r="121" customFormat="false" ht="12.75" hidden="false" customHeight="false" outlineLevel="0" collapsed="false">
      <c r="A121" s="120" t="n">
        <f aca="false">EDATE(A120,1)</f>
        <v>40664</v>
      </c>
      <c r="B121" s="121" t="e">
        <f aca="false">VLOOKUP(A121,'Inputs-Summary'!$A$32:$E$41,3,FALSE())</f>
        <v>#N/A</v>
      </c>
      <c r="C121" s="122"/>
      <c r="D121" s="123" t="e">
        <f aca="false">B121+C121</f>
        <v>#N/A</v>
      </c>
      <c r="E121" s="111" t="n">
        <f aca="false">IF(Z121=0,0,IF(AND(Z121=1,$H$3=1),D121*U121,IF($H$3=2,D121,"N/A")))</f>
        <v>0</v>
      </c>
      <c r="F121" s="111" t="n">
        <f aca="false">E121*Y121</f>
        <v>0</v>
      </c>
      <c r="G121" s="124" t="n">
        <f aca="false">VLOOKUP($A121,Table,MATCH(G$4,Curves,0))</f>
        <v>3</v>
      </c>
      <c r="H121" s="125" t="n">
        <f aca="false">G121+$H$7</f>
        <v>3</v>
      </c>
      <c r="I121" s="124" t="n">
        <f aca="false">H121</f>
        <v>3</v>
      </c>
      <c r="J121" s="124" t="n">
        <f aca="false">VLOOKUP($A121,Table,MATCH(J$4,Curves,0))</f>
        <v>4</v>
      </c>
      <c r="K121" s="125" t="n">
        <f aca="false">J121+$K$7</f>
        <v>4</v>
      </c>
      <c r="L121" s="126" t="n">
        <f aca="false">K121</f>
        <v>4</v>
      </c>
      <c r="M121" s="124" t="n">
        <f aca="false">VLOOKUP($A121,Table,MATCH(M$4,Curves,0))</f>
        <v>4</v>
      </c>
      <c r="N121" s="125" t="n">
        <f aca="false">M121+$N$7</f>
        <v>4</v>
      </c>
      <c r="O121" s="126" t="n">
        <v>0.12</v>
      </c>
      <c r="P121" s="114"/>
      <c r="Q121" s="126" t="n">
        <f aca="false">M121+J121+G121</f>
        <v>11</v>
      </c>
      <c r="R121" s="126" t="n">
        <f aca="false">N121+K121+H121</f>
        <v>11</v>
      </c>
      <c r="S121" s="126" t="n">
        <f aca="false">O121+L121+I121</f>
        <v>7.12</v>
      </c>
      <c r="T121" s="127"/>
      <c r="U121" s="5" t="n">
        <f aca="false">A122-A121</f>
        <v>31</v>
      </c>
      <c r="V121" s="128" t="n">
        <f aca="false">CHOOSE(F$3,A122+24,A121)</f>
        <v>40664</v>
      </c>
      <c r="W121" s="5" t="n">
        <f aca="false">V121-C$3</f>
        <v>3433</v>
      </c>
      <c r="X121" s="124" t="n">
        <f aca="false">VLOOKUP($A121,Table,MATCH(X$4,Curves,0))</f>
        <v>2</v>
      </c>
      <c r="Y121" s="129" t="n">
        <f aca="false">1/(1+CHOOSE(F$3,(X122+($K$3/10000))/2,(X121+($K$3/10000))/2))^(2*W121/365.25)</f>
        <v>2.19388068271251E-006</v>
      </c>
      <c r="Z121" s="5" t="n">
        <f aca="false">IF(AND(mthbeg&lt;=A121,mthend&gt;=A121),1,0)</f>
        <v>0</v>
      </c>
      <c r="AA121" s="5" t="n">
        <f aca="false">U121*Z121</f>
        <v>0</v>
      </c>
      <c r="AC121" s="115" t="n">
        <f aca="false">IF(G114=2,F121*(S121-Q121),F121*(Q121-S121))</f>
        <v>0</v>
      </c>
      <c r="AE121" s="116" t="n">
        <f aca="false">IF($G$3=1,F121*(R121-Q121),F121*(Q121-R121))</f>
        <v>0</v>
      </c>
      <c r="AG121" s="116" t="n">
        <f aca="false">AC121+AE121</f>
        <v>0</v>
      </c>
    </row>
    <row r="122" customFormat="false" ht="12.75" hidden="false" customHeight="false" outlineLevel="0" collapsed="false">
      <c r="A122" s="120" t="n">
        <f aca="false">EDATE(A121,1)</f>
        <v>40695</v>
      </c>
      <c r="B122" s="121" t="e">
        <f aca="false">VLOOKUP(A122,'Inputs-Summary'!$A$32:$E$41,3,FALSE())</f>
        <v>#N/A</v>
      </c>
      <c r="C122" s="122"/>
      <c r="D122" s="123" t="e">
        <f aca="false">B122+C122</f>
        <v>#N/A</v>
      </c>
      <c r="E122" s="111" t="n">
        <f aca="false">IF(Z122=0,0,IF(AND(Z122=1,$H$3=1),D122*U122,IF($H$3=2,D122,"N/A")))</f>
        <v>0</v>
      </c>
      <c r="F122" s="111" t="n">
        <f aca="false">E122*Y122</f>
        <v>0</v>
      </c>
      <c r="G122" s="124" t="n">
        <f aca="false">VLOOKUP($A122,Table,MATCH(G$4,Curves,0))</f>
        <v>3</v>
      </c>
      <c r="H122" s="125" t="n">
        <f aca="false">G122+$H$7</f>
        <v>3</v>
      </c>
      <c r="I122" s="124" t="n">
        <f aca="false">H122</f>
        <v>3</v>
      </c>
      <c r="J122" s="124" t="n">
        <f aca="false">VLOOKUP($A122,Table,MATCH(J$4,Curves,0))</f>
        <v>4</v>
      </c>
      <c r="K122" s="125" t="n">
        <f aca="false">J122+$K$7</f>
        <v>4</v>
      </c>
      <c r="L122" s="126" t="n">
        <f aca="false">K122</f>
        <v>4</v>
      </c>
      <c r="M122" s="124" t="n">
        <f aca="false">VLOOKUP($A122,Table,MATCH(M$4,Curves,0))</f>
        <v>4</v>
      </c>
      <c r="N122" s="125" t="n">
        <f aca="false">M122+$N$7</f>
        <v>4</v>
      </c>
      <c r="O122" s="126" t="n">
        <v>0.12</v>
      </c>
      <c r="P122" s="114"/>
      <c r="Q122" s="126" t="n">
        <f aca="false">M122+J122+G122</f>
        <v>11</v>
      </c>
      <c r="R122" s="126" t="n">
        <f aca="false">N122+K122+H122</f>
        <v>11</v>
      </c>
      <c r="S122" s="126" t="n">
        <f aca="false">O122+L122+I122</f>
        <v>7.12</v>
      </c>
      <c r="T122" s="127"/>
      <c r="U122" s="5" t="n">
        <f aca="false">A123-A122</f>
        <v>30</v>
      </c>
      <c r="V122" s="128" t="n">
        <f aca="false">CHOOSE(F$3,A123+24,A122)</f>
        <v>40695</v>
      </c>
      <c r="W122" s="5" t="n">
        <f aca="false">V122-C$3</f>
        <v>3464</v>
      </c>
      <c r="X122" s="124" t="n">
        <f aca="false">VLOOKUP($A122,Table,MATCH(X$4,Curves,0))</f>
        <v>2</v>
      </c>
      <c r="Y122" s="129" t="n">
        <f aca="false">1/(1+CHOOSE(F$3,(X123+($K$3/10000))/2,(X122+($K$3/10000))/2))^(2*W122/365.25)</f>
        <v>1.95035712451348E-006</v>
      </c>
      <c r="Z122" s="5" t="n">
        <f aca="false">IF(AND(mthbeg&lt;=A122,mthend&gt;=A122),1,0)</f>
        <v>0</v>
      </c>
      <c r="AA122" s="5" t="n">
        <f aca="false">U122*Z122</f>
        <v>0</v>
      </c>
      <c r="AC122" s="115" t="n">
        <f aca="false">IF(G115=2,F122*(S122-Q122),F122*(Q122-S122))</f>
        <v>0</v>
      </c>
      <c r="AE122" s="116" t="n">
        <f aca="false">IF($G$3=1,F122*(R122-Q122),F122*(Q122-R122))</f>
        <v>0</v>
      </c>
      <c r="AG122" s="116" t="n">
        <f aca="false">AC122+AE122</f>
        <v>0</v>
      </c>
    </row>
    <row r="123" customFormat="false" ht="12.75" hidden="false" customHeight="false" outlineLevel="0" collapsed="false">
      <c r="A123" s="120" t="n">
        <f aca="false">EDATE(A122,1)</f>
        <v>40725</v>
      </c>
      <c r="B123" s="121" t="e">
        <f aca="false">VLOOKUP(A123,'Inputs-Summary'!$A$32:$E$41,3,FALSE())</f>
        <v>#N/A</v>
      </c>
      <c r="C123" s="122"/>
      <c r="D123" s="123" t="e">
        <f aca="false">B123+C123</f>
        <v>#N/A</v>
      </c>
      <c r="E123" s="111" t="n">
        <f aca="false">IF(Z123=0,0,IF(AND(Z123=1,$H$3=1),D123*U123,IF($H$3=2,D123,"N/A")))</f>
        <v>0</v>
      </c>
      <c r="F123" s="111" t="n">
        <f aca="false">E123*Y123</f>
        <v>0</v>
      </c>
      <c r="G123" s="124" t="n">
        <f aca="false">VLOOKUP($A123,Table,MATCH(G$4,Curves,0))</f>
        <v>3</v>
      </c>
      <c r="H123" s="125" t="n">
        <f aca="false">G123+$H$7</f>
        <v>3</v>
      </c>
      <c r="I123" s="124" t="n">
        <f aca="false">H123</f>
        <v>3</v>
      </c>
      <c r="J123" s="124" t="n">
        <f aca="false">VLOOKUP($A123,Table,MATCH(J$4,Curves,0))</f>
        <v>4</v>
      </c>
      <c r="K123" s="125" t="n">
        <f aca="false">J123+$K$7</f>
        <v>4</v>
      </c>
      <c r="L123" s="126" t="n">
        <f aca="false">K123</f>
        <v>4</v>
      </c>
      <c r="M123" s="124" t="n">
        <f aca="false">VLOOKUP($A123,Table,MATCH(M$4,Curves,0))</f>
        <v>4</v>
      </c>
      <c r="N123" s="125" t="n">
        <f aca="false">M123+$N$7</f>
        <v>4</v>
      </c>
      <c r="O123" s="126" t="n">
        <v>0.12</v>
      </c>
      <c r="P123" s="114"/>
      <c r="Q123" s="126" t="n">
        <f aca="false">M123+J123+G123</f>
        <v>11</v>
      </c>
      <c r="R123" s="126" t="n">
        <f aca="false">N123+K123+H123</f>
        <v>11</v>
      </c>
      <c r="S123" s="126" t="n">
        <f aca="false">O123+L123+I123</f>
        <v>7.12</v>
      </c>
      <c r="T123" s="127"/>
      <c r="U123" s="5" t="n">
        <f aca="false">A124-A123</f>
        <v>31</v>
      </c>
      <c r="V123" s="128" t="n">
        <f aca="false">CHOOSE(F$3,A124+24,A123)</f>
        <v>40725</v>
      </c>
      <c r="W123" s="5" t="n">
        <f aca="false">V123-C$3</f>
        <v>3494</v>
      </c>
      <c r="X123" s="124" t="n">
        <f aca="false">VLOOKUP($A123,Table,MATCH(X$4,Curves,0))</f>
        <v>2</v>
      </c>
      <c r="Y123" s="129" t="n">
        <f aca="false">1/(1+CHOOSE(F$3,(X124+($K$3/10000))/2,(X123+($K$3/10000))/2))^(2*W123/365.25)</f>
        <v>1.74045832436666E-006</v>
      </c>
      <c r="Z123" s="5" t="n">
        <f aca="false">IF(AND(mthbeg&lt;=A123,mthend&gt;=A123),1,0)</f>
        <v>0</v>
      </c>
      <c r="AA123" s="5" t="n">
        <f aca="false">U123*Z123</f>
        <v>0</v>
      </c>
      <c r="AC123" s="115" t="n">
        <f aca="false">IF(G116=2,F123*(S123-Q123),F123*(Q123-S123))</f>
        <v>0</v>
      </c>
      <c r="AE123" s="116" t="n">
        <f aca="false">IF($G$3=1,F123*(R123-Q123),F123*(Q123-R123))</f>
        <v>0</v>
      </c>
      <c r="AG123" s="116" t="n">
        <f aca="false">AC123+AE123</f>
        <v>0</v>
      </c>
    </row>
    <row r="124" customFormat="false" ht="12.75" hidden="false" customHeight="false" outlineLevel="0" collapsed="false">
      <c r="A124" s="120" t="n">
        <f aca="false">EDATE(A123,1)</f>
        <v>40756</v>
      </c>
      <c r="B124" s="121" t="e">
        <f aca="false">VLOOKUP(A124,'Inputs-Summary'!$A$32:$E$41,3,FALSE())</f>
        <v>#N/A</v>
      </c>
      <c r="C124" s="122"/>
      <c r="D124" s="123" t="e">
        <f aca="false">B124+C124</f>
        <v>#N/A</v>
      </c>
      <c r="E124" s="111" t="n">
        <f aca="false">IF(Z124=0,0,IF(AND(Z124=1,$H$3=1),D124*U124,IF($H$3=2,D124,"N/A")))</f>
        <v>0</v>
      </c>
      <c r="F124" s="111" t="n">
        <f aca="false">E124*Y124</f>
        <v>0</v>
      </c>
      <c r="G124" s="124" t="n">
        <f aca="false">VLOOKUP($A124,Table,MATCH(G$4,Curves,0))</f>
        <v>3</v>
      </c>
      <c r="H124" s="125" t="n">
        <f aca="false">G124+$H$7</f>
        <v>3</v>
      </c>
      <c r="I124" s="124" t="n">
        <f aca="false">H124</f>
        <v>3</v>
      </c>
      <c r="J124" s="124" t="n">
        <f aca="false">VLOOKUP($A124,Table,MATCH(J$4,Curves,0))</f>
        <v>4</v>
      </c>
      <c r="K124" s="125" t="n">
        <f aca="false">J124+$K$7</f>
        <v>4</v>
      </c>
      <c r="L124" s="126" t="n">
        <f aca="false">K124</f>
        <v>4</v>
      </c>
      <c r="M124" s="124" t="n">
        <f aca="false">VLOOKUP($A124,Table,MATCH(M$4,Curves,0))</f>
        <v>4</v>
      </c>
      <c r="N124" s="125" t="n">
        <f aca="false">M124+$N$7</f>
        <v>4</v>
      </c>
      <c r="O124" s="126" t="n">
        <v>0.12</v>
      </c>
      <c r="P124" s="114"/>
      <c r="Q124" s="126" t="n">
        <f aca="false">M124+J124+G124</f>
        <v>11</v>
      </c>
      <c r="R124" s="126" t="n">
        <f aca="false">N124+K124+H124</f>
        <v>11</v>
      </c>
      <c r="S124" s="126" t="n">
        <f aca="false">O124+L124+I124</f>
        <v>7.12</v>
      </c>
      <c r="T124" s="127"/>
      <c r="U124" s="5" t="n">
        <f aca="false">A125-A124</f>
        <v>31</v>
      </c>
      <c r="V124" s="128" t="n">
        <f aca="false">CHOOSE(F$3,A125+24,A124)</f>
        <v>40756</v>
      </c>
      <c r="W124" s="5" t="n">
        <f aca="false">V124-C$3</f>
        <v>3525</v>
      </c>
      <c r="X124" s="124" t="n">
        <f aca="false">VLOOKUP($A124,Table,MATCH(X$4,Curves,0))</f>
        <v>2</v>
      </c>
      <c r="Y124" s="129" t="n">
        <f aca="false">1/(1+CHOOSE(F$3,(X125+($K$3/10000))/2,(X124+($K$3/10000))/2))^(2*W124/365.25)</f>
        <v>1.54726522713639E-006</v>
      </c>
      <c r="Z124" s="5" t="n">
        <f aca="false">IF(AND(mthbeg&lt;=A124,mthend&gt;=A124),1,0)</f>
        <v>0</v>
      </c>
      <c r="AA124" s="5" t="n">
        <f aca="false">U124*Z124</f>
        <v>0</v>
      </c>
      <c r="AC124" s="115" t="n">
        <f aca="false">IF(G117=2,F124*(S124-Q124),F124*(Q124-S124))</f>
        <v>0</v>
      </c>
      <c r="AE124" s="116" t="n">
        <f aca="false">IF($G$3=1,F124*(R124-Q124),F124*(Q124-R124))</f>
        <v>0</v>
      </c>
      <c r="AG124" s="116" t="n">
        <f aca="false">AC124+AE124</f>
        <v>0</v>
      </c>
    </row>
    <row r="125" customFormat="false" ht="12.75" hidden="false" customHeight="false" outlineLevel="0" collapsed="false">
      <c r="A125" s="120" t="n">
        <f aca="false">EDATE(A124,1)</f>
        <v>40787</v>
      </c>
      <c r="B125" s="121" t="e">
        <f aca="false">VLOOKUP(A125,'Inputs-Summary'!$A$32:$E$41,3,FALSE())</f>
        <v>#N/A</v>
      </c>
      <c r="C125" s="122"/>
      <c r="D125" s="123" t="e">
        <f aca="false">B125+C125</f>
        <v>#N/A</v>
      </c>
      <c r="E125" s="111" t="n">
        <f aca="false">IF(Z125=0,0,IF(AND(Z125=1,$H$3=1),D125*U125,IF($H$3=2,D125,"N/A")))</f>
        <v>0</v>
      </c>
      <c r="F125" s="111" t="n">
        <f aca="false">E125*Y125</f>
        <v>0</v>
      </c>
      <c r="G125" s="124" t="n">
        <f aca="false">VLOOKUP($A125,Table,MATCH(G$4,Curves,0))</f>
        <v>3</v>
      </c>
      <c r="H125" s="125" t="n">
        <f aca="false">G125+$H$7</f>
        <v>3</v>
      </c>
      <c r="I125" s="124" t="n">
        <f aca="false">H125</f>
        <v>3</v>
      </c>
      <c r="J125" s="124" t="n">
        <f aca="false">VLOOKUP($A125,Table,MATCH(J$4,Curves,0))</f>
        <v>4</v>
      </c>
      <c r="K125" s="125" t="n">
        <f aca="false">J125+$K$7</f>
        <v>4</v>
      </c>
      <c r="L125" s="126" t="n">
        <f aca="false">K125</f>
        <v>4</v>
      </c>
      <c r="M125" s="124" t="n">
        <f aca="false">VLOOKUP($A125,Table,MATCH(M$4,Curves,0))</f>
        <v>4</v>
      </c>
      <c r="N125" s="125" t="n">
        <f aca="false">M125+$N$7</f>
        <v>4</v>
      </c>
      <c r="O125" s="126" t="n">
        <v>0.12</v>
      </c>
      <c r="P125" s="114"/>
      <c r="Q125" s="126" t="n">
        <f aca="false">M125+J125+G125</f>
        <v>11</v>
      </c>
      <c r="R125" s="126" t="n">
        <f aca="false">N125+K125+H125</f>
        <v>11</v>
      </c>
      <c r="S125" s="126" t="n">
        <f aca="false">O125+L125+I125</f>
        <v>7.12</v>
      </c>
      <c r="T125" s="127"/>
      <c r="U125" s="5" t="n">
        <f aca="false">A126-A125</f>
        <v>30</v>
      </c>
      <c r="V125" s="128" t="n">
        <f aca="false">CHOOSE(F$3,A126+24,A125)</f>
        <v>40787</v>
      </c>
      <c r="W125" s="5" t="n">
        <f aca="false">V125-C$3</f>
        <v>3556</v>
      </c>
      <c r="X125" s="124" t="n">
        <f aca="false">VLOOKUP($A125,Table,MATCH(X$4,Curves,0))</f>
        <v>2</v>
      </c>
      <c r="Y125" s="129" t="n">
        <f aca="false">1/(1+CHOOSE(F$3,(X126+($K$3/10000))/2,(X125+($K$3/10000))/2))^(2*W125/365.25)</f>
        <v>1.37551681047956E-006</v>
      </c>
      <c r="Z125" s="5" t="n">
        <f aca="false">IF(AND(mthbeg&lt;=A125,mthend&gt;=A125),1,0)</f>
        <v>0</v>
      </c>
      <c r="AA125" s="5" t="n">
        <f aca="false">U125*Z125</f>
        <v>0</v>
      </c>
      <c r="AC125" s="115" t="n">
        <f aca="false">IF(G118=2,F125*(S125-Q125),F125*(Q125-S125))</f>
        <v>0</v>
      </c>
      <c r="AE125" s="116" t="n">
        <f aca="false">IF($G$3=1,F125*(R125-Q125),F125*(Q125-R125))</f>
        <v>0</v>
      </c>
      <c r="AG125" s="116" t="n">
        <f aca="false">AC125+AE125</f>
        <v>0</v>
      </c>
    </row>
    <row r="126" customFormat="false" ht="12.75" hidden="false" customHeight="false" outlineLevel="0" collapsed="false">
      <c r="A126" s="120" t="n">
        <f aca="false">EDATE(A125,1)</f>
        <v>40817</v>
      </c>
      <c r="B126" s="121" t="e">
        <f aca="false">VLOOKUP(A126,'Inputs-Summary'!$A$32:$E$41,3,FALSE())</f>
        <v>#N/A</v>
      </c>
      <c r="C126" s="122"/>
      <c r="D126" s="123" t="e">
        <f aca="false">B126+C126</f>
        <v>#N/A</v>
      </c>
      <c r="E126" s="111" t="n">
        <f aca="false">IF(Z126=0,0,IF(AND(Z126=1,$H$3=1),D126*U126,IF($H$3=2,D126,"N/A")))</f>
        <v>0</v>
      </c>
      <c r="F126" s="111" t="n">
        <f aca="false">E126*Y126</f>
        <v>0</v>
      </c>
      <c r="G126" s="124" t="n">
        <f aca="false">VLOOKUP($A126,Table,MATCH(G$4,Curves,0))</f>
        <v>3</v>
      </c>
      <c r="H126" s="125" t="n">
        <f aca="false">G126+$H$7</f>
        <v>3</v>
      </c>
      <c r="I126" s="124" t="n">
        <f aca="false">H126</f>
        <v>3</v>
      </c>
      <c r="J126" s="124" t="n">
        <f aca="false">VLOOKUP($A126,Table,MATCH(J$4,Curves,0))</f>
        <v>4</v>
      </c>
      <c r="K126" s="125" t="n">
        <f aca="false">J126+$K$7</f>
        <v>4</v>
      </c>
      <c r="L126" s="126" t="n">
        <f aca="false">K126</f>
        <v>4</v>
      </c>
      <c r="M126" s="124" t="n">
        <f aca="false">VLOOKUP($A126,Table,MATCH(M$4,Curves,0))</f>
        <v>4</v>
      </c>
      <c r="N126" s="125" t="n">
        <f aca="false">M126+$N$7</f>
        <v>4</v>
      </c>
      <c r="O126" s="126" t="n">
        <v>0.12</v>
      </c>
      <c r="P126" s="114"/>
      <c r="Q126" s="126" t="n">
        <f aca="false">M126+J126+G126</f>
        <v>11</v>
      </c>
      <c r="R126" s="126" t="n">
        <f aca="false">N126+K126+H126</f>
        <v>11</v>
      </c>
      <c r="S126" s="126" t="n">
        <f aca="false">O126+L126+I126</f>
        <v>7.12</v>
      </c>
      <c r="T126" s="127"/>
      <c r="U126" s="5" t="n">
        <f aca="false">A127-A126</f>
        <v>31</v>
      </c>
      <c r="V126" s="128" t="n">
        <f aca="false">CHOOSE(F$3,A127+24,A126)</f>
        <v>40817</v>
      </c>
      <c r="W126" s="5" t="n">
        <f aca="false">V126-C$3</f>
        <v>3586</v>
      </c>
      <c r="X126" s="124" t="n">
        <f aca="false">VLOOKUP($A126,Table,MATCH(X$4,Curves,0))</f>
        <v>2</v>
      </c>
      <c r="Y126" s="129" t="n">
        <f aca="false">1/(1+CHOOSE(F$3,(X127+($K$3/10000))/2,(X126+($K$3/10000))/2))^(2*W126/365.25)</f>
        <v>1.22748272765821E-006</v>
      </c>
      <c r="Z126" s="5" t="n">
        <f aca="false">IF(AND(mthbeg&lt;=A126,mthend&gt;=A126),1,0)</f>
        <v>0</v>
      </c>
      <c r="AA126" s="5" t="n">
        <f aca="false">U126*Z126</f>
        <v>0</v>
      </c>
      <c r="AC126" s="115" t="n">
        <f aca="false">IF(G119=2,F126*(S126-Q126),F126*(Q126-S126))</f>
        <v>0</v>
      </c>
      <c r="AE126" s="116" t="n">
        <f aca="false">IF($G$3=1,F126*(R126-Q126),F126*(Q126-R126))</f>
        <v>0</v>
      </c>
      <c r="AG126" s="116" t="n">
        <f aca="false">AC126+AE126</f>
        <v>0</v>
      </c>
    </row>
    <row r="127" customFormat="false" ht="12.75" hidden="false" customHeight="false" outlineLevel="0" collapsed="false">
      <c r="A127" s="120" t="n">
        <f aca="false">EDATE(A126,1)</f>
        <v>40848</v>
      </c>
      <c r="B127" s="121" t="e">
        <f aca="false">VLOOKUP(A127,'Inputs-Summary'!$A$32:$E$41,3,FALSE())</f>
        <v>#N/A</v>
      </c>
      <c r="C127" s="122"/>
      <c r="D127" s="123" t="e">
        <f aca="false">B127+C127</f>
        <v>#N/A</v>
      </c>
      <c r="E127" s="111" t="n">
        <f aca="false">IF(Z127=0,0,IF(AND(Z127=1,$H$3=1),D127*U127,IF($H$3=2,D127,"N/A")))</f>
        <v>0</v>
      </c>
      <c r="F127" s="111" t="n">
        <f aca="false">E127*Y127</f>
        <v>0</v>
      </c>
      <c r="G127" s="124" t="n">
        <f aca="false">VLOOKUP($A127,Table,MATCH(G$4,Curves,0))</f>
        <v>3</v>
      </c>
      <c r="H127" s="125" t="n">
        <f aca="false">G127+$H$7</f>
        <v>3</v>
      </c>
      <c r="I127" s="124" t="n">
        <f aca="false">H127</f>
        <v>3</v>
      </c>
      <c r="J127" s="124" t="n">
        <f aca="false">VLOOKUP($A127,Table,MATCH(J$4,Curves,0))</f>
        <v>4</v>
      </c>
      <c r="K127" s="125" t="n">
        <f aca="false">J127+$K$7</f>
        <v>4</v>
      </c>
      <c r="L127" s="126" t="n">
        <f aca="false">K127</f>
        <v>4</v>
      </c>
      <c r="M127" s="124" t="n">
        <f aca="false">VLOOKUP($A127,Table,MATCH(M$4,Curves,0))</f>
        <v>4</v>
      </c>
      <c r="N127" s="125" t="n">
        <f aca="false">M127+$N$7</f>
        <v>4</v>
      </c>
      <c r="O127" s="126" t="n">
        <v>0.12</v>
      </c>
      <c r="P127" s="114"/>
      <c r="Q127" s="126" t="n">
        <f aca="false">M127+J127+G127</f>
        <v>11</v>
      </c>
      <c r="R127" s="126" t="n">
        <f aca="false">N127+K127+H127</f>
        <v>11</v>
      </c>
      <c r="S127" s="126" t="n">
        <f aca="false">O127+L127+I127</f>
        <v>7.12</v>
      </c>
      <c r="T127" s="127"/>
      <c r="U127" s="5" t="n">
        <f aca="false">A128-A127</f>
        <v>30</v>
      </c>
      <c r="V127" s="128" t="n">
        <f aca="false">CHOOSE(F$3,A128+24,A127)</f>
        <v>40848</v>
      </c>
      <c r="W127" s="5" t="n">
        <f aca="false">V127-C$3</f>
        <v>3617</v>
      </c>
      <c r="X127" s="124" t="n">
        <f aca="false">VLOOKUP($A127,Table,MATCH(X$4,Curves,0))</f>
        <v>2</v>
      </c>
      <c r="Y127" s="129" t="n">
        <f aca="false">1/(1+CHOOSE(F$3,(X128+($K$3/10000))/2,(X127+($K$3/10000))/2))^(2*W127/365.25)</f>
        <v>1.09123057692702E-006</v>
      </c>
      <c r="Z127" s="5" t="n">
        <f aca="false">IF(AND(mthbeg&lt;=A127,mthend&gt;=A127),1,0)</f>
        <v>0</v>
      </c>
      <c r="AA127" s="5" t="n">
        <f aca="false">U127*Z127</f>
        <v>0</v>
      </c>
      <c r="AC127" s="115" t="n">
        <f aca="false">IF(G120=2,F127*(S127-Q127),F127*(Q127-S127))</f>
        <v>0</v>
      </c>
      <c r="AE127" s="116" t="n">
        <f aca="false">IF($G$3=1,F127*(R127-Q127),F127*(Q127-R127))</f>
        <v>0</v>
      </c>
      <c r="AG127" s="116" t="n">
        <f aca="false">AC127+AE127</f>
        <v>0</v>
      </c>
    </row>
    <row r="128" customFormat="false" ht="12.75" hidden="false" customHeight="false" outlineLevel="0" collapsed="false">
      <c r="A128" s="120" t="n">
        <f aca="false">EDATE(A127,1)</f>
        <v>40878</v>
      </c>
      <c r="B128" s="121" t="e">
        <f aca="false">VLOOKUP(A128,'Inputs-Summary'!$A$32:$E$41,3,FALSE())</f>
        <v>#N/A</v>
      </c>
      <c r="C128" s="122"/>
      <c r="D128" s="123" t="e">
        <f aca="false">B128+C128</f>
        <v>#N/A</v>
      </c>
      <c r="E128" s="111" t="n">
        <f aca="false">IF(Z128=0,0,IF(AND(Z128=1,$H$3=1),D128*U128,IF($H$3=2,D128,"N/A")))</f>
        <v>0</v>
      </c>
      <c r="F128" s="111" t="n">
        <f aca="false">E128*Y128</f>
        <v>0</v>
      </c>
      <c r="G128" s="124" t="n">
        <f aca="false">VLOOKUP($A128,Table,MATCH(G$4,Curves,0))</f>
        <v>3</v>
      </c>
      <c r="H128" s="125" t="n">
        <f aca="false">G128+$H$7</f>
        <v>3</v>
      </c>
      <c r="I128" s="124" t="n">
        <f aca="false">H128</f>
        <v>3</v>
      </c>
      <c r="J128" s="124" t="n">
        <f aca="false">VLOOKUP($A128,Table,MATCH(J$4,Curves,0))</f>
        <v>4</v>
      </c>
      <c r="K128" s="125" t="n">
        <f aca="false">J128+$K$7</f>
        <v>4</v>
      </c>
      <c r="L128" s="126" t="n">
        <f aca="false">K128</f>
        <v>4</v>
      </c>
      <c r="M128" s="124" t="n">
        <f aca="false">VLOOKUP($A128,Table,MATCH(M$4,Curves,0))</f>
        <v>4</v>
      </c>
      <c r="N128" s="125" t="n">
        <f aca="false">M128+$N$7</f>
        <v>4</v>
      </c>
      <c r="O128" s="126" t="n">
        <v>0.12</v>
      </c>
      <c r="P128" s="114"/>
      <c r="Q128" s="126" t="n">
        <f aca="false">M128+J128+G128</f>
        <v>11</v>
      </c>
      <c r="R128" s="126" t="n">
        <f aca="false">N128+K128+H128</f>
        <v>11</v>
      </c>
      <c r="S128" s="126" t="n">
        <f aca="false">O128+L128+I128</f>
        <v>7.12</v>
      </c>
      <c r="T128" s="127"/>
      <c r="U128" s="5" t="n">
        <f aca="false">A129-A128</f>
        <v>31</v>
      </c>
      <c r="V128" s="128" t="n">
        <f aca="false">CHOOSE(F$3,A129+24,A128)</f>
        <v>40878</v>
      </c>
      <c r="W128" s="5" t="n">
        <f aca="false">V128-C$3</f>
        <v>3647</v>
      </c>
      <c r="X128" s="124" t="n">
        <f aca="false">VLOOKUP($A128,Table,MATCH(X$4,Curves,0))</f>
        <v>2</v>
      </c>
      <c r="Y128" s="129" t="n">
        <f aca="false">1/(1+CHOOSE(F$3,(X129+($K$3/10000))/2,(X128+($K$3/10000))/2))^(2*W128/365.25)</f>
        <v>9.73791577729562E-007</v>
      </c>
      <c r="Z128" s="5" t="n">
        <f aca="false">IF(AND(mthbeg&lt;=A128,mthend&gt;=A128),1,0)</f>
        <v>0</v>
      </c>
      <c r="AA128" s="5" t="n">
        <f aca="false">U128*Z128</f>
        <v>0</v>
      </c>
      <c r="AC128" s="115" t="n">
        <f aca="false">IF(G121=2,F128*(S128-Q128),F128*(Q128-S128))</f>
        <v>0</v>
      </c>
      <c r="AE128" s="116" t="n">
        <f aca="false">IF($G$3=1,F128*(R128-Q128),F128*(Q128-R128))</f>
        <v>0</v>
      </c>
      <c r="AG128" s="116" t="n">
        <f aca="false">AC128+AE128</f>
        <v>0</v>
      </c>
    </row>
    <row r="129" customFormat="false" ht="12.75" hidden="false" customHeight="false" outlineLevel="0" collapsed="false">
      <c r="A129" s="120" t="n">
        <f aca="false">EDATE(A128,1)</f>
        <v>40909</v>
      </c>
      <c r="B129" s="121" t="e">
        <f aca="false">VLOOKUP(A129,'Inputs-Summary'!$A$32:$E$41,3,FALSE())</f>
        <v>#N/A</v>
      </c>
      <c r="C129" s="122"/>
      <c r="D129" s="123" t="e">
        <f aca="false">B129+C129</f>
        <v>#N/A</v>
      </c>
      <c r="E129" s="111" t="n">
        <f aca="false">IF(Z129=0,0,IF(AND(Z129=1,$H$3=1),D129*U129,IF($H$3=2,D129,"N/A")))</f>
        <v>0</v>
      </c>
      <c r="F129" s="111" t="n">
        <f aca="false">E129*Y129</f>
        <v>0</v>
      </c>
      <c r="G129" s="124" t="n">
        <f aca="false">VLOOKUP($A129,Table,MATCH(G$4,Curves,0))</f>
        <v>3</v>
      </c>
      <c r="H129" s="125" t="n">
        <f aca="false">G129+$H$7</f>
        <v>3</v>
      </c>
      <c r="I129" s="124" t="n">
        <f aca="false">H129</f>
        <v>3</v>
      </c>
      <c r="J129" s="124" t="n">
        <f aca="false">VLOOKUP($A129,Table,MATCH(J$4,Curves,0))</f>
        <v>4</v>
      </c>
      <c r="K129" s="125" t="n">
        <f aca="false">J129+$K$7</f>
        <v>4</v>
      </c>
      <c r="L129" s="126" t="n">
        <f aca="false">K129</f>
        <v>4</v>
      </c>
      <c r="M129" s="124" t="n">
        <f aca="false">VLOOKUP($A129,Table,MATCH(M$4,Curves,0))</f>
        <v>4</v>
      </c>
      <c r="N129" s="125" t="n">
        <f aca="false">M129+$N$7</f>
        <v>4</v>
      </c>
      <c r="O129" s="126" t="n">
        <v>0.12</v>
      </c>
      <c r="P129" s="114"/>
      <c r="Q129" s="126" t="n">
        <f aca="false">M129+J129+G129</f>
        <v>11</v>
      </c>
      <c r="R129" s="126" t="n">
        <f aca="false">N129+K129+H129</f>
        <v>11</v>
      </c>
      <c r="S129" s="126" t="n">
        <f aca="false">O129+L129+I129</f>
        <v>7.12</v>
      </c>
      <c r="T129" s="127"/>
      <c r="U129" s="5" t="n">
        <f aca="false">A130-A129</f>
        <v>31</v>
      </c>
      <c r="V129" s="128" t="n">
        <f aca="false">CHOOSE(F$3,A130+24,A129)</f>
        <v>40909</v>
      </c>
      <c r="W129" s="5" t="n">
        <f aca="false">V129-C$3</f>
        <v>3678</v>
      </c>
      <c r="X129" s="124" t="n">
        <f aca="false">VLOOKUP($A129,Table,MATCH(X$4,Curves,0))</f>
        <v>2</v>
      </c>
      <c r="Y129" s="129" t="n">
        <f aca="false">1/(1+CHOOSE(F$3,(X130+($K$3/10000))/2,(X129+($K$3/10000))/2))^(2*W129/365.25)</f>
        <v>8.65699468700301E-007</v>
      </c>
      <c r="Z129" s="5" t="n">
        <f aca="false">IF(AND(mthbeg&lt;=A129,mthend&gt;=A129),1,0)</f>
        <v>0</v>
      </c>
      <c r="AA129" s="5" t="n">
        <f aca="false">U129*Z129</f>
        <v>0</v>
      </c>
      <c r="AC129" s="115" t="n">
        <f aca="false">IF(G122=2,F129*(S129-Q129),F129*(Q129-S129))</f>
        <v>0</v>
      </c>
      <c r="AE129" s="116" t="n">
        <f aca="false">IF($G$3=1,F129*(R129-Q129),F129*(Q129-R129))</f>
        <v>0</v>
      </c>
      <c r="AG129" s="116" t="n">
        <f aca="false">AC129+AE129</f>
        <v>0</v>
      </c>
    </row>
    <row r="130" customFormat="false" ht="12.75" hidden="false" customHeight="false" outlineLevel="0" collapsed="false">
      <c r="A130" s="120" t="n">
        <f aca="false">EDATE(A129,1)</f>
        <v>40940</v>
      </c>
      <c r="B130" s="121" t="e">
        <f aca="false">VLOOKUP(A130,'Inputs-Summary'!$A$32:$E$41,3,FALSE())</f>
        <v>#N/A</v>
      </c>
      <c r="C130" s="122"/>
      <c r="D130" s="123" t="e">
        <f aca="false">B130+C130</f>
        <v>#N/A</v>
      </c>
      <c r="E130" s="111" t="n">
        <f aca="false">IF(Z130=0,0,IF(AND(Z130=1,$H$3=1),D130*U130,IF($H$3=2,D130,"N/A")))</f>
        <v>0</v>
      </c>
      <c r="F130" s="111" t="n">
        <f aca="false">E130*Y130</f>
        <v>0</v>
      </c>
      <c r="G130" s="124" t="n">
        <f aca="false">VLOOKUP($A130,Table,MATCH(G$4,Curves,0))</f>
        <v>3</v>
      </c>
      <c r="H130" s="125" t="n">
        <f aca="false">G130+$H$7</f>
        <v>3</v>
      </c>
      <c r="I130" s="124" t="n">
        <f aca="false">H130</f>
        <v>3</v>
      </c>
      <c r="J130" s="124" t="n">
        <f aca="false">VLOOKUP($A130,Table,MATCH(J$4,Curves,0))</f>
        <v>4</v>
      </c>
      <c r="K130" s="125" t="n">
        <f aca="false">J130+$K$7</f>
        <v>4</v>
      </c>
      <c r="L130" s="126" t="n">
        <f aca="false">K130</f>
        <v>4</v>
      </c>
      <c r="M130" s="124" t="n">
        <f aca="false">VLOOKUP($A130,Table,MATCH(M$4,Curves,0))</f>
        <v>4</v>
      </c>
      <c r="N130" s="125" t="n">
        <f aca="false">M130+$N$7</f>
        <v>4</v>
      </c>
      <c r="O130" s="126" t="n">
        <v>0.12</v>
      </c>
      <c r="P130" s="114"/>
      <c r="Q130" s="126" t="n">
        <f aca="false">M130+J130+G130</f>
        <v>11</v>
      </c>
      <c r="R130" s="126" t="n">
        <f aca="false">N130+K130+H130</f>
        <v>11</v>
      </c>
      <c r="S130" s="126" t="n">
        <f aca="false">O130+L130+I130</f>
        <v>7.12</v>
      </c>
      <c r="T130" s="127"/>
      <c r="U130" s="5" t="n">
        <f aca="false">A131-A130</f>
        <v>29</v>
      </c>
      <c r="V130" s="128" t="n">
        <f aca="false">CHOOSE(F$3,A131+24,A130)</f>
        <v>40940</v>
      </c>
      <c r="W130" s="5" t="n">
        <f aca="false">V130-C$3</f>
        <v>3709</v>
      </c>
      <c r="X130" s="124" t="n">
        <f aca="false">VLOOKUP($A130,Table,MATCH(X$4,Curves,0))</f>
        <v>2</v>
      </c>
      <c r="Y130" s="129" t="n">
        <f aca="false">1/(1+CHOOSE(F$3,(X131+($K$3/10000))/2,(X130+($K$3/10000))/2))^(2*W130/365.25)</f>
        <v>7.69605721847919E-007</v>
      </c>
      <c r="Z130" s="5" t="n">
        <f aca="false">IF(AND(mthbeg&lt;=A130,mthend&gt;=A130),1,0)</f>
        <v>0</v>
      </c>
      <c r="AA130" s="5" t="n">
        <f aca="false">U130*Z130</f>
        <v>0</v>
      </c>
      <c r="AC130" s="115" t="n">
        <f aca="false">IF(G123=2,F130*(S130-Q130),F130*(Q130-S130))</f>
        <v>0</v>
      </c>
      <c r="AE130" s="116" t="n">
        <f aca="false">IF($G$3=1,F130*(R130-Q130),F130*(Q130-R130))</f>
        <v>0</v>
      </c>
      <c r="AG130" s="116" t="n">
        <f aca="false">AC130+AE130</f>
        <v>0</v>
      </c>
    </row>
    <row r="131" customFormat="false" ht="12.75" hidden="false" customHeight="false" outlineLevel="0" collapsed="false">
      <c r="A131" s="120" t="n">
        <f aca="false">EDATE(A130,1)</f>
        <v>40969</v>
      </c>
      <c r="B131" s="121" t="e">
        <f aca="false">VLOOKUP(A131,'Inputs-Summary'!$A$32:$E$41,3,FALSE())</f>
        <v>#N/A</v>
      </c>
      <c r="C131" s="122"/>
      <c r="D131" s="123" t="e">
        <f aca="false">B131+C131</f>
        <v>#N/A</v>
      </c>
      <c r="E131" s="111" t="n">
        <f aca="false">IF(Z131=0,0,IF(AND(Z131=1,$H$3=1),D131*U131,IF($H$3=2,D131,"N/A")))</f>
        <v>0</v>
      </c>
      <c r="F131" s="111" t="n">
        <f aca="false">E131*Y131</f>
        <v>0</v>
      </c>
      <c r="G131" s="124" t="n">
        <f aca="false">VLOOKUP($A131,Table,MATCH(G$4,Curves,0))</f>
        <v>3</v>
      </c>
      <c r="H131" s="125" t="n">
        <f aca="false">G131+$H$7</f>
        <v>3</v>
      </c>
      <c r="I131" s="124" t="n">
        <f aca="false">H131</f>
        <v>3</v>
      </c>
      <c r="J131" s="124" t="n">
        <f aca="false">VLOOKUP($A131,Table,MATCH(J$4,Curves,0))</f>
        <v>4</v>
      </c>
      <c r="K131" s="125" t="n">
        <f aca="false">J131+$K$7</f>
        <v>4</v>
      </c>
      <c r="L131" s="126" t="n">
        <f aca="false">K131</f>
        <v>4</v>
      </c>
      <c r="M131" s="124" t="n">
        <f aca="false">VLOOKUP($A131,Table,MATCH(M$4,Curves,0))</f>
        <v>4</v>
      </c>
      <c r="N131" s="125" t="n">
        <f aca="false">M131+$N$7</f>
        <v>4</v>
      </c>
      <c r="O131" s="126" t="n">
        <v>0.12</v>
      </c>
      <c r="P131" s="114"/>
      <c r="Q131" s="126" t="n">
        <f aca="false">M131+J131+G131</f>
        <v>11</v>
      </c>
      <c r="R131" s="126" t="n">
        <f aca="false">N131+K131+H131</f>
        <v>11</v>
      </c>
      <c r="S131" s="126" t="n">
        <f aca="false">O131+L131+I131</f>
        <v>7.12</v>
      </c>
      <c r="T131" s="127"/>
      <c r="U131" s="5" t="n">
        <f aca="false">A132-A131</f>
        <v>31</v>
      </c>
      <c r="V131" s="128" t="n">
        <f aca="false">CHOOSE(F$3,A132+24,A131)</f>
        <v>40969</v>
      </c>
      <c r="W131" s="5" t="n">
        <f aca="false">V131-C$3</f>
        <v>3738</v>
      </c>
      <c r="X131" s="124" t="n">
        <f aca="false">VLOOKUP($A131,Table,MATCH(X$4,Curves,0))</f>
        <v>2</v>
      </c>
      <c r="Y131" s="129" t="n">
        <f aca="false">1/(1+CHOOSE(F$3,(X132+($K$3/10000))/2,(X131+($K$3/10000))/2))^(2*W131/365.25)</f>
        <v>6.89391819592831E-007</v>
      </c>
      <c r="Z131" s="5" t="n">
        <f aca="false">IF(AND(mthbeg&lt;=A131,mthend&gt;=A131),1,0)</f>
        <v>0</v>
      </c>
      <c r="AA131" s="5" t="n">
        <f aca="false">U131*Z131</f>
        <v>0</v>
      </c>
      <c r="AC131" s="115" t="n">
        <f aca="false">IF(G124=2,F131*(S131-Q131),F131*(Q131-S131))</f>
        <v>0</v>
      </c>
      <c r="AE131" s="116" t="n">
        <f aca="false">IF($G$3=1,F131*(R131-Q131),F131*(Q131-R131))</f>
        <v>0</v>
      </c>
      <c r="AG131" s="116" t="n">
        <f aca="false">AC131+AE131</f>
        <v>0</v>
      </c>
    </row>
    <row r="132" customFormat="false" ht="12.75" hidden="false" customHeight="false" outlineLevel="0" collapsed="false">
      <c r="A132" s="120" t="n">
        <f aca="false">EDATE(A131,1)</f>
        <v>41000</v>
      </c>
      <c r="B132" s="121" t="e">
        <f aca="false">VLOOKUP(A132,'Inputs-Summary'!$A$32:$E$41,3,FALSE())</f>
        <v>#N/A</v>
      </c>
      <c r="C132" s="122"/>
      <c r="D132" s="123" t="e">
        <f aca="false">B132+C132</f>
        <v>#N/A</v>
      </c>
      <c r="E132" s="111" t="n">
        <f aca="false">IF(Z132=0,0,IF(AND(Z132=1,$H$3=1),D132*U132,IF($H$3=2,D132,"N/A")))</f>
        <v>0</v>
      </c>
      <c r="F132" s="111" t="n">
        <f aca="false">E132*Y132</f>
        <v>0</v>
      </c>
      <c r="G132" s="124" t="n">
        <f aca="false">VLOOKUP($A132,Table,MATCH(G$4,Curves,0))</f>
        <v>3</v>
      </c>
      <c r="H132" s="125" t="n">
        <f aca="false">G132+$H$7</f>
        <v>3</v>
      </c>
      <c r="I132" s="124" t="n">
        <f aca="false">H132</f>
        <v>3</v>
      </c>
      <c r="J132" s="124" t="n">
        <f aca="false">VLOOKUP($A132,Table,MATCH(J$4,Curves,0))</f>
        <v>4</v>
      </c>
      <c r="K132" s="125" t="n">
        <f aca="false">J132+$K$7</f>
        <v>4</v>
      </c>
      <c r="L132" s="126" t="n">
        <f aca="false">K132</f>
        <v>4</v>
      </c>
      <c r="M132" s="124" t="n">
        <f aca="false">VLOOKUP($A132,Table,MATCH(M$4,Curves,0))</f>
        <v>4</v>
      </c>
      <c r="N132" s="125" t="n">
        <f aca="false">M132+$N$7</f>
        <v>4</v>
      </c>
      <c r="O132" s="126" t="n">
        <v>0.12</v>
      </c>
      <c r="P132" s="114"/>
      <c r="Q132" s="126" t="n">
        <f aca="false">M132+J132+G132</f>
        <v>11</v>
      </c>
      <c r="R132" s="126" t="n">
        <f aca="false">N132+K132+H132</f>
        <v>11</v>
      </c>
      <c r="S132" s="126" t="n">
        <f aca="false">O132+L132+I132</f>
        <v>7.12</v>
      </c>
      <c r="T132" s="127"/>
      <c r="U132" s="5" t="n">
        <f aca="false">A133-A132</f>
        <v>30</v>
      </c>
      <c r="V132" s="128" t="n">
        <f aca="false">CHOOSE(F$3,A133+24,A132)</f>
        <v>41000</v>
      </c>
      <c r="W132" s="5" t="n">
        <f aca="false">V132-C$3</f>
        <v>3769</v>
      </c>
      <c r="X132" s="124" t="n">
        <f aca="false">VLOOKUP($A132,Table,MATCH(X$4,Curves,0))</f>
        <v>2</v>
      </c>
      <c r="Y132" s="129" t="n">
        <f aca="false">1/(1+CHOOSE(F$3,(X133+($K$3/10000))/2,(X132+($K$3/10000))/2))^(2*W132/365.25)</f>
        <v>6.12868447003134E-007</v>
      </c>
      <c r="Z132" s="5" t="n">
        <f aca="false">IF(AND(mthbeg&lt;=A132,mthend&gt;=A132),1,0)</f>
        <v>0</v>
      </c>
      <c r="AA132" s="5" t="n">
        <f aca="false">U132*Z132</f>
        <v>0</v>
      </c>
      <c r="AC132" s="115" t="n">
        <f aca="false">IF(G125=2,F132*(S132-Q132),F132*(Q132-S132))</f>
        <v>0</v>
      </c>
      <c r="AE132" s="116" t="n">
        <f aca="false">IF($G$3=1,F132*(R132-Q132),F132*(Q132-R132))</f>
        <v>0</v>
      </c>
      <c r="AG132" s="116" t="n">
        <f aca="false">AC132+AE132</f>
        <v>0</v>
      </c>
    </row>
    <row r="133" customFormat="false" ht="12.75" hidden="false" customHeight="false" outlineLevel="0" collapsed="false">
      <c r="A133" s="120" t="n">
        <f aca="false">EDATE(A132,1)</f>
        <v>41030</v>
      </c>
      <c r="B133" s="121" t="e">
        <f aca="false">VLOOKUP(A133,'Inputs-Summary'!$A$32:$E$41,3,FALSE())</f>
        <v>#N/A</v>
      </c>
      <c r="C133" s="122"/>
      <c r="D133" s="123" t="e">
        <f aca="false">B133+C133</f>
        <v>#N/A</v>
      </c>
      <c r="E133" s="111" t="n">
        <f aca="false">IF(Z133=0,0,IF(AND(Z133=1,$H$3=1),D133*U133,IF($H$3=2,D133,"N/A")))</f>
        <v>0</v>
      </c>
      <c r="F133" s="111" t="n">
        <f aca="false">E133*Y133</f>
        <v>0</v>
      </c>
      <c r="G133" s="124" t="n">
        <f aca="false">VLOOKUP($A133,Table,MATCH(G$4,Curves,0))</f>
        <v>3</v>
      </c>
      <c r="H133" s="125" t="n">
        <f aca="false">G133+$H$7</f>
        <v>3</v>
      </c>
      <c r="I133" s="124" t="n">
        <f aca="false">H133</f>
        <v>3</v>
      </c>
      <c r="J133" s="124" t="n">
        <f aca="false">VLOOKUP($A133,Table,MATCH(J$4,Curves,0))</f>
        <v>4</v>
      </c>
      <c r="K133" s="125" t="n">
        <f aca="false">J133+$K$7</f>
        <v>4</v>
      </c>
      <c r="L133" s="126" t="n">
        <f aca="false">K133</f>
        <v>4</v>
      </c>
      <c r="M133" s="124" t="n">
        <f aca="false">VLOOKUP($A133,Table,MATCH(M$4,Curves,0))</f>
        <v>4</v>
      </c>
      <c r="N133" s="125" t="n">
        <f aca="false">M133+$N$7</f>
        <v>4</v>
      </c>
      <c r="O133" s="126" t="n">
        <v>0.12</v>
      </c>
      <c r="P133" s="114"/>
      <c r="Q133" s="126" t="n">
        <f aca="false">M133+J133+G133</f>
        <v>11</v>
      </c>
      <c r="R133" s="126" t="n">
        <f aca="false">N133+K133+H133</f>
        <v>11</v>
      </c>
      <c r="S133" s="126" t="n">
        <f aca="false">O133+L133+I133</f>
        <v>7.12</v>
      </c>
      <c r="T133" s="127"/>
      <c r="U133" s="5" t="n">
        <f aca="false">A134-A133</f>
        <v>31</v>
      </c>
      <c r="V133" s="128" t="n">
        <f aca="false">CHOOSE(F$3,A134+24,A133)</f>
        <v>41030</v>
      </c>
      <c r="W133" s="5" t="n">
        <f aca="false">V133-C$3</f>
        <v>3799</v>
      </c>
      <c r="X133" s="124" t="n">
        <f aca="false">VLOOKUP($A133,Table,MATCH(X$4,Curves,0))</f>
        <v>2</v>
      </c>
      <c r="Y133" s="129" t="n">
        <f aca="false">1/(1+CHOOSE(F$3,(X134+($K$3/10000))/2,(X133+($K$3/10000))/2))^(2*W133/365.25)</f>
        <v>5.46911115365271E-007</v>
      </c>
      <c r="Z133" s="5" t="n">
        <f aca="false">IF(AND(mthbeg&lt;=A133,mthend&gt;=A133),1,0)</f>
        <v>0</v>
      </c>
      <c r="AA133" s="5" t="n">
        <f aca="false">U133*Z133</f>
        <v>0</v>
      </c>
      <c r="AC133" s="115" t="n">
        <f aca="false">IF(G126=2,F133*(S133-Q133),F133*(Q133-S133))</f>
        <v>0</v>
      </c>
      <c r="AE133" s="116" t="n">
        <f aca="false">IF($G$3=1,F133*(R133-Q133),F133*(Q133-R133))</f>
        <v>0</v>
      </c>
      <c r="AG133" s="116" t="n">
        <f aca="false">AC133+AE133</f>
        <v>0</v>
      </c>
    </row>
    <row r="134" customFormat="false" ht="12.75" hidden="false" customHeight="false" outlineLevel="0" collapsed="false">
      <c r="A134" s="120" t="n">
        <f aca="false">EDATE(A133,1)</f>
        <v>41061</v>
      </c>
      <c r="B134" s="121" t="e">
        <f aca="false">VLOOKUP(A134,'Inputs-Summary'!$A$32:$E$41,3,FALSE())</f>
        <v>#N/A</v>
      </c>
      <c r="C134" s="122"/>
      <c r="D134" s="123" t="e">
        <f aca="false">B134+C134</f>
        <v>#N/A</v>
      </c>
      <c r="E134" s="111" t="n">
        <f aca="false">IF(Z134=0,0,IF(AND(Z134=1,$H$3=1),D134*U134,IF($H$3=2,D134,"N/A")))</f>
        <v>0</v>
      </c>
      <c r="F134" s="111" t="n">
        <f aca="false">E134*Y134</f>
        <v>0</v>
      </c>
      <c r="G134" s="124" t="n">
        <f aca="false">VLOOKUP($A134,Table,MATCH(G$4,Curves,0))</f>
        <v>3</v>
      </c>
      <c r="H134" s="125" t="n">
        <f aca="false">G134+$H$7</f>
        <v>3</v>
      </c>
      <c r="I134" s="124" t="n">
        <f aca="false">H134</f>
        <v>3</v>
      </c>
      <c r="J134" s="124" t="n">
        <f aca="false">VLOOKUP($A134,Table,MATCH(J$4,Curves,0))</f>
        <v>4</v>
      </c>
      <c r="K134" s="125" t="n">
        <f aca="false">J134+$K$7</f>
        <v>4</v>
      </c>
      <c r="L134" s="126" t="n">
        <f aca="false">K134</f>
        <v>4</v>
      </c>
      <c r="M134" s="124" t="n">
        <f aca="false">VLOOKUP($A134,Table,MATCH(M$4,Curves,0))</f>
        <v>4</v>
      </c>
      <c r="N134" s="125" t="n">
        <f aca="false">M134+$N$7</f>
        <v>4</v>
      </c>
      <c r="O134" s="126" t="n">
        <v>0.12</v>
      </c>
      <c r="P134" s="114"/>
      <c r="Q134" s="126" t="n">
        <f aca="false">M134+J134+G134</f>
        <v>11</v>
      </c>
      <c r="R134" s="126" t="n">
        <f aca="false">N134+K134+H134</f>
        <v>11</v>
      </c>
      <c r="S134" s="126" t="n">
        <f aca="false">O134+L134+I134</f>
        <v>7.12</v>
      </c>
      <c r="T134" s="127"/>
      <c r="U134" s="5" t="n">
        <f aca="false">A135-A134</f>
        <v>30</v>
      </c>
      <c r="V134" s="128" t="n">
        <f aca="false">CHOOSE(F$3,A135+24,A134)</f>
        <v>41061</v>
      </c>
      <c r="W134" s="5" t="n">
        <f aca="false">V134-C$3</f>
        <v>3830</v>
      </c>
      <c r="X134" s="124" t="n">
        <f aca="false">VLOOKUP($A134,Table,MATCH(X$4,Curves,0))</f>
        <v>2</v>
      </c>
      <c r="Y134" s="129" t="n">
        <f aca="false">1/(1+CHOOSE(F$3,(X135+($K$3/10000))/2,(X134+($K$3/10000))/2))^(2*W134/365.25)</f>
        <v>4.86203282946746E-007</v>
      </c>
      <c r="Z134" s="5" t="n">
        <f aca="false">IF(AND(mthbeg&lt;=A134,mthend&gt;=A134),1,0)</f>
        <v>0</v>
      </c>
      <c r="AA134" s="5" t="n">
        <f aca="false">U134*Z134</f>
        <v>0</v>
      </c>
      <c r="AC134" s="115" t="n">
        <f aca="false">IF(G127=2,F134*(S134-Q134),F134*(Q134-S134))</f>
        <v>0</v>
      </c>
      <c r="AE134" s="116" t="n">
        <f aca="false">IF($G$3=1,F134*(R134-Q134),F134*(Q134-R134))</f>
        <v>0</v>
      </c>
      <c r="AG134" s="116" t="n">
        <f aca="false">AC134+AE134</f>
        <v>0</v>
      </c>
    </row>
    <row r="135" customFormat="false" ht="12.75" hidden="false" customHeight="false" outlineLevel="0" collapsed="false">
      <c r="A135" s="120" t="n">
        <f aca="false">EDATE(A134,1)</f>
        <v>41091</v>
      </c>
      <c r="B135" s="121" t="e">
        <f aca="false">VLOOKUP(A135,'Inputs-Summary'!$A$32:$E$41,3,FALSE())</f>
        <v>#N/A</v>
      </c>
      <c r="C135" s="122"/>
      <c r="D135" s="123" t="e">
        <f aca="false">B135+C135</f>
        <v>#N/A</v>
      </c>
      <c r="E135" s="111" t="n">
        <f aca="false">IF(Z135=0,0,IF(AND(Z135=1,$H$3=1),D135*U135,IF($H$3=2,D135,"N/A")))</f>
        <v>0</v>
      </c>
      <c r="F135" s="111" t="n">
        <f aca="false">E135*Y135</f>
        <v>0</v>
      </c>
      <c r="G135" s="124" t="n">
        <f aca="false">VLOOKUP($A135,Table,MATCH(G$4,Curves,0))</f>
        <v>3</v>
      </c>
      <c r="H135" s="125" t="n">
        <f aca="false">G135+$H$7</f>
        <v>3</v>
      </c>
      <c r="I135" s="124" t="n">
        <f aca="false">H135</f>
        <v>3</v>
      </c>
      <c r="J135" s="124" t="n">
        <f aca="false">VLOOKUP($A135,Table,MATCH(J$4,Curves,0))</f>
        <v>4</v>
      </c>
      <c r="K135" s="125" t="n">
        <f aca="false">J135+$K$7</f>
        <v>4</v>
      </c>
      <c r="L135" s="126" t="n">
        <f aca="false">K135</f>
        <v>4</v>
      </c>
      <c r="M135" s="124" t="n">
        <f aca="false">VLOOKUP($A135,Table,MATCH(M$4,Curves,0))</f>
        <v>4</v>
      </c>
      <c r="N135" s="125" t="n">
        <f aca="false">M135+$N$7</f>
        <v>4</v>
      </c>
      <c r="O135" s="126" t="n">
        <v>0.12</v>
      </c>
      <c r="P135" s="114"/>
      <c r="Q135" s="126" t="n">
        <f aca="false">M135+J135+G135</f>
        <v>11</v>
      </c>
      <c r="R135" s="126" t="n">
        <f aca="false">N135+K135+H135</f>
        <v>11</v>
      </c>
      <c r="S135" s="126" t="n">
        <f aca="false">O135+L135+I135</f>
        <v>7.12</v>
      </c>
      <c r="T135" s="127"/>
      <c r="U135" s="5" t="n">
        <f aca="false">A136-A135</f>
        <v>31</v>
      </c>
      <c r="V135" s="128" t="n">
        <f aca="false">CHOOSE(F$3,A136+24,A135)</f>
        <v>41091</v>
      </c>
      <c r="W135" s="5" t="n">
        <f aca="false">V135-C$3</f>
        <v>3860</v>
      </c>
      <c r="X135" s="124" t="n">
        <f aca="false">VLOOKUP($A135,Table,MATCH(X$4,Curves,0))</f>
        <v>2</v>
      </c>
      <c r="Y135" s="129" t="n">
        <f aca="false">1/(1+CHOOSE(F$3,(X136+($K$3/10000))/2,(X135+($K$3/10000))/2))^(2*W135/365.25)</f>
        <v>4.33877745005368E-007</v>
      </c>
      <c r="Z135" s="5" t="n">
        <f aca="false">IF(AND(mthbeg&lt;=A135,mthend&gt;=A135),1,0)</f>
        <v>0</v>
      </c>
      <c r="AA135" s="5" t="n">
        <f aca="false">U135*Z135</f>
        <v>0</v>
      </c>
      <c r="AC135" s="115" t="n">
        <f aca="false">IF(G128=2,F135*(S135-Q135),F135*(Q135-S135))</f>
        <v>0</v>
      </c>
      <c r="AE135" s="116" t="n">
        <f aca="false">IF($G$3=1,F135*(R135-Q135),F135*(Q135-R135))</f>
        <v>0</v>
      </c>
      <c r="AG135" s="116" t="n">
        <f aca="false">AC135+AE135</f>
        <v>0</v>
      </c>
    </row>
    <row r="136" customFormat="false" ht="12.75" hidden="false" customHeight="false" outlineLevel="0" collapsed="false">
      <c r="A136" s="120" t="n">
        <f aca="false">EDATE(A135,1)</f>
        <v>41122</v>
      </c>
      <c r="B136" s="121" t="e">
        <f aca="false">VLOOKUP(A136,'Inputs-Summary'!$A$32:$E$41,3,FALSE())</f>
        <v>#N/A</v>
      </c>
      <c r="C136" s="122"/>
      <c r="D136" s="123" t="e">
        <f aca="false">B136+C136</f>
        <v>#N/A</v>
      </c>
      <c r="E136" s="111" t="n">
        <f aca="false">IF(Z136=0,0,IF(AND(Z136=1,$H$3=1),D136*U136,IF($H$3=2,D136,"N/A")))</f>
        <v>0</v>
      </c>
      <c r="F136" s="111" t="n">
        <f aca="false">E136*Y136</f>
        <v>0</v>
      </c>
      <c r="G136" s="124" t="n">
        <f aca="false">VLOOKUP($A136,Table,MATCH(G$4,Curves,0))</f>
        <v>3</v>
      </c>
      <c r="H136" s="125" t="n">
        <f aca="false">G136+$H$7</f>
        <v>3</v>
      </c>
      <c r="I136" s="124" t="n">
        <f aca="false">H136</f>
        <v>3</v>
      </c>
      <c r="J136" s="124" t="n">
        <f aca="false">VLOOKUP($A136,Table,MATCH(J$4,Curves,0))</f>
        <v>4</v>
      </c>
      <c r="K136" s="125" t="n">
        <f aca="false">J136+$K$7</f>
        <v>4</v>
      </c>
      <c r="L136" s="126" t="n">
        <f aca="false">K136</f>
        <v>4</v>
      </c>
      <c r="M136" s="124" t="n">
        <f aca="false">VLOOKUP($A136,Table,MATCH(M$4,Curves,0))</f>
        <v>4</v>
      </c>
      <c r="N136" s="125" t="n">
        <f aca="false">M136+$N$7</f>
        <v>4</v>
      </c>
      <c r="O136" s="126" t="n">
        <v>0.12</v>
      </c>
      <c r="P136" s="114"/>
      <c r="Q136" s="126" t="n">
        <f aca="false">M136+J136+G136</f>
        <v>11</v>
      </c>
      <c r="R136" s="126" t="n">
        <f aca="false">N136+K136+H136</f>
        <v>11</v>
      </c>
      <c r="S136" s="126" t="n">
        <f aca="false">O136+L136+I136</f>
        <v>7.12</v>
      </c>
      <c r="T136" s="127"/>
      <c r="U136" s="5" t="n">
        <f aca="false">A137-A136</f>
        <v>31</v>
      </c>
      <c r="V136" s="128" t="n">
        <f aca="false">CHOOSE(F$3,A137+24,A136)</f>
        <v>41122</v>
      </c>
      <c r="W136" s="5" t="n">
        <f aca="false">V136-C$3</f>
        <v>3891</v>
      </c>
      <c r="X136" s="124" t="n">
        <f aca="false">VLOOKUP($A136,Table,MATCH(X$4,Curves,0))</f>
        <v>2</v>
      </c>
      <c r="Y136" s="129" t="n">
        <f aca="false">1/(1+CHOOSE(F$3,(X137+($K$3/10000))/2,(X136+($K$3/10000))/2))^(2*W136/365.25)</f>
        <v>3.85716761083289E-007</v>
      </c>
      <c r="Z136" s="5" t="n">
        <f aca="false">IF(AND(mthbeg&lt;=A136,mthend&gt;=A136),1,0)</f>
        <v>0</v>
      </c>
      <c r="AA136" s="5" t="n">
        <f aca="false">U136*Z136</f>
        <v>0</v>
      </c>
      <c r="AC136" s="115" t="n">
        <f aca="false">IF(G129=2,F136*(S136-Q136),F136*(Q136-S136))</f>
        <v>0</v>
      </c>
      <c r="AE136" s="116" t="n">
        <f aca="false">IF($G$3=1,F136*(R136-Q136),F136*(Q136-R136))</f>
        <v>0</v>
      </c>
      <c r="AG136" s="116" t="n">
        <f aca="false">AC136+AE136</f>
        <v>0</v>
      </c>
    </row>
    <row r="137" customFormat="false" ht="12.75" hidden="false" customHeight="false" outlineLevel="0" collapsed="false">
      <c r="A137" s="120" t="n">
        <f aca="false">EDATE(A136,1)</f>
        <v>41153</v>
      </c>
      <c r="B137" s="121" t="e">
        <f aca="false">VLOOKUP(A137,'Inputs-Summary'!$A$32:$E$41,3,FALSE())</f>
        <v>#N/A</v>
      </c>
      <c r="C137" s="122"/>
      <c r="D137" s="123" t="e">
        <f aca="false">B137+C137</f>
        <v>#N/A</v>
      </c>
      <c r="E137" s="111" t="n">
        <f aca="false">IF(Z137=0,0,IF(AND(Z137=1,$H$3=1),D137*U137,IF($H$3=2,D137,"N/A")))</f>
        <v>0</v>
      </c>
      <c r="F137" s="111" t="n">
        <f aca="false">E137*Y137</f>
        <v>0</v>
      </c>
      <c r="G137" s="124" t="n">
        <f aca="false">VLOOKUP($A137,Table,MATCH(G$4,Curves,0))</f>
        <v>3</v>
      </c>
      <c r="H137" s="125" t="n">
        <f aca="false">G137+$H$7</f>
        <v>3</v>
      </c>
      <c r="I137" s="124" t="n">
        <f aca="false">H137</f>
        <v>3</v>
      </c>
      <c r="J137" s="124" t="n">
        <f aca="false">VLOOKUP($A137,Table,MATCH(J$4,Curves,0))</f>
        <v>4</v>
      </c>
      <c r="K137" s="125" t="n">
        <f aca="false">J137+$K$7</f>
        <v>4</v>
      </c>
      <c r="L137" s="126" t="n">
        <f aca="false">K137</f>
        <v>4</v>
      </c>
      <c r="M137" s="124" t="n">
        <f aca="false">VLOOKUP($A137,Table,MATCH(M$4,Curves,0))</f>
        <v>4</v>
      </c>
      <c r="N137" s="125" t="n">
        <f aca="false">M137+$N$7</f>
        <v>4</v>
      </c>
      <c r="O137" s="126" t="n">
        <v>0.12</v>
      </c>
      <c r="P137" s="114"/>
      <c r="Q137" s="126" t="n">
        <f aca="false">M137+J137+G137</f>
        <v>11</v>
      </c>
      <c r="R137" s="126" t="n">
        <f aca="false">N137+K137+H137</f>
        <v>11</v>
      </c>
      <c r="S137" s="126" t="n">
        <f aca="false">O137+L137+I137</f>
        <v>7.12</v>
      </c>
      <c r="T137" s="127"/>
      <c r="U137" s="5" t="n">
        <f aca="false">A138-A137</f>
        <v>30</v>
      </c>
      <c r="V137" s="128" t="n">
        <f aca="false">CHOOSE(F$3,A138+24,A137)</f>
        <v>41153</v>
      </c>
      <c r="W137" s="5" t="n">
        <f aca="false">V137-C$3</f>
        <v>3922</v>
      </c>
      <c r="X137" s="124" t="n">
        <f aca="false">VLOOKUP($A137,Table,MATCH(X$4,Curves,0))</f>
        <v>2</v>
      </c>
      <c r="Y137" s="129" t="n">
        <f aca="false">1/(1+CHOOSE(F$3,(X138+($K$3/10000))/2,(X137+($K$3/10000))/2))^(2*W137/365.25)</f>
        <v>3.42901707896407E-007</v>
      </c>
      <c r="Z137" s="5" t="n">
        <f aca="false">IF(AND(mthbeg&lt;=A137,mthend&gt;=A137),1,0)</f>
        <v>0</v>
      </c>
      <c r="AA137" s="5" t="n">
        <f aca="false">U137*Z137</f>
        <v>0</v>
      </c>
      <c r="AC137" s="115" t="n">
        <f aca="false">IF(G130=2,F137*(S137-Q137),F137*(Q137-S137))</f>
        <v>0</v>
      </c>
      <c r="AE137" s="116" t="n">
        <f aca="false">IF($G$3=1,F137*(R137-Q137),F137*(Q137-R137))</f>
        <v>0</v>
      </c>
      <c r="AG137" s="116" t="n">
        <f aca="false">AC137+AE137</f>
        <v>0</v>
      </c>
    </row>
    <row r="138" customFormat="false" ht="12.75" hidden="false" customHeight="false" outlineLevel="0" collapsed="false">
      <c r="A138" s="120" t="n">
        <f aca="false">EDATE(A137,1)</f>
        <v>41183</v>
      </c>
      <c r="B138" s="121" t="e">
        <f aca="false">VLOOKUP(A138,'Inputs-Summary'!$A$32:$E$41,3,FALSE())</f>
        <v>#N/A</v>
      </c>
      <c r="C138" s="122"/>
      <c r="D138" s="123" t="e">
        <f aca="false">B138+C138</f>
        <v>#N/A</v>
      </c>
      <c r="E138" s="111" t="n">
        <f aca="false">IF(Z138=0,0,IF(AND(Z138=1,$H$3=1),D138*U138,IF($H$3=2,D138,"N/A")))</f>
        <v>0</v>
      </c>
      <c r="F138" s="111" t="n">
        <f aca="false">E138*Y138</f>
        <v>0</v>
      </c>
      <c r="G138" s="124" t="n">
        <f aca="false">VLOOKUP($A138,Table,MATCH(G$4,Curves,0))</f>
        <v>3</v>
      </c>
      <c r="H138" s="125" t="n">
        <f aca="false">G138+$H$7</f>
        <v>3</v>
      </c>
      <c r="I138" s="124" t="n">
        <f aca="false">H138</f>
        <v>3</v>
      </c>
      <c r="J138" s="124" t="n">
        <f aca="false">VLOOKUP($A138,Table,MATCH(J$4,Curves,0))</f>
        <v>4</v>
      </c>
      <c r="K138" s="125" t="n">
        <f aca="false">J138+$K$7</f>
        <v>4</v>
      </c>
      <c r="L138" s="126" t="n">
        <f aca="false">K138</f>
        <v>4</v>
      </c>
      <c r="M138" s="124" t="n">
        <f aca="false">VLOOKUP($A138,Table,MATCH(M$4,Curves,0))</f>
        <v>4</v>
      </c>
      <c r="N138" s="125" t="n">
        <f aca="false">M138+$N$7</f>
        <v>4</v>
      </c>
      <c r="O138" s="126" t="n">
        <v>0.12</v>
      </c>
      <c r="P138" s="114"/>
      <c r="Q138" s="126" t="n">
        <f aca="false">M138+J138+G138</f>
        <v>11</v>
      </c>
      <c r="R138" s="126" t="n">
        <f aca="false">N138+K138+H138</f>
        <v>11</v>
      </c>
      <c r="S138" s="126" t="n">
        <f aca="false">O138+L138+I138</f>
        <v>7.12</v>
      </c>
      <c r="T138" s="127"/>
      <c r="U138" s="5" t="n">
        <f aca="false">A139-A138</f>
        <v>31</v>
      </c>
      <c r="V138" s="128" t="n">
        <f aca="false">CHOOSE(F$3,A139+24,A138)</f>
        <v>41183</v>
      </c>
      <c r="W138" s="5" t="n">
        <f aca="false">V138-C$3</f>
        <v>3952</v>
      </c>
      <c r="X138" s="124" t="n">
        <f aca="false">VLOOKUP($A138,Table,MATCH(X$4,Curves,0))</f>
        <v>2</v>
      </c>
      <c r="Y138" s="129" t="n">
        <f aca="false">1/(1+CHOOSE(F$3,(X139+($K$3/10000))/2,(X138+($K$3/10000))/2))^(2*W138/365.25)</f>
        <v>3.05998385858038E-007</v>
      </c>
      <c r="Z138" s="5" t="n">
        <f aca="false">IF(AND(mthbeg&lt;=A138,mthend&gt;=A138),1,0)</f>
        <v>0</v>
      </c>
      <c r="AA138" s="5" t="n">
        <f aca="false">U138*Z138</f>
        <v>0</v>
      </c>
      <c r="AC138" s="115" t="n">
        <f aca="false">IF(G131=2,F138*(S138-Q138),F138*(Q138-S138))</f>
        <v>0</v>
      </c>
      <c r="AE138" s="116" t="n">
        <f aca="false">IF($G$3=1,F138*(R138-Q138),F138*(Q138-R138))</f>
        <v>0</v>
      </c>
      <c r="AG138" s="116" t="n">
        <f aca="false">AC138+AE138</f>
        <v>0</v>
      </c>
    </row>
    <row r="139" customFormat="false" ht="12.75" hidden="false" customHeight="false" outlineLevel="0" collapsed="false">
      <c r="A139" s="120" t="n">
        <f aca="false">EDATE(A138,1)</f>
        <v>41214</v>
      </c>
      <c r="B139" s="121" t="e">
        <f aca="false">VLOOKUP(A139,'Inputs-Summary'!$A$32:$E$41,3,FALSE())</f>
        <v>#N/A</v>
      </c>
      <c r="C139" s="122"/>
      <c r="D139" s="123" t="e">
        <f aca="false">B139+C139</f>
        <v>#N/A</v>
      </c>
      <c r="E139" s="111" t="n">
        <f aca="false">IF(Z139=0,0,IF(AND(Z139=1,$H$3=1),D139*U139,IF($H$3=2,D139,"N/A")))</f>
        <v>0</v>
      </c>
      <c r="F139" s="111" t="n">
        <f aca="false">E139*Y139</f>
        <v>0</v>
      </c>
      <c r="G139" s="124" t="n">
        <f aca="false">VLOOKUP($A139,Table,MATCH(G$4,Curves,0))</f>
        <v>3</v>
      </c>
      <c r="H139" s="125" t="n">
        <f aca="false">G139+$H$7</f>
        <v>3</v>
      </c>
      <c r="I139" s="124" t="n">
        <f aca="false">H139</f>
        <v>3</v>
      </c>
      <c r="J139" s="124" t="n">
        <f aca="false">VLOOKUP($A139,Table,MATCH(J$4,Curves,0))</f>
        <v>4</v>
      </c>
      <c r="K139" s="125" t="n">
        <f aca="false">J139+$K$7</f>
        <v>4</v>
      </c>
      <c r="L139" s="126" t="n">
        <f aca="false">K139</f>
        <v>4</v>
      </c>
      <c r="M139" s="124" t="n">
        <f aca="false">VLOOKUP($A139,Table,MATCH(M$4,Curves,0))</f>
        <v>4</v>
      </c>
      <c r="N139" s="125" t="n">
        <f aca="false">M139+$N$7</f>
        <v>4</v>
      </c>
      <c r="O139" s="126" t="n">
        <v>0.12</v>
      </c>
      <c r="P139" s="114"/>
      <c r="Q139" s="126" t="n">
        <f aca="false">M139+J139+G139</f>
        <v>11</v>
      </c>
      <c r="R139" s="126" t="n">
        <f aca="false">N139+K139+H139</f>
        <v>11</v>
      </c>
      <c r="S139" s="126" t="n">
        <f aca="false">O139+L139+I139</f>
        <v>7.12</v>
      </c>
      <c r="T139" s="127"/>
      <c r="U139" s="5" t="n">
        <f aca="false">A140-A139</f>
        <v>30</v>
      </c>
      <c r="V139" s="128" t="n">
        <f aca="false">CHOOSE(F$3,A140+24,A139)</f>
        <v>41214</v>
      </c>
      <c r="W139" s="5" t="n">
        <f aca="false">V139-C$3</f>
        <v>3983</v>
      </c>
      <c r="X139" s="124" t="n">
        <f aca="false">VLOOKUP($A139,Table,MATCH(X$4,Curves,0))</f>
        <v>2</v>
      </c>
      <c r="Y139" s="129" t="n">
        <f aca="false">1/(1+CHOOSE(F$3,(X140+($K$3/10000))/2,(X139+($K$3/10000))/2))^(2*W139/365.25)</f>
        <v>2.72032174151768E-007</v>
      </c>
      <c r="Z139" s="5" t="n">
        <f aca="false">IF(AND(mthbeg&lt;=A139,mthend&gt;=A139),1,0)</f>
        <v>0</v>
      </c>
      <c r="AA139" s="5" t="n">
        <f aca="false">U139*Z139</f>
        <v>0</v>
      </c>
      <c r="AC139" s="115" t="n">
        <f aca="false">IF(G132=2,F139*(S139-Q139),F139*(Q139-S139))</f>
        <v>0</v>
      </c>
      <c r="AE139" s="116" t="n">
        <f aca="false">IF($G$3=1,F139*(R139-Q139),F139*(Q139-R139))</f>
        <v>0</v>
      </c>
      <c r="AG139" s="116" t="n">
        <f aca="false">AC139+AE139</f>
        <v>0</v>
      </c>
    </row>
    <row r="140" customFormat="false" ht="12.75" hidden="false" customHeight="false" outlineLevel="0" collapsed="false">
      <c r="A140" s="120" t="n">
        <f aca="false">EDATE(A139,1)</f>
        <v>41244</v>
      </c>
      <c r="B140" s="121" t="e">
        <f aca="false">VLOOKUP(A140,'Inputs-Summary'!$A$32:$E$41,3,FALSE())</f>
        <v>#N/A</v>
      </c>
      <c r="C140" s="122"/>
      <c r="D140" s="123" t="e">
        <f aca="false">B140+C140</f>
        <v>#N/A</v>
      </c>
      <c r="E140" s="111" t="n">
        <f aca="false">IF(Z140=0,0,IF(AND(Z140=1,$H$3=1),D140*U140,IF($H$3=2,D140,"N/A")))</f>
        <v>0</v>
      </c>
      <c r="F140" s="111" t="n">
        <f aca="false">E140*Y140</f>
        <v>0</v>
      </c>
      <c r="G140" s="124" t="n">
        <f aca="false">VLOOKUP($A140,Table,MATCH(G$4,Curves,0))</f>
        <v>3</v>
      </c>
      <c r="H140" s="125" t="n">
        <f aca="false">G140+$H$7</f>
        <v>3</v>
      </c>
      <c r="I140" s="124" t="n">
        <f aca="false">H140</f>
        <v>3</v>
      </c>
      <c r="J140" s="124" t="n">
        <f aca="false">VLOOKUP($A140,Table,MATCH(J$4,Curves,0))</f>
        <v>4</v>
      </c>
      <c r="K140" s="125" t="n">
        <f aca="false">J140+$K$7</f>
        <v>4</v>
      </c>
      <c r="L140" s="126" t="n">
        <f aca="false">K140</f>
        <v>4</v>
      </c>
      <c r="M140" s="124" t="n">
        <f aca="false">VLOOKUP($A140,Table,MATCH(M$4,Curves,0))</f>
        <v>4</v>
      </c>
      <c r="N140" s="125" t="n">
        <f aca="false">M140+$N$7</f>
        <v>4</v>
      </c>
      <c r="O140" s="126" t="n">
        <v>0.12</v>
      </c>
      <c r="P140" s="114"/>
      <c r="Q140" s="126" t="n">
        <f aca="false">M140+J140+G140</f>
        <v>11</v>
      </c>
      <c r="R140" s="126" t="n">
        <f aca="false">N140+K140+H140</f>
        <v>11</v>
      </c>
      <c r="S140" s="126" t="n">
        <f aca="false">O140+L140+I140</f>
        <v>7.12</v>
      </c>
      <c r="T140" s="127"/>
      <c r="U140" s="5" t="n">
        <f aca="false">A141-A140</f>
        <v>31</v>
      </c>
      <c r="V140" s="128" t="n">
        <f aca="false">CHOOSE(F$3,A141+24,A140)</f>
        <v>41244</v>
      </c>
      <c r="W140" s="5" t="n">
        <f aca="false">V140-C$3</f>
        <v>4013</v>
      </c>
      <c r="X140" s="124" t="n">
        <f aca="false">VLOOKUP($A140,Table,MATCH(X$4,Curves,0))</f>
        <v>2</v>
      </c>
      <c r="Y140" s="129" t="n">
        <f aca="false">1/(1+CHOOSE(F$3,(X141+($K$3/10000))/2,(X140+($K$3/10000))/2))^(2*W140/365.25)</f>
        <v>2.42755880985699E-007</v>
      </c>
      <c r="Z140" s="5" t="n">
        <f aca="false">IF(AND(mthbeg&lt;=A140,mthend&gt;=A140),1,0)</f>
        <v>0</v>
      </c>
      <c r="AA140" s="5" t="n">
        <f aca="false">U140*Z140</f>
        <v>0</v>
      </c>
      <c r="AC140" s="115" t="n">
        <f aca="false">IF(G133=2,F140*(S140-Q140),F140*(Q140-S140))</f>
        <v>0</v>
      </c>
      <c r="AE140" s="116" t="n">
        <f aca="false">IF($G$3=1,F140*(R140-Q140),F140*(Q140-R140))</f>
        <v>0</v>
      </c>
      <c r="AG140" s="116" t="n">
        <f aca="false">AC140+AE140</f>
        <v>0</v>
      </c>
    </row>
    <row r="141" customFormat="false" ht="12.75" hidden="false" customHeight="false" outlineLevel="0" collapsed="false">
      <c r="A141" s="120" t="n">
        <f aca="false">EDATE(A140,1)</f>
        <v>41275</v>
      </c>
      <c r="B141" s="121" t="e">
        <f aca="false">VLOOKUP(A141,'Inputs-Summary'!$A$32:$E$41,3,FALSE())</f>
        <v>#N/A</v>
      </c>
      <c r="C141" s="122"/>
      <c r="D141" s="123" t="e">
        <f aca="false">B141+C141</f>
        <v>#N/A</v>
      </c>
      <c r="E141" s="111" t="n">
        <f aca="false">IF(Z141=0,0,IF(AND(Z141=1,$H$3=1),D141*U141,IF($H$3=2,D141,"N/A")))</f>
        <v>0</v>
      </c>
      <c r="F141" s="111" t="n">
        <f aca="false">E141*Y141</f>
        <v>0</v>
      </c>
      <c r="G141" s="124" t="n">
        <f aca="false">VLOOKUP($A141,Table,MATCH(G$4,Curves,0))</f>
        <v>3</v>
      </c>
      <c r="H141" s="125" t="n">
        <f aca="false">G141+$H$7</f>
        <v>3</v>
      </c>
      <c r="I141" s="124" t="n">
        <f aca="false">H141</f>
        <v>3</v>
      </c>
      <c r="J141" s="124" t="n">
        <f aca="false">VLOOKUP($A141,Table,MATCH(J$4,Curves,0))</f>
        <v>4</v>
      </c>
      <c r="K141" s="125" t="n">
        <f aca="false">J141+$K$7</f>
        <v>4</v>
      </c>
      <c r="L141" s="126" t="n">
        <f aca="false">K141</f>
        <v>4</v>
      </c>
      <c r="M141" s="124" t="n">
        <f aca="false">VLOOKUP($A141,Table,MATCH(M$4,Curves,0))</f>
        <v>4</v>
      </c>
      <c r="N141" s="125" t="n">
        <f aca="false">M141+$N$7</f>
        <v>4</v>
      </c>
      <c r="O141" s="126" t="n">
        <v>0.12</v>
      </c>
      <c r="P141" s="114"/>
      <c r="Q141" s="126" t="n">
        <f aca="false">M141+J141+G141</f>
        <v>11</v>
      </c>
      <c r="R141" s="126" t="n">
        <f aca="false">N141+K141+H141</f>
        <v>11</v>
      </c>
      <c r="S141" s="126" t="n">
        <f aca="false">O141+L141+I141</f>
        <v>7.12</v>
      </c>
      <c r="T141" s="127"/>
      <c r="U141" s="5" t="n">
        <f aca="false">A142-A141</f>
        <v>31</v>
      </c>
      <c r="V141" s="128" t="n">
        <f aca="false">CHOOSE(F$3,A142+24,A141)</f>
        <v>41275</v>
      </c>
      <c r="W141" s="5" t="n">
        <f aca="false">V141-C$3</f>
        <v>4044</v>
      </c>
      <c r="X141" s="124" t="n">
        <f aca="false">VLOOKUP($A141,Table,MATCH(X$4,Curves,0))</f>
        <v>2</v>
      </c>
      <c r="Y141" s="129" t="n">
        <f aca="false">1/(1+CHOOSE(F$3,(X142+($K$3/10000))/2,(X141+($K$3/10000))/2))^(2*W141/365.25)</f>
        <v>2.15809668104931E-007</v>
      </c>
      <c r="Z141" s="5" t="n">
        <f aca="false">IF(AND(mthbeg&lt;=A141,mthend&gt;=A141),1,0)</f>
        <v>0</v>
      </c>
      <c r="AA141" s="5" t="n">
        <f aca="false">U141*Z141</f>
        <v>0</v>
      </c>
      <c r="AC141" s="115" t="n">
        <f aca="false">IF(G134=2,F141*(S141-Q141),F141*(Q141-S141))</f>
        <v>0</v>
      </c>
      <c r="AE141" s="116" t="n">
        <f aca="false">IF($G$3=1,F141*(R141-Q141),F141*(Q141-R141))</f>
        <v>0</v>
      </c>
      <c r="AG141" s="116" t="n">
        <f aca="false">AC141+AE141</f>
        <v>0</v>
      </c>
    </row>
    <row r="142" customFormat="false" ht="12.75" hidden="false" customHeight="false" outlineLevel="0" collapsed="false">
      <c r="A142" s="120" t="n">
        <f aca="false">EDATE(A141,1)</f>
        <v>41306</v>
      </c>
      <c r="B142" s="121" t="e">
        <f aca="false">VLOOKUP(A142,'Inputs-Summary'!$A$32:$E$41,3,FALSE())</f>
        <v>#N/A</v>
      </c>
      <c r="C142" s="122"/>
      <c r="D142" s="123" t="e">
        <f aca="false">B142+C142</f>
        <v>#N/A</v>
      </c>
      <c r="E142" s="111" t="n">
        <f aca="false">IF(Z142=0,0,IF(AND(Z142=1,$H$3=1),D142*U142,IF($H$3=2,D142,"N/A")))</f>
        <v>0</v>
      </c>
      <c r="F142" s="111" t="n">
        <f aca="false">E142*Y142</f>
        <v>0</v>
      </c>
      <c r="G142" s="124" t="n">
        <f aca="false">VLOOKUP($A142,Table,MATCH(G$4,Curves,0))</f>
        <v>3</v>
      </c>
      <c r="H142" s="125" t="n">
        <f aca="false">G142+$H$7</f>
        <v>3</v>
      </c>
      <c r="I142" s="124" t="n">
        <f aca="false">H142</f>
        <v>3</v>
      </c>
      <c r="J142" s="124" t="n">
        <f aca="false">VLOOKUP($A142,Table,MATCH(J$4,Curves,0))</f>
        <v>4</v>
      </c>
      <c r="K142" s="125" t="n">
        <f aca="false">J142+$K$7</f>
        <v>4</v>
      </c>
      <c r="L142" s="126" t="n">
        <f aca="false">K142</f>
        <v>4</v>
      </c>
      <c r="M142" s="124" t="n">
        <f aca="false">VLOOKUP($A142,Table,MATCH(M$4,Curves,0))</f>
        <v>4</v>
      </c>
      <c r="N142" s="125" t="n">
        <f aca="false">M142+$N$7</f>
        <v>4</v>
      </c>
      <c r="O142" s="126" t="n">
        <v>0.12</v>
      </c>
      <c r="P142" s="114"/>
      <c r="Q142" s="126" t="n">
        <f aca="false">M142+J142+G142</f>
        <v>11</v>
      </c>
      <c r="R142" s="126" t="n">
        <f aca="false">N142+K142+H142</f>
        <v>11</v>
      </c>
      <c r="S142" s="126" t="n">
        <f aca="false">O142+L142+I142</f>
        <v>7.12</v>
      </c>
      <c r="T142" s="127"/>
      <c r="U142" s="5" t="n">
        <f aca="false">A143-A142</f>
        <v>28</v>
      </c>
      <c r="V142" s="128" t="n">
        <f aca="false">CHOOSE(F$3,A143+24,A142)</f>
        <v>41306</v>
      </c>
      <c r="W142" s="5" t="n">
        <f aca="false">V142-C$3</f>
        <v>4075</v>
      </c>
      <c r="X142" s="124" t="n">
        <f aca="false">VLOOKUP($A142,Table,MATCH(X$4,Curves,0))</f>
        <v>2</v>
      </c>
      <c r="Y142" s="129" t="n">
        <f aca="false">1/(1+CHOOSE(F$3,(X143+($K$3/10000))/2,(X142+($K$3/10000))/2))^(2*W142/365.25)</f>
        <v>1.91854519274464E-007</v>
      </c>
      <c r="Z142" s="5" t="n">
        <f aca="false">IF(AND(mthbeg&lt;=A142,mthend&gt;=A142),1,0)</f>
        <v>0</v>
      </c>
      <c r="AA142" s="5" t="n">
        <f aca="false">U142*Z142</f>
        <v>0</v>
      </c>
      <c r="AC142" s="115" t="n">
        <f aca="false">IF(G135=2,F142*(S142-Q142),F142*(Q142-S142))</f>
        <v>0</v>
      </c>
      <c r="AE142" s="116" t="n">
        <f aca="false">IF($G$3=1,F142*(R142-Q142),F142*(Q142-R142))</f>
        <v>0</v>
      </c>
      <c r="AG142" s="116" t="n">
        <f aca="false">AC142+AE142</f>
        <v>0</v>
      </c>
    </row>
    <row r="143" customFormat="false" ht="12.75" hidden="false" customHeight="false" outlineLevel="0" collapsed="false">
      <c r="A143" s="120" t="n">
        <f aca="false">EDATE(A142,1)</f>
        <v>41334</v>
      </c>
      <c r="B143" s="121" t="e">
        <f aca="false">VLOOKUP(A143,'Inputs-Summary'!$A$32:$E$41,3,FALSE())</f>
        <v>#N/A</v>
      </c>
      <c r="C143" s="122"/>
      <c r="D143" s="123" t="e">
        <f aca="false">B143+C143</f>
        <v>#N/A</v>
      </c>
      <c r="E143" s="111" t="n">
        <f aca="false">IF(Z143=0,0,IF(AND(Z143=1,$H$3=1),D143*U143,IF($H$3=2,D143,"N/A")))</f>
        <v>0</v>
      </c>
      <c r="F143" s="111" t="n">
        <f aca="false">E143*Y143</f>
        <v>0</v>
      </c>
      <c r="G143" s="124" t="n">
        <f aca="false">VLOOKUP($A143,Table,MATCH(G$4,Curves,0))</f>
        <v>3</v>
      </c>
      <c r="H143" s="125" t="n">
        <f aca="false">G143+$H$7</f>
        <v>3</v>
      </c>
      <c r="I143" s="124" t="n">
        <f aca="false">H143</f>
        <v>3</v>
      </c>
      <c r="J143" s="124" t="n">
        <f aca="false">VLOOKUP($A143,Table,MATCH(J$4,Curves,0))</f>
        <v>4</v>
      </c>
      <c r="K143" s="125" t="n">
        <f aca="false">J143+$K$7</f>
        <v>4</v>
      </c>
      <c r="L143" s="126" t="n">
        <f aca="false">K143</f>
        <v>4</v>
      </c>
      <c r="M143" s="124" t="n">
        <f aca="false">VLOOKUP($A143,Table,MATCH(M$4,Curves,0))</f>
        <v>4</v>
      </c>
      <c r="N143" s="125" t="n">
        <f aca="false">M143+$N$7</f>
        <v>4</v>
      </c>
      <c r="O143" s="126" t="n">
        <v>0.12</v>
      </c>
      <c r="P143" s="114"/>
      <c r="Q143" s="126" t="n">
        <f aca="false">M143+J143+G143</f>
        <v>11</v>
      </c>
      <c r="R143" s="126" t="n">
        <f aca="false">N143+K143+H143</f>
        <v>11</v>
      </c>
      <c r="S143" s="126" t="n">
        <f aca="false">O143+L143+I143</f>
        <v>7.12</v>
      </c>
      <c r="T143" s="127"/>
      <c r="U143" s="5" t="n">
        <f aca="false">A144-A143</f>
        <v>31</v>
      </c>
      <c r="V143" s="128" t="n">
        <f aca="false">CHOOSE(F$3,A144+24,A143)</f>
        <v>41334</v>
      </c>
      <c r="W143" s="5" t="n">
        <f aca="false">V143-C$3</f>
        <v>4103</v>
      </c>
      <c r="X143" s="124" t="n">
        <f aca="false">VLOOKUP($A143,Table,MATCH(X$4,Curves,0))</f>
        <v>2</v>
      </c>
      <c r="Y143" s="129" t="n">
        <f aca="false">1/(1+CHOOSE(F$3,(X144+($K$3/10000))/2,(X143+($K$3/10000))/2))^(2*W143/365.25)</f>
        <v>1.72511567757813E-007</v>
      </c>
      <c r="Z143" s="5" t="n">
        <f aca="false">IF(AND(mthbeg&lt;=A143,mthend&gt;=A143),1,0)</f>
        <v>0</v>
      </c>
      <c r="AA143" s="5" t="n">
        <f aca="false">U143*Z143</f>
        <v>0</v>
      </c>
      <c r="AC143" s="115" t="n">
        <f aca="false">IF(G136=2,F143*(S143-Q143),F143*(Q143-S143))</f>
        <v>0</v>
      </c>
      <c r="AE143" s="116" t="n">
        <f aca="false">IF($G$3=1,F143*(R143-Q143),F143*(Q143-R143))</f>
        <v>0</v>
      </c>
      <c r="AG143" s="116" t="n">
        <f aca="false">AC143+AE143</f>
        <v>0</v>
      </c>
    </row>
    <row r="144" customFormat="false" ht="12.75" hidden="false" customHeight="false" outlineLevel="0" collapsed="false">
      <c r="A144" s="120" t="n">
        <f aca="false">EDATE(A143,1)</f>
        <v>41365</v>
      </c>
      <c r="B144" s="121" t="e">
        <f aca="false">VLOOKUP(A144,'Inputs-Summary'!$A$32:$E$41,3,FALSE())</f>
        <v>#N/A</v>
      </c>
      <c r="C144" s="122"/>
      <c r="D144" s="123" t="e">
        <f aca="false">B144+C144</f>
        <v>#N/A</v>
      </c>
      <c r="E144" s="111" t="n">
        <f aca="false">IF(Z144=0,0,IF(AND(Z144=1,$H$3=1),D144*U144,IF($H$3=2,D144,"N/A")))</f>
        <v>0</v>
      </c>
      <c r="F144" s="111" t="n">
        <f aca="false">E144*Y144</f>
        <v>0</v>
      </c>
      <c r="G144" s="124" t="n">
        <f aca="false">VLOOKUP($A144,Table,MATCH(G$4,Curves,0))</f>
        <v>3</v>
      </c>
      <c r="H144" s="125" t="n">
        <f aca="false">G144+$H$7</f>
        <v>3</v>
      </c>
      <c r="I144" s="124" t="n">
        <f aca="false">H144</f>
        <v>3</v>
      </c>
      <c r="J144" s="124" t="n">
        <f aca="false">VLOOKUP($A144,Table,MATCH(J$4,Curves,0))</f>
        <v>4</v>
      </c>
      <c r="K144" s="125" t="n">
        <f aca="false">J144+$K$7</f>
        <v>4</v>
      </c>
      <c r="L144" s="126" t="n">
        <f aca="false">K144</f>
        <v>4</v>
      </c>
      <c r="M144" s="124" t="n">
        <f aca="false">VLOOKUP($A144,Table,MATCH(M$4,Curves,0))</f>
        <v>4</v>
      </c>
      <c r="N144" s="125" t="n">
        <f aca="false">M144+$N$7</f>
        <v>4</v>
      </c>
      <c r="O144" s="126" t="n">
        <v>0.12</v>
      </c>
      <c r="P144" s="114"/>
      <c r="Q144" s="126" t="n">
        <f aca="false">M144+J144+G144</f>
        <v>11</v>
      </c>
      <c r="R144" s="126" t="n">
        <f aca="false">N144+K144+H144</f>
        <v>11</v>
      </c>
      <c r="S144" s="126" t="n">
        <f aca="false">O144+L144+I144</f>
        <v>7.12</v>
      </c>
      <c r="T144" s="127"/>
      <c r="U144" s="5" t="n">
        <f aca="false">A145-A144</f>
        <v>30</v>
      </c>
      <c r="V144" s="128" t="n">
        <f aca="false">CHOOSE(F$3,A145+24,A144)</f>
        <v>41365</v>
      </c>
      <c r="W144" s="5" t="n">
        <f aca="false">V144-C$3</f>
        <v>4134</v>
      </c>
      <c r="X144" s="124" t="n">
        <f aca="false">VLOOKUP($A144,Table,MATCH(X$4,Curves,0))</f>
        <v>2</v>
      </c>
      <c r="Y144" s="129" t="n">
        <f aca="false">1/(1+CHOOSE(F$3,(X145+($K$3/10000))/2,(X144+($K$3/10000))/2))^(2*W144/365.25)</f>
        <v>1.53362563373977E-007</v>
      </c>
      <c r="Z144" s="5" t="n">
        <f aca="false">IF(AND(mthbeg&lt;=A144,mthend&gt;=A144),1,0)</f>
        <v>0</v>
      </c>
      <c r="AA144" s="5" t="n">
        <f aca="false">U144*Z144</f>
        <v>0</v>
      </c>
      <c r="AC144" s="115" t="n">
        <f aca="false">IF(G137=2,F144*(S144-Q144),F144*(Q144-S144))</f>
        <v>0</v>
      </c>
      <c r="AE144" s="116" t="n">
        <f aca="false">IF($G$3=1,F144*(R144-Q144),F144*(Q144-R144))</f>
        <v>0</v>
      </c>
      <c r="AG144" s="116" t="n">
        <f aca="false">AC144+AE144</f>
        <v>0</v>
      </c>
    </row>
    <row r="145" customFormat="false" ht="12.75" hidden="false" customHeight="false" outlineLevel="0" collapsed="false">
      <c r="A145" s="120" t="n">
        <f aca="false">EDATE(A144,1)</f>
        <v>41395</v>
      </c>
      <c r="B145" s="121" t="e">
        <f aca="false">VLOOKUP(A145,'Inputs-Summary'!$A$32:$E$41,3,FALSE())</f>
        <v>#N/A</v>
      </c>
      <c r="C145" s="122"/>
      <c r="D145" s="123" t="e">
        <f aca="false">B145+C145</f>
        <v>#N/A</v>
      </c>
      <c r="E145" s="111" t="n">
        <f aca="false">IF(Z145=0,0,IF(AND(Z145=1,$H$3=1),D145*U145,IF($H$3=2,D145,"N/A")))</f>
        <v>0</v>
      </c>
      <c r="F145" s="111" t="n">
        <f aca="false">E145*Y145</f>
        <v>0</v>
      </c>
      <c r="G145" s="124" t="n">
        <f aca="false">VLOOKUP($A145,Table,MATCH(G$4,Curves,0))</f>
        <v>3</v>
      </c>
      <c r="H145" s="125" t="n">
        <f aca="false">G145+$H$7</f>
        <v>3</v>
      </c>
      <c r="I145" s="124" t="n">
        <f aca="false">H145</f>
        <v>3</v>
      </c>
      <c r="J145" s="124" t="n">
        <f aca="false">VLOOKUP($A145,Table,MATCH(J$4,Curves,0))</f>
        <v>4</v>
      </c>
      <c r="K145" s="125" t="n">
        <f aca="false">J145+$K$7</f>
        <v>4</v>
      </c>
      <c r="L145" s="126" t="n">
        <f aca="false">K145</f>
        <v>4</v>
      </c>
      <c r="M145" s="124" t="n">
        <f aca="false">VLOOKUP($A145,Table,MATCH(M$4,Curves,0))</f>
        <v>4</v>
      </c>
      <c r="N145" s="125" t="n">
        <f aca="false">M145+$N$7</f>
        <v>4</v>
      </c>
      <c r="O145" s="126" t="n">
        <v>0.12</v>
      </c>
      <c r="P145" s="114"/>
      <c r="Q145" s="126" t="n">
        <f aca="false">M145+J145+G145</f>
        <v>11</v>
      </c>
      <c r="R145" s="126" t="n">
        <f aca="false">N145+K145+H145</f>
        <v>11</v>
      </c>
      <c r="S145" s="126" t="n">
        <f aca="false">O145+L145+I145</f>
        <v>7.12</v>
      </c>
      <c r="T145" s="127"/>
      <c r="U145" s="5" t="n">
        <f aca="false">A146-A145</f>
        <v>31</v>
      </c>
      <c r="V145" s="128" t="n">
        <f aca="false">CHOOSE(F$3,A146+24,A145)</f>
        <v>41395</v>
      </c>
      <c r="W145" s="5" t="n">
        <f aca="false">V145-C$3</f>
        <v>4164</v>
      </c>
      <c r="X145" s="124" t="n">
        <f aca="false">VLOOKUP($A145,Table,MATCH(X$4,Curves,0))</f>
        <v>2</v>
      </c>
      <c r="Y145" s="129" t="n">
        <f aca="false">1/(1+CHOOSE(F$3,(X146+($K$3/10000))/2,(X145+($K$3/10000))/2))^(2*W145/365.25)</f>
        <v>1.36857576858921E-007</v>
      </c>
      <c r="Z145" s="5" t="n">
        <f aca="false">IF(AND(mthbeg&lt;=A145,mthend&gt;=A145),1,0)</f>
        <v>0</v>
      </c>
      <c r="AA145" s="5" t="n">
        <f aca="false">U145*Z145</f>
        <v>0</v>
      </c>
      <c r="AC145" s="115" t="n">
        <f aca="false">IF(G138=2,F145*(S145-Q145),F145*(Q145-S145))</f>
        <v>0</v>
      </c>
      <c r="AE145" s="116" t="n">
        <f aca="false">IF($G$3=1,F145*(R145-Q145),F145*(Q145-R145))</f>
        <v>0</v>
      </c>
      <c r="AG145" s="116" t="n">
        <f aca="false">AC145+AE145</f>
        <v>0</v>
      </c>
    </row>
    <row r="146" customFormat="false" ht="12.75" hidden="false" customHeight="false" outlineLevel="0" collapsed="false">
      <c r="A146" s="120" t="n">
        <f aca="false">EDATE(A145,1)</f>
        <v>41426</v>
      </c>
      <c r="B146" s="121" t="e">
        <f aca="false">VLOOKUP(A146,'Inputs-Summary'!$A$32:$E$41,3,FALSE())</f>
        <v>#N/A</v>
      </c>
      <c r="C146" s="122"/>
      <c r="D146" s="123" t="e">
        <f aca="false">B146+C146</f>
        <v>#N/A</v>
      </c>
      <c r="E146" s="111" t="n">
        <f aca="false">IF(Z146=0,0,IF(AND(Z146=1,$H$3=1),D146*U146,IF($H$3=2,D146,"N/A")))</f>
        <v>0</v>
      </c>
      <c r="F146" s="111" t="n">
        <f aca="false">E146*Y146</f>
        <v>0</v>
      </c>
      <c r="G146" s="124" t="n">
        <f aca="false">VLOOKUP($A146,Table,MATCH(G$4,Curves,0))</f>
        <v>3</v>
      </c>
      <c r="H146" s="125" t="n">
        <f aca="false">G146+$H$7</f>
        <v>3</v>
      </c>
      <c r="I146" s="124" t="n">
        <f aca="false">H146</f>
        <v>3</v>
      </c>
      <c r="J146" s="124" t="n">
        <f aca="false">VLOOKUP($A146,Table,MATCH(J$4,Curves,0))</f>
        <v>4</v>
      </c>
      <c r="K146" s="125" t="n">
        <f aca="false">J146+$K$7</f>
        <v>4</v>
      </c>
      <c r="L146" s="126" t="n">
        <f aca="false">K146</f>
        <v>4</v>
      </c>
      <c r="M146" s="124" t="n">
        <f aca="false">VLOOKUP($A146,Table,MATCH(M$4,Curves,0))</f>
        <v>4</v>
      </c>
      <c r="N146" s="125" t="n">
        <f aca="false">M146+$N$7</f>
        <v>4</v>
      </c>
      <c r="O146" s="126" t="n">
        <v>0.12</v>
      </c>
      <c r="P146" s="114"/>
      <c r="Q146" s="126" t="n">
        <f aca="false">M146+J146+G146</f>
        <v>11</v>
      </c>
      <c r="R146" s="126" t="n">
        <f aca="false">N146+K146+H146</f>
        <v>11</v>
      </c>
      <c r="S146" s="126" t="n">
        <f aca="false">O146+L146+I146</f>
        <v>7.12</v>
      </c>
      <c r="T146" s="127"/>
      <c r="U146" s="5" t="n">
        <f aca="false">A147-A146</f>
        <v>30</v>
      </c>
      <c r="V146" s="128" t="n">
        <f aca="false">CHOOSE(F$3,A147+24,A146)</f>
        <v>41426</v>
      </c>
      <c r="W146" s="5" t="n">
        <f aca="false">V146-C$3</f>
        <v>4195</v>
      </c>
      <c r="X146" s="124" t="n">
        <f aca="false">VLOOKUP($A146,Table,MATCH(X$4,Curves,0))</f>
        <v>2</v>
      </c>
      <c r="Y146" s="129" t="n">
        <f aca="false">1/(1+CHOOSE(F$3,(X147+($K$3/10000))/2,(X146+($K$3/10000))/2))^(2*W146/365.25)</f>
        <v>1.21666211008534E-007</v>
      </c>
      <c r="Z146" s="5" t="n">
        <f aca="false">IF(AND(mthbeg&lt;=A146,mthend&gt;=A146),1,0)</f>
        <v>0</v>
      </c>
      <c r="AA146" s="5" t="n">
        <f aca="false">U146*Z146</f>
        <v>0</v>
      </c>
      <c r="AC146" s="115" t="n">
        <f aca="false">IF(G139=2,F146*(S146-Q146),F146*(Q146-S146))</f>
        <v>0</v>
      </c>
      <c r="AE146" s="116" t="n">
        <f aca="false">IF($G$3=1,F146*(R146-Q146),F146*(Q146-R146))</f>
        <v>0</v>
      </c>
      <c r="AG146" s="116" t="n">
        <f aca="false">AC146+AE146</f>
        <v>0</v>
      </c>
    </row>
    <row r="147" customFormat="false" ht="12.75" hidden="false" customHeight="false" outlineLevel="0" collapsed="false">
      <c r="A147" s="120" t="n">
        <f aca="false">EDATE(A146,1)</f>
        <v>41456</v>
      </c>
      <c r="B147" s="121" t="e">
        <f aca="false">VLOOKUP(A147,'Inputs-Summary'!$A$32:$E$41,3,FALSE())</f>
        <v>#N/A</v>
      </c>
      <c r="C147" s="122"/>
      <c r="D147" s="123" t="e">
        <f aca="false">B147+C147</f>
        <v>#N/A</v>
      </c>
      <c r="E147" s="111" t="n">
        <f aca="false">IF(Z147=0,0,IF(AND(Z147=1,$H$3=1),D147*U147,IF($H$3=2,D147,"N/A")))</f>
        <v>0</v>
      </c>
      <c r="F147" s="111" t="n">
        <f aca="false">E147*Y147</f>
        <v>0</v>
      </c>
      <c r="G147" s="124" t="n">
        <f aca="false">VLOOKUP($A147,Table,MATCH(G$4,Curves,0))</f>
        <v>3</v>
      </c>
      <c r="H147" s="125" t="n">
        <f aca="false">G147+$H$7</f>
        <v>3</v>
      </c>
      <c r="I147" s="124" t="n">
        <f aca="false">H147</f>
        <v>3</v>
      </c>
      <c r="J147" s="124" t="n">
        <f aca="false">VLOOKUP($A147,Table,MATCH(J$4,Curves,0))</f>
        <v>4</v>
      </c>
      <c r="K147" s="125" t="n">
        <f aca="false">J147+$K$7</f>
        <v>4</v>
      </c>
      <c r="L147" s="126" t="n">
        <f aca="false">K147</f>
        <v>4</v>
      </c>
      <c r="M147" s="124" t="n">
        <f aca="false">VLOOKUP($A147,Table,MATCH(M$4,Curves,0))</f>
        <v>4</v>
      </c>
      <c r="N147" s="125" t="n">
        <f aca="false">M147+$N$7</f>
        <v>4</v>
      </c>
      <c r="O147" s="126" t="n">
        <v>0.12</v>
      </c>
      <c r="P147" s="114"/>
      <c r="Q147" s="126" t="n">
        <f aca="false">M147+J147+G147</f>
        <v>11</v>
      </c>
      <c r="R147" s="126" t="n">
        <f aca="false">N147+K147+H147</f>
        <v>11</v>
      </c>
      <c r="S147" s="126" t="n">
        <f aca="false">O147+L147+I147</f>
        <v>7.12</v>
      </c>
      <c r="T147" s="127"/>
      <c r="U147" s="5" t="n">
        <f aca="false">A148-A147</f>
        <v>31</v>
      </c>
      <c r="V147" s="128" t="n">
        <f aca="false">CHOOSE(F$3,A148+24,A147)</f>
        <v>41456</v>
      </c>
      <c r="W147" s="5" t="n">
        <f aca="false">V147-C$3</f>
        <v>4225</v>
      </c>
      <c r="X147" s="124" t="n">
        <f aca="false">VLOOKUP($A147,Table,MATCH(X$4,Curves,0))</f>
        <v>2</v>
      </c>
      <c r="Y147" s="129" t="n">
        <f aca="false">1/(1+CHOOSE(F$3,(X148+($K$3/10000))/2,(X147+($K$3/10000))/2))^(2*W147/365.25)</f>
        <v>1.08572408141292E-007</v>
      </c>
      <c r="Z147" s="5" t="n">
        <f aca="false">IF(AND(mthbeg&lt;=A147,mthend&gt;=A147),1,0)</f>
        <v>0</v>
      </c>
      <c r="AA147" s="5" t="n">
        <f aca="false">U147*Z147</f>
        <v>0</v>
      </c>
      <c r="AC147" s="115" t="n">
        <f aca="false">IF(G140=2,F147*(S147-Q147),F147*(Q147-S147))</f>
        <v>0</v>
      </c>
      <c r="AE147" s="116" t="n">
        <f aca="false">IF($G$3=1,F147*(R147-Q147),F147*(Q147-R147))</f>
        <v>0</v>
      </c>
      <c r="AG147" s="116" t="n">
        <f aca="false">AC147+AE147</f>
        <v>0</v>
      </c>
    </row>
    <row r="148" customFormat="false" ht="12.75" hidden="false" customHeight="false" outlineLevel="0" collapsed="false">
      <c r="A148" s="120" t="n">
        <f aca="false">EDATE(A147,1)</f>
        <v>41487</v>
      </c>
      <c r="B148" s="121" t="e">
        <f aca="false">VLOOKUP(A148,'Inputs-Summary'!$A$32:$E$41,3,FALSE())</f>
        <v>#N/A</v>
      </c>
      <c r="C148" s="122"/>
      <c r="D148" s="123" t="e">
        <f aca="false">B148+C148</f>
        <v>#N/A</v>
      </c>
      <c r="E148" s="111" t="n">
        <f aca="false">IF(Z148=0,0,IF(AND(Z148=1,$H$3=1),D148*U148,IF($H$3=2,D148,"N/A")))</f>
        <v>0</v>
      </c>
      <c r="F148" s="111" t="n">
        <f aca="false">E148*Y148</f>
        <v>0</v>
      </c>
      <c r="G148" s="124" t="n">
        <f aca="false">VLOOKUP($A148,Table,MATCH(G$4,Curves,0))</f>
        <v>3</v>
      </c>
      <c r="H148" s="125" t="n">
        <f aca="false">G148+$H$7</f>
        <v>3</v>
      </c>
      <c r="I148" s="124" t="n">
        <f aca="false">H148</f>
        <v>3</v>
      </c>
      <c r="J148" s="124" t="n">
        <f aca="false">VLOOKUP($A148,Table,MATCH(J$4,Curves,0))</f>
        <v>4</v>
      </c>
      <c r="K148" s="125" t="n">
        <f aca="false">J148+$K$7</f>
        <v>4</v>
      </c>
      <c r="L148" s="126" t="n">
        <f aca="false">K148</f>
        <v>4</v>
      </c>
      <c r="M148" s="124" t="n">
        <f aca="false">VLOOKUP($A148,Table,MATCH(M$4,Curves,0))</f>
        <v>4</v>
      </c>
      <c r="N148" s="125" t="n">
        <f aca="false">M148+$N$7</f>
        <v>4</v>
      </c>
      <c r="O148" s="126" t="n">
        <v>0.12</v>
      </c>
      <c r="P148" s="114"/>
      <c r="Q148" s="126" t="n">
        <f aca="false">M148+J148+G148</f>
        <v>11</v>
      </c>
      <c r="R148" s="126" t="n">
        <f aca="false">N148+K148+H148</f>
        <v>11</v>
      </c>
      <c r="S148" s="126" t="n">
        <f aca="false">O148+L148+I148</f>
        <v>7.12</v>
      </c>
      <c r="T148" s="127"/>
      <c r="U148" s="5" t="n">
        <f aca="false">A149-A148</f>
        <v>31</v>
      </c>
      <c r="V148" s="128" t="n">
        <f aca="false">CHOOSE(F$3,A149+24,A148)</f>
        <v>41487</v>
      </c>
      <c r="W148" s="5" t="n">
        <f aca="false">V148-C$3</f>
        <v>4256</v>
      </c>
      <c r="X148" s="124" t="n">
        <f aca="false">VLOOKUP($A148,Table,MATCH(X$4,Curves,0))</f>
        <v>2</v>
      </c>
      <c r="Y148" s="129" t="n">
        <f aca="false">1/(1+CHOOSE(F$3,(X149+($K$3/10000))/2,(X148+($K$3/10000))/2))^(2*W148/365.25)</f>
        <v>9.65207321494535E-008</v>
      </c>
      <c r="Z148" s="5" t="n">
        <f aca="false">IF(AND(mthbeg&lt;=A148,mthend&gt;=A148),1,0)</f>
        <v>0</v>
      </c>
      <c r="AA148" s="5" t="n">
        <f aca="false">U148*Z148</f>
        <v>0</v>
      </c>
      <c r="AC148" s="115" t="n">
        <f aca="false">IF(G141=2,F148*(S148-Q148),F148*(Q148-S148))</f>
        <v>0</v>
      </c>
      <c r="AE148" s="116" t="n">
        <f aca="false">IF($G$3=1,F148*(R148-Q148),F148*(Q148-R148))</f>
        <v>0</v>
      </c>
      <c r="AG148" s="116" t="n">
        <f aca="false">AC148+AE148</f>
        <v>0</v>
      </c>
    </row>
    <row r="149" customFormat="false" ht="12.75" hidden="false" customHeight="false" outlineLevel="0" collapsed="false">
      <c r="A149" s="120" t="n">
        <f aca="false">EDATE(A148,1)</f>
        <v>41518</v>
      </c>
      <c r="B149" s="121" t="e">
        <f aca="false">VLOOKUP(A149,'Inputs-Summary'!$A$32:$E$41,3,FALSE())</f>
        <v>#N/A</v>
      </c>
      <c r="C149" s="122"/>
      <c r="D149" s="123" t="e">
        <f aca="false">B149+C149</f>
        <v>#N/A</v>
      </c>
      <c r="E149" s="111" t="n">
        <f aca="false">IF(Z149=0,0,IF(AND(Z149=1,$H$3=1),D149*U149,IF($H$3=2,D149,"N/A")))</f>
        <v>0</v>
      </c>
      <c r="F149" s="111" t="n">
        <f aca="false">E149*Y149</f>
        <v>0</v>
      </c>
      <c r="G149" s="124" t="n">
        <f aca="false">VLOOKUP($A149,Table,MATCH(G$4,Curves,0))</f>
        <v>3</v>
      </c>
      <c r="H149" s="125" t="n">
        <f aca="false">G149+$H$7</f>
        <v>3</v>
      </c>
      <c r="I149" s="124" t="n">
        <f aca="false">H149</f>
        <v>3</v>
      </c>
      <c r="J149" s="124" t="n">
        <f aca="false">VLOOKUP($A149,Table,MATCH(J$4,Curves,0))</f>
        <v>4</v>
      </c>
      <c r="K149" s="125" t="n">
        <f aca="false">J149+$K$7</f>
        <v>4</v>
      </c>
      <c r="L149" s="126" t="n">
        <f aca="false">K149</f>
        <v>4</v>
      </c>
      <c r="M149" s="124" t="n">
        <f aca="false">VLOOKUP($A149,Table,MATCH(M$4,Curves,0))</f>
        <v>4</v>
      </c>
      <c r="N149" s="125" t="n">
        <f aca="false">M149+$N$7</f>
        <v>4</v>
      </c>
      <c r="O149" s="126" t="n">
        <v>0.12</v>
      </c>
      <c r="P149" s="114"/>
      <c r="Q149" s="126" t="n">
        <f aca="false">M149+J149+G149</f>
        <v>11</v>
      </c>
      <c r="R149" s="126" t="n">
        <f aca="false">N149+K149+H149</f>
        <v>11</v>
      </c>
      <c r="S149" s="126" t="n">
        <f aca="false">O149+L149+I149</f>
        <v>7.12</v>
      </c>
      <c r="T149" s="127"/>
      <c r="U149" s="5" t="n">
        <f aca="false">A150-A149</f>
        <v>30</v>
      </c>
      <c r="V149" s="128" t="n">
        <f aca="false">CHOOSE(F$3,A150+24,A149)</f>
        <v>41518</v>
      </c>
      <c r="W149" s="5" t="n">
        <f aca="false">V149-C$3</f>
        <v>4287</v>
      </c>
      <c r="X149" s="124" t="n">
        <f aca="false">VLOOKUP($A149,Table,MATCH(X$4,Curves,0))</f>
        <v>2</v>
      </c>
      <c r="Y149" s="129" t="n">
        <f aca="false">1/(1+CHOOSE(F$3,(X150+($K$3/10000))/2,(X149+($K$3/10000))/2))^(2*W149/365.25)</f>
        <v>8.58068075872714E-008</v>
      </c>
      <c r="Z149" s="5" t="n">
        <f aca="false">IF(AND(mthbeg&lt;=A149,mthend&gt;=A149),1,0)</f>
        <v>0</v>
      </c>
      <c r="AA149" s="5" t="n">
        <f aca="false">U149*Z149</f>
        <v>0</v>
      </c>
      <c r="AC149" s="115" t="n">
        <f aca="false">IF(G142=2,F149*(S149-Q149),F149*(Q149-S149))</f>
        <v>0</v>
      </c>
      <c r="AE149" s="116" t="n">
        <f aca="false">IF($G$3=1,F149*(R149-Q149),F149*(Q149-R149))</f>
        <v>0</v>
      </c>
      <c r="AG149" s="116" t="n">
        <f aca="false">AC149+AE149</f>
        <v>0</v>
      </c>
    </row>
    <row r="150" customFormat="false" ht="12.75" hidden="false" customHeight="false" outlineLevel="0" collapsed="false">
      <c r="A150" s="120" t="n">
        <f aca="false">EDATE(A149,1)</f>
        <v>41548</v>
      </c>
      <c r="B150" s="121" t="e">
        <f aca="false">VLOOKUP(A150,'Inputs-Summary'!$A$32:$E$41,3,FALSE())</f>
        <v>#N/A</v>
      </c>
      <c r="C150" s="122"/>
      <c r="D150" s="123" t="e">
        <f aca="false">B150+C150</f>
        <v>#N/A</v>
      </c>
      <c r="E150" s="111" t="n">
        <f aca="false">IF(Z150=0,0,IF(AND(Z150=1,$H$3=1),D150*U150,IF($H$3=2,D150,"N/A")))</f>
        <v>0</v>
      </c>
      <c r="F150" s="111" t="n">
        <f aca="false">E150*Y150</f>
        <v>0</v>
      </c>
      <c r="G150" s="124" t="n">
        <f aca="false">VLOOKUP($A150,Table,MATCH(G$4,Curves,0))</f>
        <v>3</v>
      </c>
      <c r="H150" s="125" t="n">
        <f aca="false">G150+$H$7</f>
        <v>3</v>
      </c>
      <c r="I150" s="124" t="n">
        <f aca="false">H150</f>
        <v>3</v>
      </c>
      <c r="J150" s="124" t="n">
        <f aca="false">VLOOKUP($A150,Table,MATCH(J$4,Curves,0))</f>
        <v>4</v>
      </c>
      <c r="K150" s="125" t="n">
        <f aca="false">J150+$K$7</f>
        <v>4</v>
      </c>
      <c r="L150" s="126" t="n">
        <f aca="false">K150</f>
        <v>4</v>
      </c>
      <c r="M150" s="124" t="n">
        <f aca="false">VLOOKUP($A150,Table,MATCH(M$4,Curves,0))</f>
        <v>4</v>
      </c>
      <c r="N150" s="125" t="n">
        <f aca="false">M150+$N$7</f>
        <v>4</v>
      </c>
      <c r="O150" s="126" t="n">
        <v>0.12</v>
      </c>
      <c r="P150" s="114"/>
      <c r="Q150" s="126" t="n">
        <f aca="false">M150+J150+G150</f>
        <v>11</v>
      </c>
      <c r="R150" s="126" t="n">
        <f aca="false">N150+K150+H150</f>
        <v>11</v>
      </c>
      <c r="S150" s="126" t="n">
        <f aca="false">O150+L150+I150</f>
        <v>7.12</v>
      </c>
      <c r="T150" s="127"/>
      <c r="U150" s="5" t="n">
        <f aca="false">A151-A150</f>
        <v>31</v>
      </c>
      <c r="V150" s="128" t="n">
        <f aca="false">CHOOSE(F$3,A151+24,A150)</f>
        <v>41548</v>
      </c>
      <c r="W150" s="5" t="n">
        <f aca="false">V150-C$3</f>
        <v>4317</v>
      </c>
      <c r="X150" s="124" t="n">
        <f aca="false">VLOOKUP($A150,Table,MATCH(X$4,Curves,0))</f>
        <v>2</v>
      </c>
      <c r="Y150" s="129" t="n">
        <f aca="false">1/(1+CHOOSE(F$3,(X151+($K$3/10000))/2,(X150+($K$3/10000))/2))^(2*W150/365.25)</f>
        <v>7.65722188390748E-008</v>
      </c>
      <c r="Z150" s="5" t="n">
        <f aca="false">IF(AND(mthbeg&lt;=A150,mthend&gt;=A150),1,0)</f>
        <v>0</v>
      </c>
      <c r="AA150" s="5" t="n">
        <f aca="false">U150*Z150</f>
        <v>0</v>
      </c>
      <c r="AC150" s="115" t="n">
        <f aca="false">IF(G143=2,F150*(S150-Q150),F150*(Q150-S150))</f>
        <v>0</v>
      </c>
      <c r="AE150" s="116" t="n">
        <f aca="false">IF($G$3=1,F150*(R150-Q150),F150*(Q150-R150))</f>
        <v>0</v>
      </c>
      <c r="AG150" s="116" t="n">
        <f aca="false">AC150+AE150</f>
        <v>0</v>
      </c>
    </row>
    <row r="151" customFormat="false" ht="12.75" hidden="false" customHeight="false" outlineLevel="0" collapsed="false">
      <c r="A151" s="120" t="n">
        <f aca="false">EDATE(A150,1)</f>
        <v>41579</v>
      </c>
      <c r="B151" s="121" t="e">
        <f aca="false">VLOOKUP(A151,'Inputs-Summary'!$A$32:$E$41,3,FALSE())</f>
        <v>#N/A</v>
      </c>
      <c r="C151" s="122"/>
      <c r="D151" s="123" t="e">
        <f aca="false">B151+C151</f>
        <v>#N/A</v>
      </c>
      <c r="E151" s="111" t="n">
        <f aca="false">IF(Z151=0,0,IF(AND(Z151=1,$H$3=1),D151*U151,IF($H$3=2,D151,"N/A")))</f>
        <v>0</v>
      </c>
      <c r="F151" s="111" t="n">
        <f aca="false">E151*Y151</f>
        <v>0</v>
      </c>
      <c r="G151" s="124" t="n">
        <f aca="false">VLOOKUP($A151,Table,MATCH(G$4,Curves,0))</f>
        <v>3</v>
      </c>
      <c r="H151" s="125" t="n">
        <f aca="false">G151+$H$7</f>
        <v>3</v>
      </c>
      <c r="I151" s="124" t="n">
        <f aca="false">H151</f>
        <v>3</v>
      </c>
      <c r="J151" s="124" t="n">
        <f aca="false">VLOOKUP($A151,Table,MATCH(J$4,Curves,0))</f>
        <v>4</v>
      </c>
      <c r="K151" s="125" t="n">
        <f aca="false">J151+$K$7</f>
        <v>4</v>
      </c>
      <c r="L151" s="126" t="n">
        <f aca="false">K151</f>
        <v>4</v>
      </c>
      <c r="M151" s="124" t="n">
        <f aca="false">VLOOKUP($A151,Table,MATCH(M$4,Curves,0))</f>
        <v>4</v>
      </c>
      <c r="N151" s="125" t="n">
        <f aca="false">M151+$N$7</f>
        <v>4</v>
      </c>
      <c r="O151" s="126" t="n">
        <v>0.12</v>
      </c>
      <c r="P151" s="114"/>
      <c r="Q151" s="126" t="n">
        <f aca="false">M151+J151+G151</f>
        <v>11</v>
      </c>
      <c r="R151" s="126" t="n">
        <f aca="false">N151+K151+H151</f>
        <v>11</v>
      </c>
      <c r="S151" s="126" t="n">
        <f aca="false">O151+L151+I151</f>
        <v>7.12</v>
      </c>
      <c r="T151" s="127"/>
      <c r="U151" s="5" t="n">
        <f aca="false">A152-A151</f>
        <v>30</v>
      </c>
      <c r="V151" s="128" t="n">
        <f aca="false">CHOOSE(F$3,A152+24,A151)</f>
        <v>41579</v>
      </c>
      <c r="W151" s="5" t="n">
        <f aca="false">V151-C$3</f>
        <v>4348</v>
      </c>
      <c r="X151" s="124" t="n">
        <f aca="false">VLOOKUP($A151,Table,MATCH(X$4,Curves,0))</f>
        <v>2</v>
      </c>
      <c r="Y151" s="129" t="n">
        <f aca="false">1/(1+CHOOSE(F$3,(X152+($K$3/10000))/2,(X151+($K$3/10000))/2))^(2*W151/365.25)</f>
        <v>6.80726047361643E-008</v>
      </c>
      <c r="Z151" s="5" t="n">
        <f aca="false">IF(AND(mthbeg&lt;=A151,mthend&gt;=A151),1,0)</f>
        <v>0</v>
      </c>
      <c r="AA151" s="5" t="n">
        <f aca="false">U151*Z151</f>
        <v>0</v>
      </c>
      <c r="AC151" s="115" t="n">
        <f aca="false">IF(G144=2,F151*(S151-Q151),F151*(Q151-S151))</f>
        <v>0</v>
      </c>
      <c r="AE151" s="116" t="n">
        <f aca="false">IF($G$3=1,F151*(R151-Q151),F151*(Q151-R151))</f>
        <v>0</v>
      </c>
      <c r="AG151" s="116" t="n">
        <f aca="false">AC151+AE151</f>
        <v>0</v>
      </c>
    </row>
    <row r="152" customFormat="false" ht="12.75" hidden="false" customHeight="false" outlineLevel="0" collapsed="false">
      <c r="A152" s="120" t="n">
        <f aca="false">EDATE(A151,1)</f>
        <v>41609</v>
      </c>
      <c r="B152" s="121" t="e">
        <f aca="false">VLOOKUP(A152,'Inputs-Summary'!$A$32:$E$41,3,FALSE())</f>
        <v>#N/A</v>
      </c>
      <c r="C152" s="122"/>
      <c r="D152" s="123" t="e">
        <f aca="false">B152+C152</f>
        <v>#N/A</v>
      </c>
      <c r="E152" s="111" t="n">
        <f aca="false">IF(Z152=0,0,IF(AND(Z152=1,$H$3=1),D152*U152,IF($H$3=2,D152,"N/A")))</f>
        <v>0</v>
      </c>
      <c r="F152" s="111" t="n">
        <f aca="false">E152*Y152</f>
        <v>0</v>
      </c>
      <c r="G152" s="124" t="n">
        <f aca="false">VLOOKUP($A152,Table,MATCH(G$4,Curves,0))</f>
        <v>3</v>
      </c>
      <c r="H152" s="125" t="n">
        <f aca="false">G152+$H$7</f>
        <v>3</v>
      </c>
      <c r="I152" s="124" t="n">
        <f aca="false">H152</f>
        <v>3</v>
      </c>
      <c r="J152" s="124" t="n">
        <f aca="false">VLOOKUP($A152,Table,MATCH(J$4,Curves,0))</f>
        <v>4</v>
      </c>
      <c r="K152" s="125" t="n">
        <f aca="false">J152+$K$7</f>
        <v>4</v>
      </c>
      <c r="L152" s="126" t="n">
        <f aca="false">K152</f>
        <v>4</v>
      </c>
      <c r="M152" s="124" t="n">
        <f aca="false">VLOOKUP($A152,Table,MATCH(M$4,Curves,0))</f>
        <v>4</v>
      </c>
      <c r="N152" s="125" t="n">
        <f aca="false">M152+$N$7</f>
        <v>4</v>
      </c>
      <c r="O152" s="126" t="n">
        <v>0.12</v>
      </c>
      <c r="P152" s="114"/>
      <c r="Q152" s="126" t="n">
        <f aca="false">M152+J152+G152</f>
        <v>11</v>
      </c>
      <c r="R152" s="126" t="n">
        <f aca="false">N152+K152+H152</f>
        <v>11</v>
      </c>
      <c r="S152" s="126" t="n">
        <f aca="false">O152+L152+I152</f>
        <v>7.12</v>
      </c>
      <c r="T152" s="127"/>
      <c r="U152" s="5" t="n">
        <f aca="false">A153-A152</f>
        <v>31</v>
      </c>
      <c r="V152" s="128" t="n">
        <f aca="false">CHOOSE(F$3,A153+24,A152)</f>
        <v>41609</v>
      </c>
      <c r="W152" s="5" t="n">
        <f aca="false">V152-C$3</f>
        <v>4378</v>
      </c>
      <c r="X152" s="124" t="n">
        <f aca="false">VLOOKUP($A152,Table,MATCH(X$4,Curves,0))</f>
        <v>2</v>
      </c>
      <c r="Y152" s="129" t="n">
        <f aca="false">1/(1+CHOOSE(F$3,(X153+($K$3/10000))/2,(X152+($K$3/10000))/2))^(2*W152/365.25)</f>
        <v>6.07465833232635E-008</v>
      </c>
      <c r="Z152" s="5" t="n">
        <f aca="false">IF(AND(mthbeg&lt;=A152,mthend&gt;=A152),1,0)</f>
        <v>0</v>
      </c>
      <c r="AA152" s="5" t="n">
        <f aca="false">U152*Z152</f>
        <v>0</v>
      </c>
      <c r="AC152" s="115" t="n">
        <f aca="false">IF(G145=2,F152*(S152-Q152),F152*(Q152-S152))</f>
        <v>0</v>
      </c>
      <c r="AE152" s="116" t="n">
        <f aca="false">IF($G$3=1,F152*(R152-Q152),F152*(Q152-R152))</f>
        <v>0</v>
      </c>
      <c r="AG152" s="116" t="n">
        <f aca="false">AC152+AE152</f>
        <v>0</v>
      </c>
    </row>
    <row r="153" customFormat="false" ht="12.75" hidden="false" customHeight="false" outlineLevel="0" collapsed="false">
      <c r="A153" s="120" t="n">
        <f aca="false">EDATE(A152,1)</f>
        <v>41640</v>
      </c>
      <c r="B153" s="121" t="e">
        <f aca="false">VLOOKUP(A153,'Inputs-Summary'!$A$32:$E$41,3,FALSE())</f>
        <v>#N/A</v>
      </c>
      <c r="C153" s="122"/>
      <c r="D153" s="123" t="e">
        <f aca="false">B153+C153</f>
        <v>#N/A</v>
      </c>
      <c r="E153" s="111" t="n">
        <f aca="false">IF(Z153=0,0,IF(AND(Z153=1,$H$3=1),D153*U153,IF($H$3=2,D153,"N/A")))</f>
        <v>0</v>
      </c>
      <c r="F153" s="111" t="n">
        <f aca="false">E153*Y153</f>
        <v>0</v>
      </c>
      <c r="G153" s="124" t="n">
        <f aca="false">VLOOKUP($A153,Table,MATCH(G$4,Curves,0))</f>
        <v>3</v>
      </c>
      <c r="H153" s="125" t="n">
        <f aca="false">G153+$H$7</f>
        <v>3</v>
      </c>
      <c r="I153" s="124" t="n">
        <f aca="false">H153</f>
        <v>3</v>
      </c>
      <c r="J153" s="124" t="n">
        <f aca="false">VLOOKUP($A153,Table,MATCH(J$4,Curves,0))</f>
        <v>4</v>
      </c>
      <c r="K153" s="125" t="n">
        <f aca="false">J153+$K$7</f>
        <v>4</v>
      </c>
      <c r="L153" s="126" t="n">
        <f aca="false">K153</f>
        <v>4</v>
      </c>
      <c r="M153" s="124" t="n">
        <f aca="false">VLOOKUP($A153,Table,MATCH(M$4,Curves,0))</f>
        <v>4</v>
      </c>
      <c r="N153" s="125" t="n">
        <f aca="false">M153+$N$7</f>
        <v>4</v>
      </c>
      <c r="O153" s="126" t="n">
        <v>0.12</v>
      </c>
      <c r="P153" s="114"/>
      <c r="Q153" s="126" t="n">
        <f aca="false">M153+J153+G153</f>
        <v>11</v>
      </c>
      <c r="R153" s="126" t="n">
        <f aca="false">N153+K153+H153</f>
        <v>11</v>
      </c>
      <c r="S153" s="126" t="n">
        <f aca="false">O153+L153+I153</f>
        <v>7.12</v>
      </c>
      <c r="T153" s="127"/>
      <c r="U153" s="5" t="n">
        <f aca="false">A154-A153</f>
        <v>31</v>
      </c>
      <c r="V153" s="128" t="n">
        <f aca="false">CHOOSE(F$3,A154+24,A153)</f>
        <v>41640</v>
      </c>
      <c r="W153" s="5" t="n">
        <f aca="false">V153-C$3</f>
        <v>4409</v>
      </c>
      <c r="X153" s="124" t="n">
        <f aca="false">VLOOKUP($A153,Table,MATCH(X$4,Curves,0))</f>
        <v>2</v>
      </c>
      <c r="Y153" s="129" t="n">
        <f aca="false">1/(1+CHOOSE(F$3,(X154+($K$3/10000))/2,(X153+($K$3/10000))/2))^(2*W153/365.25)</f>
        <v>5.40036349779484E-008</v>
      </c>
      <c r="Z153" s="5" t="n">
        <f aca="false">IF(AND(mthbeg&lt;=A153,mthend&gt;=A153),1,0)</f>
        <v>0</v>
      </c>
      <c r="AA153" s="5" t="n">
        <f aca="false">U153*Z153</f>
        <v>0</v>
      </c>
      <c r="AC153" s="115" t="n">
        <f aca="false">IF(G146=2,F153*(S153-Q153),F153*(Q153-S153))</f>
        <v>0</v>
      </c>
      <c r="AE153" s="116" t="n">
        <f aca="false">IF($G$3=1,F153*(R153-Q153),F153*(Q153-R153))</f>
        <v>0</v>
      </c>
      <c r="AG153" s="116" t="n">
        <f aca="false">AC153+AE153</f>
        <v>0</v>
      </c>
    </row>
    <row r="154" customFormat="false" ht="12.75" hidden="false" customHeight="false" outlineLevel="0" collapsed="false">
      <c r="A154" s="120" t="n">
        <f aca="false">EDATE(A153,1)</f>
        <v>41671</v>
      </c>
      <c r="B154" s="121" t="e">
        <f aca="false">VLOOKUP(A154,'Inputs-Summary'!$A$32:$E$41,3,FALSE())</f>
        <v>#N/A</v>
      </c>
      <c r="C154" s="122"/>
      <c r="D154" s="123" t="e">
        <f aca="false">B154+C154</f>
        <v>#N/A</v>
      </c>
      <c r="E154" s="111" t="n">
        <f aca="false">IF(Z154=0,0,IF(AND(Z154=1,$H$3=1),D154*U154,IF($H$3=2,D154,"N/A")))</f>
        <v>0</v>
      </c>
      <c r="F154" s="111" t="n">
        <f aca="false">E154*Y154</f>
        <v>0</v>
      </c>
      <c r="G154" s="124" t="n">
        <f aca="false">VLOOKUP($A154,Table,MATCH(G$4,Curves,0))</f>
        <v>3</v>
      </c>
      <c r="H154" s="125" t="n">
        <f aca="false">G154+$H$7</f>
        <v>3</v>
      </c>
      <c r="I154" s="124" t="n">
        <f aca="false">H154</f>
        <v>3</v>
      </c>
      <c r="J154" s="124" t="n">
        <f aca="false">VLOOKUP($A154,Table,MATCH(J$4,Curves,0))</f>
        <v>4</v>
      </c>
      <c r="K154" s="125" t="n">
        <f aca="false">J154+$K$7</f>
        <v>4</v>
      </c>
      <c r="L154" s="126" t="n">
        <f aca="false">K154</f>
        <v>4</v>
      </c>
      <c r="M154" s="124" t="n">
        <f aca="false">VLOOKUP($A154,Table,MATCH(M$4,Curves,0))</f>
        <v>4</v>
      </c>
      <c r="N154" s="125" t="n">
        <f aca="false">M154+$N$7</f>
        <v>4</v>
      </c>
      <c r="O154" s="126" t="n">
        <v>0.12</v>
      </c>
      <c r="P154" s="114"/>
      <c r="Q154" s="126" t="n">
        <f aca="false">M154+J154+G154</f>
        <v>11</v>
      </c>
      <c r="R154" s="126" t="n">
        <f aca="false">N154+K154+H154</f>
        <v>11</v>
      </c>
      <c r="S154" s="126" t="n">
        <f aca="false">O154+L154+I154</f>
        <v>7.12</v>
      </c>
      <c r="T154" s="127"/>
      <c r="U154" s="5" t="n">
        <f aca="false">A155-A154</f>
        <v>28</v>
      </c>
      <c r="V154" s="128" t="n">
        <f aca="false">CHOOSE(F$3,A155+24,A154)</f>
        <v>41671</v>
      </c>
      <c r="W154" s="5" t="n">
        <f aca="false">V154-C$3</f>
        <v>4440</v>
      </c>
      <c r="X154" s="124" t="n">
        <f aca="false">VLOOKUP($A154,Table,MATCH(X$4,Curves,0))</f>
        <v>2</v>
      </c>
      <c r="Y154" s="129" t="n">
        <f aca="false">1/(1+CHOOSE(F$3,(X155+($K$3/10000))/2,(X154+($K$3/10000))/2))^(2*W154/365.25)</f>
        <v>4.80091625122664E-008</v>
      </c>
      <c r="Z154" s="5" t="n">
        <f aca="false">IF(AND(mthbeg&lt;=A154,mthend&gt;=A154),1,0)</f>
        <v>0</v>
      </c>
      <c r="AA154" s="5" t="n">
        <f aca="false">U154*Z154</f>
        <v>0</v>
      </c>
      <c r="AC154" s="115" t="n">
        <f aca="false">IF(G147=2,F154*(S154-Q154),F154*(Q154-S154))</f>
        <v>0</v>
      </c>
      <c r="AE154" s="116" t="n">
        <f aca="false">IF($G$3=1,F154*(R154-Q154),F154*(Q154-R154))</f>
        <v>0</v>
      </c>
      <c r="AG154" s="116" t="n">
        <f aca="false">AC154+AE154</f>
        <v>0</v>
      </c>
    </row>
    <row r="155" customFormat="false" ht="12.75" hidden="false" customHeight="false" outlineLevel="0" collapsed="false">
      <c r="A155" s="120" t="n">
        <f aca="false">EDATE(A154,1)</f>
        <v>41699</v>
      </c>
      <c r="B155" s="121" t="e">
        <f aca="false">VLOOKUP(A155,'Inputs-Summary'!$A$32:$E$41,3,FALSE())</f>
        <v>#N/A</v>
      </c>
      <c r="C155" s="122"/>
      <c r="D155" s="123" t="e">
        <f aca="false">B155+C155</f>
        <v>#N/A</v>
      </c>
      <c r="E155" s="111" t="n">
        <f aca="false">IF(Z155=0,0,IF(AND(Z155=1,$H$3=1),D155*U155,IF($H$3=2,D155,"N/A")))</f>
        <v>0</v>
      </c>
      <c r="F155" s="111" t="n">
        <f aca="false">E155*Y155</f>
        <v>0</v>
      </c>
      <c r="G155" s="124" t="n">
        <f aca="false">VLOOKUP($A155,Table,MATCH(G$4,Curves,0))</f>
        <v>3</v>
      </c>
      <c r="H155" s="125" t="n">
        <f aca="false">G155+$H$7</f>
        <v>3</v>
      </c>
      <c r="I155" s="124" t="n">
        <f aca="false">H155</f>
        <v>3</v>
      </c>
      <c r="J155" s="124" t="n">
        <f aca="false">VLOOKUP($A155,Table,MATCH(J$4,Curves,0))</f>
        <v>4</v>
      </c>
      <c r="K155" s="125" t="n">
        <f aca="false">J155+$K$7</f>
        <v>4</v>
      </c>
      <c r="L155" s="126" t="n">
        <f aca="false">K155</f>
        <v>4</v>
      </c>
      <c r="M155" s="124" t="n">
        <f aca="false">VLOOKUP($A155,Table,MATCH(M$4,Curves,0))</f>
        <v>4</v>
      </c>
      <c r="N155" s="125" t="n">
        <f aca="false">M155+$N$7</f>
        <v>4</v>
      </c>
      <c r="O155" s="126" t="n">
        <v>0.12</v>
      </c>
      <c r="P155" s="114"/>
      <c r="Q155" s="126" t="n">
        <f aca="false">M155+J155+G155</f>
        <v>11</v>
      </c>
      <c r="R155" s="126" t="n">
        <f aca="false">N155+K155+H155</f>
        <v>11</v>
      </c>
      <c r="S155" s="126" t="n">
        <f aca="false">O155+L155+I155</f>
        <v>7.12</v>
      </c>
      <c r="T155" s="127"/>
      <c r="U155" s="5" t="n">
        <f aca="false">A156-A155</f>
        <v>31</v>
      </c>
      <c r="V155" s="128" t="n">
        <f aca="false">CHOOSE(F$3,A156+24,A155)</f>
        <v>41699</v>
      </c>
      <c r="W155" s="5" t="n">
        <f aca="false">V155-C$3</f>
        <v>4468</v>
      </c>
      <c r="X155" s="124" t="n">
        <f aca="false">VLOOKUP($A155,Table,MATCH(X$4,Curves,0))</f>
        <v>2</v>
      </c>
      <c r="Y155" s="129" t="n">
        <f aca="false">1/(1+CHOOSE(F$3,(X156+($K$3/10000))/2,(X155+($K$3/10000))/2))^(2*W155/365.25)</f>
        <v>4.31688339844757E-008</v>
      </c>
      <c r="Z155" s="5" t="n">
        <f aca="false">IF(AND(mthbeg&lt;=A155,mthend&gt;=A155),1,0)</f>
        <v>0</v>
      </c>
      <c r="AA155" s="5" t="n">
        <f aca="false">U155*Z155</f>
        <v>0</v>
      </c>
      <c r="AC155" s="115" t="n">
        <f aca="false">IF(G148=2,F155*(S155-Q155),F155*(Q155-S155))</f>
        <v>0</v>
      </c>
      <c r="AE155" s="116" t="n">
        <f aca="false">IF($G$3=1,F155*(R155-Q155),F155*(Q155-R155))</f>
        <v>0</v>
      </c>
      <c r="AG155" s="116" t="n">
        <f aca="false">AC155+AE155</f>
        <v>0</v>
      </c>
    </row>
    <row r="156" customFormat="false" ht="12.75" hidden="false" customHeight="false" outlineLevel="0" collapsed="false">
      <c r="A156" s="120" t="n">
        <f aca="false">EDATE(A155,1)</f>
        <v>41730</v>
      </c>
      <c r="B156" s="121" t="e">
        <f aca="false">VLOOKUP(A156,'Inputs-Summary'!$A$32:$E$41,3,FALSE())</f>
        <v>#N/A</v>
      </c>
      <c r="C156" s="122"/>
      <c r="D156" s="123" t="e">
        <f aca="false">B156+C156</f>
        <v>#N/A</v>
      </c>
      <c r="E156" s="111" t="n">
        <f aca="false">IF(Z156=0,0,IF(AND(Z156=1,$H$3=1),D156*U156,IF($H$3=2,D156,"N/A")))</f>
        <v>0</v>
      </c>
      <c r="F156" s="111" t="n">
        <f aca="false">E156*Y156</f>
        <v>0</v>
      </c>
      <c r="G156" s="124" t="n">
        <f aca="false">VLOOKUP($A156,Table,MATCH(G$4,Curves,0))</f>
        <v>3</v>
      </c>
      <c r="H156" s="125" t="n">
        <f aca="false">G156+$H$7</f>
        <v>3</v>
      </c>
      <c r="I156" s="124" t="n">
        <f aca="false">H156</f>
        <v>3</v>
      </c>
      <c r="J156" s="124" t="n">
        <f aca="false">VLOOKUP($A156,Table,MATCH(J$4,Curves,0))</f>
        <v>4</v>
      </c>
      <c r="K156" s="125" t="n">
        <f aca="false">J156+$K$7</f>
        <v>4</v>
      </c>
      <c r="L156" s="126" t="n">
        <f aca="false">K156</f>
        <v>4</v>
      </c>
      <c r="M156" s="124" t="n">
        <f aca="false">VLOOKUP($A156,Table,MATCH(M$4,Curves,0))</f>
        <v>4</v>
      </c>
      <c r="N156" s="125" t="n">
        <f aca="false">M156+$N$7</f>
        <v>4</v>
      </c>
      <c r="O156" s="126" t="n">
        <v>0.12</v>
      </c>
      <c r="P156" s="114"/>
      <c r="Q156" s="126" t="n">
        <f aca="false">M156+J156+G156</f>
        <v>11</v>
      </c>
      <c r="R156" s="126" t="n">
        <f aca="false">N156+K156+H156</f>
        <v>11</v>
      </c>
      <c r="S156" s="126" t="n">
        <f aca="false">O156+L156+I156</f>
        <v>7.12</v>
      </c>
      <c r="T156" s="127"/>
      <c r="U156" s="5" t="n">
        <f aca="false">A157-A156</f>
        <v>30</v>
      </c>
      <c r="V156" s="128" t="n">
        <f aca="false">CHOOSE(F$3,A157+24,A156)</f>
        <v>41730</v>
      </c>
      <c r="W156" s="5" t="n">
        <f aca="false">V156-C$3</f>
        <v>4499</v>
      </c>
      <c r="X156" s="124" t="n">
        <f aca="false">VLOOKUP($A156,Table,MATCH(X$4,Curves,0))</f>
        <v>2</v>
      </c>
      <c r="Y156" s="129" t="n">
        <f aca="false">1/(1+CHOOSE(F$3,(X157+($K$3/10000))/2,(X156+($K$3/10000))/2))^(2*W156/365.25)</f>
        <v>3.83770382692206E-008</v>
      </c>
      <c r="Z156" s="5" t="n">
        <f aca="false">IF(AND(mthbeg&lt;=A156,mthend&gt;=A156),1,0)</f>
        <v>0</v>
      </c>
      <c r="AA156" s="5" t="n">
        <f aca="false">U156*Z156</f>
        <v>0</v>
      </c>
      <c r="AC156" s="115" t="n">
        <f aca="false">IF(G149=2,F156*(S156-Q156),F156*(Q156-S156))</f>
        <v>0</v>
      </c>
      <c r="AE156" s="116" t="n">
        <f aca="false">IF($G$3=1,F156*(R156-Q156),F156*(Q156-R156))</f>
        <v>0</v>
      </c>
      <c r="AG156" s="116" t="n">
        <f aca="false">AC156+AE156</f>
        <v>0</v>
      </c>
    </row>
    <row r="157" customFormat="false" ht="12.75" hidden="false" customHeight="false" outlineLevel="0" collapsed="false">
      <c r="A157" s="120" t="n">
        <f aca="false">EDATE(A156,1)</f>
        <v>41760</v>
      </c>
      <c r="B157" s="121" t="e">
        <f aca="false">VLOOKUP(A157,'Inputs-Summary'!$A$32:$E$41,3,FALSE())</f>
        <v>#N/A</v>
      </c>
      <c r="C157" s="122"/>
      <c r="D157" s="123" t="e">
        <f aca="false">B157+C157</f>
        <v>#N/A</v>
      </c>
      <c r="E157" s="111" t="n">
        <f aca="false">IF(Z157=0,0,IF(AND(Z157=1,$H$3=1),D157*U157,IF($H$3=2,D157,"N/A")))</f>
        <v>0</v>
      </c>
      <c r="F157" s="111" t="n">
        <f aca="false">E157*Y157</f>
        <v>0</v>
      </c>
      <c r="G157" s="124" t="n">
        <f aca="false">VLOOKUP($A157,Table,MATCH(G$4,Curves,0))</f>
        <v>3</v>
      </c>
      <c r="H157" s="125" t="n">
        <f aca="false">G157+$H$7</f>
        <v>3</v>
      </c>
      <c r="I157" s="124" t="n">
        <f aca="false">H157</f>
        <v>3</v>
      </c>
      <c r="J157" s="124" t="n">
        <f aca="false">VLOOKUP($A157,Table,MATCH(J$4,Curves,0))</f>
        <v>4</v>
      </c>
      <c r="K157" s="125" t="n">
        <f aca="false">J157+$K$7</f>
        <v>4</v>
      </c>
      <c r="L157" s="126" t="n">
        <f aca="false">K157</f>
        <v>4</v>
      </c>
      <c r="M157" s="124" t="n">
        <f aca="false">VLOOKUP($A157,Table,MATCH(M$4,Curves,0))</f>
        <v>4</v>
      </c>
      <c r="N157" s="125" t="n">
        <f aca="false">M157+$N$7</f>
        <v>4</v>
      </c>
      <c r="O157" s="126" t="n">
        <v>0.12</v>
      </c>
      <c r="P157" s="114"/>
      <c r="Q157" s="126" t="n">
        <f aca="false">M157+J157+G157</f>
        <v>11</v>
      </c>
      <c r="R157" s="126" t="n">
        <f aca="false">N157+K157+H157</f>
        <v>11</v>
      </c>
      <c r="S157" s="126" t="n">
        <f aca="false">O157+L157+I157</f>
        <v>7.12</v>
      </c>
      <c r="T157" s="127"/>
      <c r="U157" s="5" t="n">
        <f aca="false">A158-A157</f>
        <v>31</v>
      </c>
      <c r="V157" s="128" t="n">
        <f aca="false">CHOOSE(F$3,A158+24,A157)</f>
        <v>41760</v>
      </c>
      <c r="W157" s="5" t="n">
        <f aca="false">V157-C$3</f>
        <v>4529</v>
      </c>
      <c r="X157" s="124" t="n">
        <f aca="false">VLOOKUP($A157,Table,MATCH(X$4,Curves,0))</f>
        <v>2</v>
      </c>
      <c r="Y157" s="129" t="n">
        <f aca="false">1/(1+CHOOSE(F$3,(X158+($K$3/10000))/2,(X157+($K$3/10000))/2))^(2*W157/365.25)</f>
        <v>3.42468745240001E-008</v>
      </c>
      <c r="Z157" s="5" t="n">
        <f aca="false">IF(AND(mthbeg&lt;=A157,mthend&gt;=A157),1,0)</f>
        <v>0</v>
      </c>
      <c r="AA157" s="5" t="n">
        <f aca="false">U157*Z157</f>
        <v>0</v>
      </c>
      <c r="AC157" s="115" t="n">
        <f aca="false">IF(G150=2,F157*(S157-Q157),F157*(Q157-S157))</f>
        <v>0</v>
      </c>
      <c r="AE157" s="116" t="n">
        <f aca="false">IF($G$3=1,F157*(R157-Q157),F157*(Q157-R157))</f>
        <v>0</v>
      </c>
      <c r="AG157" s="116" t="n">
        <f aca="false">AC157+AE157</f>
        <v>0</v>
      </c>
    </row>
    <row r="158" customFormat="false" ht="12.75" hidden="false" customHeight="false" outlineLevel="0" collapsed="false">
      <c r="A158" s="120" t="n">
        <f aca="false">EDATE(A157,1)</f>
        <v>41791</v>
      </c>
      <c r="B158" s="121" t="e">
        <f aca="false">VLOOKUP(A158,'Inputs-Summary'!$A$32:$E$41,3,FALSE())</f>
        <v>#N/A</v>
      </c>
      <c r="C158" s="122"/>
      <c r="D158" s="123" t="e">
        <f aca="false">B158+C158</f>
        <v>#N/A</v>
      </c>
      <c r="E158" s="111" t="n">
        <f aca="false">IF(Z158=0,0,IF(AND(Z158=1,$H$3=1),D158*U158,IF($H$3=2,D158,"N/A")))</f>
        <v>0</v>
      </c>
      <c r="F158" s="111" t="n">
        <f aca="false">E158*Y158</f>
        <v>0</v>
      </c>
      <c r="G158" s="124" t="n">
        <f aca="false">VLOOKUP($A158,Table,MATCH(G$4,Curves,0))</f>
        <v>3</v>
      </c>
      <c r="H158" s="125" t="n">
        <f aca="false">G158+$H$7</f>
        <v>3</v>
      </c>
      <c r="I158" s="124" t="n">
        <f aca="false">H158</f>
        <v>3</v>
      </c>
      <c r="J158" s="124" t="n">
        <f aca="false">VLOOKUP($A158,Table,MATCH(J$4,Curves,0))</f>
        <v>4</v>
      </c>
      <c r="K158" s="125" t="n">
        <f aca="false">J158+$K$7</f>
        <v>4</v>
      </c>
      <c r="L158" s="126" t="n">
        <f aca="false">K158</f>
        <v>4</v>
      </c>
      <c r="M158" s="124" t="n">
        <f aca="false">VLOOKUP($A158,Table,MATCH(M$4,Curves,0))</f>
        <v>4</v>
      </c>
      <c r="N158" s="125" t="n">
        <f aca="false">M158+$N$7</f>
        <v>4</v>
      </c>
      <c r="O158" s="126" t="n">
        <v>0.12</v>
      </c>
      <c r="P158" s="114"/>
      <c r="Q158" s="126" t="n">
        <f aca="false">M158+J158+G158</f>
        <v>11</v>
      </c>
      <c r="R158" s="126" t="n">
        <f aca="false">N158+K158+H158</f>
        <v>11</v>
      </c>
      <c r="S158" s="126" t="n">
        <f aca="false">O158+L158+I158</f>
        <v>7.12</v>
      </c>
      <c r="T158" s="127"/>
      <c r="U158" s="5" t="n">
        <f aca="false">A159-A158</f>
        <v>30</v>
      </c>
      <c r="V158" s="128" t="n">
        <f aca="false">CHOOSE(F$3,A159+24,A158)</f>
        <v>41791</v>
      </c>
      <c r="W158" s="5" t="n">
        <f aca="false">V158-C$3</f>
        <v>4560</v>
      </c>
      <c r="X158" s="124" t="n">
        <f aca="false">VLOOKUP($A158,Table,MATCH(X$4,Curves,0))</f>
        <v>2</v>
      </c>
      <c r="Y158" s="129" t="n">
        <f aca="false">1/(1+CHOOSE(F$3,(X159+($K$3/10000))/2,(X158+($K$3/10000))/2))^(2*W158/365.25)</f>
        <v>3.04454277055849E-008</v>
      </c>
      <c r="Z158" s="5" t="n">
        <f aca="false">IF(AND(mthbeg&lt;=A158,mthend&gt;=A158),1,0)</f>
        <v>0</v>
      </c>
      <c r="AA158" s="5" t="n">
        <f aca="false">U158*Z158</f>
        <v>0</v>
      </c>
      <c r="AC158" s="115" t="n">
        <f aca="false">IF(G151=2,F158*(S158-Q158),F158*(Q158-S158))</f>
        <v>0</v>
      </c>
      <c r="AE158" s="116" t="n">
        <f aca="false">IF($G$3=1,F158*(R158-Q158),F158*(Q158-R158))</f>
        <v>0</v>
      </c>
      <c r="AG158" s="116" t="n">
        <f aca="false">AC158+AE158</f>
        <v>0</v>
      </c>
    </row>
    <row r="159" customFormat="false" ht="12.75" hidden="false" customHeight="false" outlineLevel="0" collapsed="false">
      <c r="A159" s="120" t="n">
        <f aca="false">EDATE(A158,1)</f>
        <v>41821</v>
      </c>
      <c r="B159" s="121" t="e">
        <f aca="false">VLOOKUP(A159,'Inputs-Summary'!$A$32:$E$41,3,FALSE())</f>
        <v>#N/A</v>
      </c>
      <c r="C159" s="122"/>
      <c r="D159" s="123" t="e">
        <f aca="false">B159+C159</f>
        <v>#N/A</v>
      </c>
      <c r="E159" s="111" t="n">
        <f aca="false">IF(Z159=0,0,IF(AND(Z159=1,$H$3=1),D159*U159,IF($H$3=2,D159,"N/A")))</f>
        <v>0</v>
      </c>
      <c r="F159" s="111" t="n">
        <f aca="false">E159*Y159</f>
        <v>0</v>
      </c>
      <c r="G159" s="124" t="n">
        <f aca="false">VLOOKUP($A159,Table,MATCH(G$4,Curves,0))</f>
        <v>3</v>
      </c>
      <c r="H159" s="125" t="n">
        <f aca="false">G159+$H$7</f>
        <v>3</v>
      </c>
      <c r="I159" s="124" t="n">
        <f aca="false">H159</f>
        <v>3</v>
      </c>
      <c r="J159" s="124" t="n">
        <f aca="false">VLOOKUP($A159,Table,MATCH(J$4,Curves,0))</f>
        <v>4</v>
      </c>
      <c r="K159" s="125" t="n">
        <f aca="false">J159+$K$7</f>
        <v>4</v>
      </c>
      <c r="L159" s="126" t="n">
        <f aca="false">K159</f>
        <v>4</v>
      </c>
      <c r="M159" s="124" t="n">
        <f aca="false">VLOOKUP($A159,Table,MATCH(M$4,Curves,0))</f>
        <v>4</v>
      </c>
      <c r="N159" s="125" t="n">
        <f aca="false">M159+$N$7</f>
        <v>4</v>
      </c>
      <c r="O159" s="126" t="n">
        <v>0.12</v>
      </c>
      <c r="P159" s="114"/>
      <c r="Q159" s="126" t="n">
        <f aca="false">M159+J159+G159</f>
        <v>11</v>
      </c>
      <c r="R159" s="126" t="n">
        <f aca="false">N159+K159+H159</f>
        <v>11</v>
      </c>
      <c r="S159" s="126" t="n">
        <f aca="false">O159+L159+I159</f>
        <v>7.12</v>
      </c>
      <c r="T159" s="127"/>
      <c r="U159" s="5" t="n">
        <f aca="false">A160-A159</f>
        <v>31</v>
      </c>
      <c r="V159" s="128" t="n">
        <f aca="false">CHOOSE(F$3,A160+24,A159)</f>
        <v>41821</v>
      </c>
      <c r="W159" s="5" t="n">
        <f aca="false">V159-C$3</f>
        <v>4590</v>
      </c>
      <c r="X159" s="124" t="n">
        <f aca="false">VLOOKUP($A159,Table,MATCH(X$4,Curves,0))</f>
        <v>2</v>
      </c>
      <c r="Y159" s="129" t="n">
        <f aca="false">1/(1+CHOOSE(F$3,(X160+($K$3/10000))/2,(X159+($K$3/10000))/2))^(2*W159/365.25)</f>
        <v>2.71688694460543E-008</v>
      </c>
      <c r="Z159" s="5" t="n">
        <f aca="false">IF(AND(mthbeg&lt;=A159,mthend&gt;=A159),1,0)</f>
        <v>0</v>
      </c>
      <c r="AA159" s="5" t="n">
        <f aca="false">U159*Z159</f>
        <v>0</v>
      </c>
      <c r="AC159" s="115" t="n">
        <f aca="false">IF(G152=2,F159*(S159-Q159),F159*(Q159-S159))</f>
        <v>0</v>
      </c>
      <c r="AE159" s="116" t="n">
        <f aca="false">IF($G$3=1,F159*(R159-Q159),F159*(Q159-R159))</f>
        <v>0</v>
      </c>
      <c r="AG159" s="116" t="n">
        <f aca="false">AC159+AE159</f>
        <v>0</v>
      </c>
    </row>
    <row r="160" customFormat="false" ht="12.75" hidden="false" customHeight="false" outlineLevel="0" collapsed="false">
      <c r="A160" s="120" t="n">
        <f aca="false">EDATE(A159,1)</f>
        <v>41852</v>
      </c>
      <c r="B160" s="121" t="e">
        <f aca="false">VLOOKUP(A160,'Inputs-Summary'!$A$32:$E$41,3,FALSE())</f>
        <v>#N/A</v>
      </c>
      <c r="C160" s="122"/>
      <c r="D160" s="123" t="e">
        <f aca="false">B160+C160</f>
        <v>#N/A</v>
      </c>
      <c r="E160" s="111" t="n">
        <f aca="false">IF(Z160=0,0,IF(AND(Z160=1,$H$3=1),D160*U160,IF($H$3=2,D160,"N/A")))</f>
        <v>0</v>
      </c>
      <c r="F160" s="111" t="n">
        <f aca="false">E160*Y160</f>
        <v>0</v>
      </c>
      <c r="G160" s="124" t="n">
        <f aca="false">VLOOKUP($A160,Table,MATCH(G$4,Curves,0))</f>
        <v>3</v>
      </c>
      <c r="H160" s="125" t="n">
        <f aca="false">G160+$H$7</f>
        <v>3</v>
      </c>
      <c r="I160" s="124" t="n">
        <f aca="false">H160</f>
        <v>3</v>
      </c>
      <c r="J160" s="124" t="n">
        <f aca="false">VLOOKUP($A160,Table,MATCH(J$4,Curves,0))</f>
        <v>4</v>
      </c>
      <c r="K160" s="125" t="n">
        <f aca="false">J160+$K$7</f>
        <v>4</v>
      </c>
      <c r="L160" s="126" t="n">
        <f aca="false">K160</f>
        <v>4</v>
      </c>
      <c r="M160" s="124" t="n">
        <f aca="false">VLOOKUP($A160,Table,MATCH(M$4,Curves,0))</f>
        <v>4</v>
      </c>
      <c r="N160" s="125" t="n">
        <f aca="false">M160+$N$7</f>
        <v>4</v>
      </c>
      <c r="O160" s="126" t="n">
        <v>0.12</v>
      </c>
      <c r="P160" s="114"/>
      <c r="Q160" s="126" t="n">
        <f aca="false">M160+J160+G160</f>
        <v>11</v>
      </c>
      <c r="R160" s="126" t="n">
        <f aca="false">N160+K160+H160</f>
        <v>11</v>
      </c>
      <c r="S160" s="126" t="n">
        <f aca="false">O160+L160+I160</f>
        <v>7.12</v>
      </c>
      <c r="T160" s="127"/>
      <c r="U160" s="5" t="n">
        <f aca="false">A161-A160</f>
        <v>31</v>
      </c>
      <c r="V160" s="128" t="n">
        <f aca="false">CHOOSE(F$3,A161+24,A160)</f>
        <v>41852</v>
      </c>
      <c r="W160" s="5" t="n">
        <f aca="false">V160-C$3</f>
        <v>4621</v>
      </c>
      <c r="X160" s="124" t="n">
        <f aca="false">VLOOKUP($A160,Table,MATCH(X$4,Curves,0))</f>
        <v>2</v>
      </c>
      <c r="Y160" s="129" t="n">
        <f aca="false">1/(1+CHOOSE(F$3,(X161+($K$3/10000))/2,(X160+($K$3/10000))/2))^(2*W160/365.25)</f>
        <v>2.41530902325888E-008</v>
      </c>
      <c r="Z160" s="5" t="n">
        <f aca="false">IF(AND(mthbeg&lt;=A160,mthend&gt;=A160),1,0)</f>
        <v>0</v>
      </c>
      <c r="AA160" s="5" t="n">
        <f aca="false">U160*Z160</f>
        <v>0</v>
      </c>
      <c r="AC160" s="115" t="n">
        <f aca="false">IF(G153=2,F160*(S160-Q160),F160*(Q160-S160))</f>
        <v>0</v>
      </c>
      <c r="AE160" s="116" t="n">
        <f aca="false">IF($G$3=1,F160*(R160-Q160),F160*(Q160-R160))</f>
        <v>0</v>
      </c>
      <c r="AG160" s="116" t="n">
        <f aca="false">AC160+AE160</f>
        <v>0</v>
      </c>
    </row>
    <row r="161" customFormat="false" ht="12.75" hidden="false" customHeight="false" outlineLevel="0" collapsed="false">
      <c r="A161" s="120" t="n">
        <f aca="false">EDATE(A160,1)</f>
        <v>41883</v>
      </c>
      <c r="B161" s="121" t="e">
        <f aca="false">VLOOKUP(A161,'Inputs-Summary'!$A$32:$E$41,3,FALSE())</f>
        <v>#N/A</v>
      </c>
      <c r="C161" s="122"/>
      <c r="D161" s="123" t="e">
        <f aca="false">B161+C161</f>
        <v>#N/A</v>
      </c>
      <c r="E161" s="111" t="n">
        <f aca="false">IF(Z161=0,0,IF(AND(Z161=1,$H$3=1),D161*U161,IF($H$3=2,D161,"N/A")))</f>
        <v>0</v>
      </c>
      <c r="F161" s="111" t="n">
        <f aca="false">E161*Y161</f>
        <v>0</v>
      </c>
      <c r="G161" s="124" t="n">
        <f aca="false">VLOOKUP($A161,Table,MATCH(G$4,Curves,0))</f>
        <v>3</v>
      </c>
      <c r="H161" s="125" t="n">
        <f aca="false">G161+$H$7</f>
        <v>3</v>
      </c>
      <c r="I161" s="124" t="n">
        <f aca="false">H161</f>
        <v>3</v>
      </c>
      <c r="J161" s="124" t="n">
        <f aca="false">VLOOKUP($A161,Table,MATCH(J$4,Curves,0))</f>
        <v>4</v>
      </c>
      <c r="K161" s="125" t="n">
        <f aca="false">J161+$K$7</f>
        <v>4</v>
      </c>
      <c r="L161" s="126" t="n">
        <f aca="false">K161</f>
        <v>4</v>
      </c>
      <c r="M161" s="124" t="n">
        <f aca="false">VLOOKUP($A161,Table,MATCH(M$4,Curves,0))</f>
        <v>4</v>
      </c>
      <c r="N161" s="125" t="n">
        <f aca="false">M161+$N$7</f>
        <v>4</v>
      </c>
      <c r="O161" s="126" t="n">
        <v>0.12</v>
      </c>
      <c r="P161" s="114"/>
      <c r="Q161" s="126" t="n">
        <f aca="false">M161+J161+G161</f>
        <v>11</v>
      </c>
      <c r="R161" s="126" t="n">
        <f aca="false">N161+K161+H161</f>
        <v>11</v>
      </c>
      <c r="S161" s="126" t="n">
        <f aca="false">O161+L161+I161</f>
        <v>7.12</v>
      </c>
      <c r="T161" s="127"/>
      <c r="U161" s="5" t="n">
        <f aca="false">A162-A161</f>
        <v>30</v>
      </c>
      <c r="V161" s="128" t="n">
        <f aca="false">CHOOSE(F$3,A162+24,A161)</f>
        <v>41883</v>
      </c>
      <c r="W161" s="5" t="n">
        <f aca="false">V161-C$3</f>
        <v>4652</v>
      </c>
      <c r="X161" s="124" t="n">
        <f aca="false">VLOOKUP($A161,Table,MATCH(X$4,Curves,0))</f>
        <v>2</v>
      </c>
      <c r="Y161" s="129" t="n">
        <f aca="false">1/(1+CHOOSE(F$3,(X162+($K$3/10000))/2,(X161+($K$3/10000))/2))^(2*W161/365.25)</f>
        <v>2.1472066364112E-008</v>
      </c>
      <c r="Z161" s="5" t="n">
        <f aca="false">IF(AND(mthbeg&lt;=A161,mthend&gt;=A161),1,0)</f>
        <v>0</v>
      </c>
      <c r="AA161" s="5" t="n">
        <f aca="false">U161*Z161</f>
        <v>0</v>
      </c>
      <c r="AC161" s="115" t="n">
        <f aca="false">IF(G154=2,F161*(S161-Q161),F161*(Q161-S161))</f>
        <v>0</v>
      </c>
      <c r="AE161" s="116" t="n">
        <f aca="false">IF($G$3=1,F161*(R161-Q161),F161*(Q161-R161))</f>
        <v>0</v>
      </c>
      <c r="AG161" s="116" t="n">
        <f aca="false">AC161+AE161</f>
        <v>0</v>
      </c>
    </row>
    <row r="162" customFormat="false" ht="12.75" hidden="false" customHeight="false" outlineLevel="0" collapsed="false">
      <c r="A162" s="120" t="n">
        <f aca="false">EDATE(A161,1)</f>
        <v>41913</v>
      </c>
      <c r="B162" s="121" t="e">
        <f aca="false">VLOOKUP(A162,'Inputs-Summary'!$A$32:$E$41,3,FALSE())</f>
        <v>#N/A</v>
      </c>
      <c r="C162" s="122"/>
      <c r="D162" s="123" t="e">
        <f aca="false">B162+C162</f>
        <v>#N/A</v>
      </c>
      <c r="E162" s="111" t="n">
        <f aca="false">IF(Z162=0,0,IF(AND(Z162=1,$H$3=1),D162*U162,IF($H$3=2,D162,"N/A")))</f>
        <v>0</v>
      </c>
      <c r="F162" s="111" t="n">
        <f aca="false">E162*Y162</f>
        <v>0</v>
      </c>
      <c r="G162" s="124" t="n">
        <f aca="false">VLOOKUP($A162,Table,MATCH(G$4,Curves,0))</f>
        <v>3</v>
      </c>
      <c r="H162" s="125" t="n">
        <f aca="false">G162+$H$7</f>
        <v>3</v>
      </c>
      <c r="I162" s="124" t="n">
        <f aca="false">H162</f>
        <v>3</v>
      </c>
      <c r="J162" s="124" t="n">
        <f aca="false">VLOOKUP($A162,Table,MATCH(J$4,Curves,0))</f>
        <v>4</v>
      </c>
      <c r="K162" s="125" t="n">
        <f aca="false">J162+$K$7</f>
        <v>4</v>
      </c>
      <c r="L162" s="126" t="n">
        <f aca="false">K162</f>
        <v>4</v>
      </c>
      <c r="M162" s="124" t="n">
        <f aca="false">VLOOKUP($A162,Table,MATCH(M$4,Curves,0))</f>
        <v>4</v>
      </c>
      <c r="N162" s="125" t="n">
        <f aca="false">M162+$N$7</f>
        <v>4</v>
      </c>
      <c r="O162" s="126" t="n">
        <v>0.12</v>
      </c>
      <c r="P162" s="114"/>
      <c r="Q162" s="126" t="n">
        <f aca="false">M162+J162+G162</f>
        <v>11</v>
      </c>
      <c r="R162" s="126" t="n">
        <f aca="false">N162+K162+H162</f>
        <v>11</v>
      </c>
      <c r="S162" s="126" t="n">
        <f aca="false">O162+L162+I162</f>
        <v>7.12</v>
      </c>
      <c r="T162" s="127"/>
      <c r="U162" s="5" t="n">
        <f aca="false">A163-A162</f>
        <v>31</v>
      </c>
      <c r="V162" s="128" t="n">
        <f aca="false">CHOOSE(F$3,A163+24,A162)</f>
        <v>41913</v>
      </c>
      <c r="W162" s="5" t="n">
        <f aca="false">V162-C$3</f>
        <v>4682</v>
      </c>
      <c r="X162" s="124" t="n">
        <f aca="false">VLOOKUP($A162,Table,MATCH(X$4,Curves,0))</f>
        <v>2</v>
      </c>
      <c r="Y162" s="129" t="n">
        <f aca="false">1/(1+CHOOSE(F$3,(X163+($K$3/10000))/2,(X162+($K$3/10000))/2))^(2*W162/365.25)</f>
        <v>1.91612275388255E-008</v>
      </c>
      <c r="Z162" s="5" t="n">
        <f aca="false">IF(AND(mthbeg&lt;=A162,mthend&gt;=A162),1,0)</f>
        <v>0</v>
      </c>
      <c r="AA162" s="5" t="n">
        <f aca="false">U162*Z162</f>
        <v>0</v>
      </c>
      <c r="AC162" s="115" t="n">
        <f aca="false">IF(G155=2,F162*(S162-Q162),F162*(Q162-S162))</f>
        <v>0</v>
      </c>
      <c r="AE162" s="116" t="n">
        <f aca="false">IF($G$3=1,F162*(R162-Q162),F162*(Q162-R162))</f>
        <v>0</v>
      </c>
      <c r="AG162" s="116" t="n">
        <f aca="false">AC162+AE162</f>
        <v>0</v>
      </c>
    </row>
    <row r="163" customFormat="false" ht="12.75" hidden="false" customHeight="false" outlineLevel="0" collapsed="false">
      <c r="A163" s="120" t="n">
        <f aca="false">EDATE(A162,1)</f>
        <v>41944</v>
      </c>
      <c r="B163" s="121" t="e">
        <f aca="false">VLOOKUP(A163,'Inputs-Summary'!$A$32:$E$41,3,FALSE())</f>
        <v>#N/A</v>
      </c>
      <c r="C163" s="122"/>
      <c r="D163" s="123" t="e">
        <f aca="false">B163+C163</f>
        <v>#N/A</v>
      </c>
      <c r="E163" s="111" t="n">
        <f aca="false">IF(Z163=0,0,IF(AND(Z163=1,$H$3=1),D163*U163,IF($H$3=2,D163,"N/A")))</f>
        <v>0</v>
      </c>
      <c r="F163" s="111" t="n">
        <f aca="false">E163*Y163</f>
        <v>0</v>
      </c>
      <c r="G163" s="124" t="n">
        <f aca="false">VLOOKUP($A163,Table,MATCH(G$4,Curves,0))</f>
        <v>3</v>
      </c>
      <c r="H163" s="125" t="n">
        <f aca="false">G163+$H$7</f>
        <v>3</v>
      </c>
      <c r="I163" s="124" t="n">
        <f aca="false">H163</f>
        <v>3</v>
      </c>
      <c r="J163" s="124" t="n">
        <f aca="false">VLOOKUP($A163,Table,MATCH(J$4,Curves,0))</f>
        <v>4</v>
      </c>
      <c r="K163" s="125" t="n">
        <f aca="false">J163+$K$7</f>
        <v>4</v>
      </c>
      <c r="L163" s="126" t="n">
        <f aca="false">K163</f>
        <v>4</v>
      </c>
      <c r="M163" s="124" t="n">
        <f aca="false">VLOOKUP($A163,Table,MATCH(M$4,Curves,0))</f>
        <v>4</v>
      </c>
      <c r="N163" s="125" t="n">
        <f aca="false">M163+$N$7</f>
        <v>4</v>
      </c>
      <c r="O163" s="126" t="n">
        <v>0.12</v>
      </c>
      <c r="P163" s="114"/>
      <c r="Q163" s="126" t="n">
        <f aca="false">M163+J163+G163</f>
        <v>11</v>
      </c>
      <c r="R163" s="126" t="n">
        <f aca="false">N163+K163+H163</f>
        <v>11</v>
      </c>
      <c r="S163" s="126" t="n">
        <f aca="false">O163+L163+I163</f>
        <v>7.12</v>
      </c>
      <c r="T163" s="127"/>
      <c r="U163" s="5" t="n">
        <f aca="false">A164-A163</f>
        <v>30</v>
      </c>
      <c r="V163" s="128" t="n">
        <f aca="false">CHOOSE(F$3,A164+24,A163)</f>
        <v>41944</v>
      </c>
      <c r="W163" s="5" t="n">
        <f aca="false">V163-C$3</f>
        <v>4713</v>
      </c>
      <c r="X163" s="124" t="n">
        <f aca="false">VLOOKUP($A163,Table,MATCH(X$4,Curves,0))</f>
        <v>2</v>
      </c>
      <c r="Y163" s="129" t="n">
        <f aca="false">1/(1+CHOOSE(F$3,(X164+($K$3/10000))/2,(X163+($K$3/10000))/2))^(2*W163/365.25)</f>
        <v>1.70343068058589E-008</v>
      </c>
      <c r="Z163" s="5" t="n">
        <f aca="false">IF(AND(mthbeg&lt;=A163,mthend&gt;=A163),1,0)</f>
        <v>0</v>
      </c>
      <c r="AA163" s="5" t="n">
        <f aca="false">U163*Z163</f>
        <v>0</v>
      </c>
      <c r="AC163" s="115" t="n">
        <f aca="false">IF(G156=2,F163*(S163-Q163),F163*(Q163-S163))</f>
        <v>0</v>
      </c>
      <c r="AE163" s="116" t="n">
        <f aca="false">IF($G$3=1,F163*(R163-Q163),F163*(Q163-R163))</f>
        <v>0</v>
      </c>
      <c r="AG163" s="116" t="n">
        <f aca="false">AC163+AE163</f>
        <v>0</v>
      </c>
    </row>
    <row r="164" customFormat="false" ht="12.75" hidden="false" customHeight="false" outlineLevel="0" collapsed="false">
      <c r="A164" s="120" t="n">
        <f aca="false">EDATE(A163,1)</f>
        <v>41974</v>
      </c>
      <c r="B164" s="121" t="e">
        <f aca="false">VLOOKUP(A164,'Inputs-Summary'!$A$32:$E$41,3,FALSE())</f>
        <v>#N/A</v>
      </c>
      <c r="C164" s="122"/>
      <c r="D164" s="123" t="e">
        <f aca="false">B164+C164</f>
        <v>#N/A</v>
      </c>
      <c r="E164" s="111" t="n">
        <f aca="false">IF(Z164=0,0,IF(AND(Z164=1,$H$3=1),D164*U164,IF($H$3=2,D164,"N/A")))</f>
        <v>0</v>
      </c>
      <c r="F164" s="111" t="n">
        <f aca="false">E164*Y164</f>
        <v>0</v>
      </c>
      <c r="G164" s="124" t="n">
        <f aca="false">VLOOKUP($A164,Table,MATCH(G$4,Curves,0))</f>
        <v>3</v>
      </c>
      <c r="H164" s="125" t="n">
        <f aca="false">G164+$H$7</f>
        <v>3</v>
      </c>
      <c r="I164" s="124" t="n">
        <f aca="false">H164</f>
        <v>3</v>
      </c>
      <c r="J164" s="124" t="n">
        <f aca="false">VLOOKUP($A164,Table,MATCH(J$4,Curves,0))</f>
        <v>4</v>
      </c>
      <c r="K164" s="125" t="n">
        <f aca="false">J164+$K$7</f>
        <v>4</v>
      </c>
      <c r="L164" s="126" t="n">
        <f aca="false">K164</f>
        <v>4</v>
      </c>
      <c r="M164" s="124" t="n">
        <f aca="false">VLOOKUP($A164,Table,MATCH(M$4,Curves,0))</f>
        <v>4</v>
      </c>
      <c r="N164" s="125" t="n">
        <f aca="false">M164+$N$7</f>
        <v>4</v>
      </c>
      <c r="O164" s="126" t="n">
        <v>0.12</v>
      </c>
      <c r="P164" s="114"/>
      <c r="Q164" s="126" t="n">
        <f aca="false">M164+J164+G164</f>
        <v>11</v>
      </c>
      <c r="R164" s="126" t="n">
        <f aca="false">N164+K164+H164</f>
        <v>11</v>
      </c>
      <c r="S164" s="126" t="n">
        <f aca="false">O164+L164+I164</f>
        <v>7.12</v>
      </c>
      <c r="T164" s="127"/>
      <c r="U164" s="5" t="n">
        <f aca="false">A165-A164</f>
        <v>31</v>
      </c>
      <c r="V164" s="128" t="n">
        <f aca="false">CHOOSE(F$3,A165+24,A164)</f>
        <v>41974</v>
      </c>
      <c r="W164" s="5" t="n">
        <f aca="false">V164-C$3</f>
        <v>4743</v>
      </c>
      <c r="X164" s="124" t="n">
        <f aca="false">VLOOKUP($A164,Table,MATCH(X$4,Curves,0))</f>
        <v>2</v>
      </c>
      <c r="Y164" s="129" t="n">
        <f aca="false">1/(1+CHOOSE(F$3,(X165+($K$3/10000))/2,(X164+($K$3/10000))/2))^(2*W164/365.25)</f>
        <v>1.52010627732952E-008</v>
      </c>
      <c r="Z164" s="5" t="n">
        <f aca="false">IF(AND(mthbeg&lt;=A164,mthend&gt;=A164),1,0)</f>
        <v>0</v>
      </c>
      <c r="AA164" s="5" t="n">
        <f aca="false">U164*Z164</f>
        <v>0</v>
      </c>
      <c r="AC164" s="115" t="n">
        <f aca="false">IF(G157=2,F164*(S164-Q164),F164*(Q164-S164))</f>
        <v>0</v>
      </c>
      <c r="AE164" s="116" t="n">
        <f aca="false">IF($G$3=1,F164*(R164-Q164),F164*(Q164-R164))</f>
        <v>0</v>
      </c>
      <c r="AG164" s="116" t="n">
        <f aca="false">AC164+AE164</f>
        <v>0</v>
      </c>
    </row>
    <row r="165" customFormat="false" ht="12.75" hidden="false" customHeight="false" outlineLevel="0" collapsed="false">
      <c r="A165" s="120" t="n">
        <f aca="false">EDATE(A164,1)</f>
        <v>42005</v>
      </c>
      <c r="B165" s="121" t="e">
        <f aca="false">VLOOKUP(A165,'Inputs-Summary'!$A$32:$E$41,3,FALSE())</f>
        <v>#N/A</v>
      </c>
      <c r="C165" s="122"/>
      <c r="D165" s="123" t="e">
        <f aca="false">B165+C165</f>
        <v>#N/A</v>
      </c>
      <c r="E165" s="111" t="n">
        <f aca="false">IF(Z165=0,0,IF(AND(Z165=1,$H$3=1),D165*U165,IF($H$3=2,D165,"N/A")))</f>
        <v>0</v>
      </c>
      <c r="F165" s="111" t="n">
        <f aca="false">E165*Y165</f>
        <v>0</v>
      </c>
      <c r="G165" s="124" t="n">
        <f aca="false">VLOOKUP($A165,Table,MATCH(G$4,Curves,0))</f>
        <v>3</v>
      </c>
      <c r="H165" s="125" t="n">
        <f aca="false">G165+$H$7</f>
        <v>3</v>
      </c>
      <c r="I165" s="124" t="n">
        <f aca="false">H165</f>
        <v>3</v>
      </c>
      <c r="J165" s="124" t="n">
        <f aca="false">VLOOKUP($A165,Table,MATCH(J$4,Curves,0))</f>
        <v>4</v>
      </c>
      <c r="K165" s="125" t="n">
        <f aca="false">J165+$K$7</f>
        <v>4</v>
      </c>
      <c r="L165" s="126" t="n">
        <f aca="false">K165</f>
        <v>4</v>
      </c>
      <c r="M165" s="124" t="n">
        <f aca="false">VLOOKUP($A165,Table,MATCH(M$4,Curves,0))</f>
        <v>4</v>
      </c>
      <c r="N165" s="125" t="n">
        <f aca="false">M165+$N$7</f>
        <v>4</v>
      </c>
      <c r="O165" s="126" t="n">
        <v>0.12</v>
      </c>
      <c r="P165" s="114"/>
      <c r="Q165" s="126" t="n">
        <f aca="false">M165+J165+G165</f>
        <v>11</v>
      </c>
      <c r="R165" s="126" t="n">
        <f aca="false">N165+K165+H165</f>
        <v>11</v>
      </c>
      <c r="S165" s="126" t="n">
        <f aca="false">O165+L165+I165</f>
        <v>7.12</v>
      </c>
      <c r="T165" s="127"/>
      <c r="U165" s="5" t="n">
        <f aca="false">A166-A165</f>
        <v>31</v>
      </c>
      <c r="V165" s="128" t="n">
        <f aca="false">CHOOSE(F$3,A166+24,A165)</f>
        <v>42005</v>
      </c>
      <c r="W165" s="5" t="n">
        <f aca="false">V165-C$3</f>
        <v>4774</v>
      </c>
      <c r="X165" s="124" t="n">
        <f aca="false">VLOOKUP($A165,Table,MATCH(X$4,Curves,0))</f>
        <v>2</v>
      </c>
      <c r="Y165" s="129" t="n">
        <f aca="false">1/(1+CHOOSE(F$3,(X166+($K$3/10000))/2,(X165+($K$3/10000))/2))^(2*W165/365.25)</f>
        <v>1.35137253879353E-008</v>
      </c>
      <c r="Z165" s="5" t="n">
        <f aca="false">IF(AND(mthbeg&lt;=A165,mthend&gt;=A165),1,0)</f>
        <v>0</v>
      </c>
      <c r="AA165" s="5" t="n">
        <f aca="false">U165*Z165</f>
        <v>0</v>
      </c>
      <c r="AC165" s="115" t="n">
        <f aca="false">IF(G158=2,F165*(S165-Q165),F165*(Q165-S165))</f>
        <v>0</v>
      </c>
      <c r="AE165" s="116" t="n">
        <f aca="false">IF($G$3=1,F165*(R165-Q165),F165*(Q165-R165))</f>
        <v>0</v>
      </c>
      <c r="AG165" s="116" t="n">
        <f aca="false">AC165+AE165</f>
        <v>0</v>
      </c>
    </row>
    <row r="166" customFormat="false" ht="12.75" hidden="false" customHeight="false" outlineLevel="0" collapsed="false">
      <c r="A166" s="120" t="n">
        <f aca="false">EDATE(A165,1)</f>
        <v>42036</v>
      </c>
      <c r="B166" s="121" t="e">
        <f aca="false">VLOOKUP(A166,'Inputs-Summary'!$A$32:$E$41,3,FALSE())</f>
        <v>#N/A</v>
      </c>
      <c r="C166" s="122"/>
      <c r="D166" s="123" t="e">
        <f aca="false">B166+C166</f>
        <v>#N/A</v>
      </c>
      <c r="E166" s="111" t="n">
        <f aca="false">IF(Z166=0,0,IF(AND(Z166=1,$H$3=1),D166*U166,IF($H$3=2,D166,"N/A")))</f>
        <v>0</v>
      </c>
      <c r="F166" s="111" t="n">
        <f aca="false">E166*Y166</f>
        <v>0</v>
      </c>
      <c r="G166" s="124" t="n">
        <f aca="false">VLOOKUP($A166,Table,MATCH(G$4,Curves,0))</f>
        <v>3</v>
      </c>
      <c r="H166" s="125" t="n">
        <f aca="false">G166+$H$7</f>
        <v>3</v>
      </c>
      <c r="I166" s="124" t="n">
        <f aca="false">H166</f>
        <v>3</v>
      </c>
      <c r="J166" s="124" t="n">
        <f aca="false">VLOOKUP($A166,Table,MATCH(J$4,Curves,0))</f>
        <v>4</v>
      </c>
      <c r="K166" s="125" t="n">
        <f aca="false">J166+$K$7</f>
        <v>4</v>
      </c>
      <c r="L166" s="126" t="n">
        <f aca="false">K166</f>
        <v>4</v>
      </c>
      <c r="M166" s="124" t="n">
        <f aca="false">VLOOKUP($A166,Table,MATCH(M$4,Curves,0))</f>
        <v>4</v>
      </c>
      <c r="N166" s="125" t="n">
        <f aca="false">M166+$N$7</f>
        <v>4</v>
      </c>
      <c r="O166" s="126" t="n">
        <v>0.12</v>
      </c>
      <c r="P166" s="114"/>
      <c r="Q166" s="126" t="n">
        <f aca="false">M166+J166+G166</f>
        <v>11</v>
      </c>
      <c r="R166" s="126" t="n">
        <f aca="false">N166+K166+H166</f>
        <v>11</v>
      </c>
      <c r="S166" s="126" t="n">
        <f aca="false">O166+L166+I166</f>
        <v>7.12</v>
      </c>
      <c r="T166" s="127"/>
      <c r="U166" s="5" t="n">
        <f aca="false">A167-A166</f>
        <v>28</v>
      </c>
      <c r="V166" s="128" t="n">
        <f aca="false">CHOOSE(F$3,A167+24,A166)</f>
        <v>42036</v>
      </c>
      <c r="W166" s="5" t="n">
        <f aca="false">V166-C$3</f>
        <v>4805</v>
      </c>
      <c r="X166" s="124" t="n">
        <f aca="false">VLOOKUP($A166,Table,MATCH(X$4,Curves,0))</f>
        <v>2</v>
      </c>
      <c r="Y166" s="129" t="n">
        <f aca="false">1/(1+CHOOSE(F$3,(X167+($K$3/10000))/2,(X166+($K$3/10000))/2))^(2*W166/365.25)</f>
        <v>1.20136846077204E-008</v>
      </c>
      <c r="Z166" s="5" t="n">
        <f aca="false">IF(AND(mthbeg&lt;=A166,mthend&gt;=A166),1,0)</f>
        <v>0</v>
      </c>
      <c r="AA166" s="5" t="n">
        <f aca="false">U166*Z166</f>
        <v>0</v>
      </c>
      <c r="AC166" s="115" t="n">
        <f aca="false">IF(G159=2,F166*(S166-Q166),F166*(Q166-S166))</f>
        <v>0</v>
      </c>
      <c r="AE166" s="116" t="n">
        <f aca="false">IF($G$3=1,F166*(R166-Q166),F166*(Q166-R166))</f>
        <v>0</v>
      </c>
      <c r="AG166" s="116" t="n">
        <f aca="false">AC166+AE166</f>
        <v>0</v>
      </c>
    </row>
    <row r="167" customFormat="false" ht="12.75" hidden="false" customHeight="false" outlineLevel="0" collapsed="false">
      <c r="A167" s="120" t="n">
        <f aca="false">EDATE(A166,1)</f>
        <v>42064</v>
      </c>
      <c r="B167" s="121" t="e">
        <f aca="false">VLOOKUP(A167,'Inputs-Summary'!$A$32:$E$41,3,FALSE())</f>
        <v>#N/A</v>
      </c>
      <c r="C167" s="122"/>
      <c r="D167" s="123" t="e">
        <f aca="false">B167+C167</f>
        <v>#N/A</v>
      </c>
      <c r="E167" s="111" t="n">
        <f aca="false">IF(Z167=0,0,IF(AND(Z167=1,$H$3=1),D167*U167,IF($H$3=2,D167,"N/A")))</f>
        <v>0</v>
      </c>
      <c r="F167" s="111" t="n">
        <f aca="false">E167*Y167</f>
        <v>0</v>
      </c>
      <c r="G167" s="124" t="n">
        <f aca="false">VLOOKUP($A167,Table,MATCH(G$4,Curves,0))</f>
        <v>3</v>
      </c>
      <c r="H167" s="125" t="n">
        <f aca="false">G167+$H$7</f>
        <v>3</v>
      </c>
      <c r="I167" s="124" t="n">
        <f aca="false">H167</f>
        <v>3</v>
      </c>
      <c r="J167" s="124" t="n">
        <f aca="false">VLOOKUP($A167,Table,MATCH(J$4,Curves,0))</f>
        <v>4</v>
      </c>
      <c r="K167" s="125" t="n">
        <f aca="false">J167+$K$7</f>
        <v>4</v>
      </c>
      <c r="L167" s="126" t="n">
        <f aca="false">K167</f>
        <v>4</v>
      </c>
      <c r="M167" s="124" t="n">
        <f aca="false">VLOOKUP($A167,Table,MATCH(M$4,Curves,0))</f>
        <v>4</v>
      </c>
      <c r="N167" s="125" t="n">
        <f aca="false">M167+$N$7</f>
        <v>4</v>
      </c>
      <c r="O167" s="126" t="n">
        <v>0.12</v>
      </c>
      <c r="P167" s="114"/>
      <c r="Q167" s="126" t="n">
        <f aca="false">M167+J167+G167</f>
        <v>11</v>
      </c>
      <c r="R167" s="126" t="n">
        <f aca="false">N167+K167+H167</f>
        <v>11</v>
      </c>
      <c r="S167" s="126" t="n">
        <f aca="false">O167+L167+I167</f>
        <v>7.12</v>
      </c>
      <c r="T167" s="127"/>
      <c r="U167" s="5" t="n">
        <f aca="false">A168-A167</f>
        <v>31</v>
      </c>
      <c r="V167" s="128" t="n">
        <f aca="false">CHOOSE(F$3,A168+24,A167)</f>
        <v>42064</v>
      </c>
      <c r="W167" s="5" t="n">
        <f aca="false">V167-C$3</f>
        <v>4833</v>
      </c>
      <c r="X167" s="124" t="n">
        <f aca="false">VLOOKUP($A167,Table,MATCH(X$4,Curves,0))</f>
        <v>2</v>
      </c>
      <c r="Y167" s="129" t="n">
        <f aca="false">1/(1+CHOOSE(F$3,(X168+($K$3/10000))/2,(X167+($K$3/10000))/2))^(2*W167/365.25)</f>
        <v>1.08024537241203E-008</v>
      </c>
      <c r="Z167" s="5" t="n">
        <f aca="false">IF(AND(mthbeg&lt;=A167,mthend&gt;=A167),1,0)</f>
        <v>0</v>
      </c>
      <c r="AA167" s="5" t="n">
        <f aca="false">U167*Z167</f>
        <v>0</v>
      </c>
      <c r="AC167" s="115" t="n">
        <f aca="false">IF(G160=2,F167*(S167-Q167),F167*(Q167-S167))</f>
        <v>0</v>
      </c>
      <c r="AE167" s="116" t="n">
        <f aca="false">IF($G$3=1,F167*(R167-Q167),F167*(Q167-R167))</f>
        <v>0</v>
      </c>
      <c r="AG167" s="116" t="n">
        <f aca="false">AC167+AE167</f>
        <v>0</v>
      </c>
    </row>
    <row r="168" customFormat="false" ht="12.75" hidden="false" customHeight="false" outlineLevel="0" collapsed="false">
      <c r="A168" s="120" t="n">
        <f aca="false">EDATE(A167,1)</f>
        <v>42095</v>
      </c>
      <c r="B168" s="121" t="e">
        <f aca="false">VLOOKUP(A168,'Inputs-Summary'!$A$32:$E$41,3,FALSE())</f>
        <v>#N/A</v>
      </c>
      <c r="C168" s="122"/>
      <c r="D168" s="123" t="e">
        <f aca="false">B168+C168</f>
        <v>#N/A</v>
      </c>
      <c r="E168" s="111" t="n">
        <f aca="false">IF(Z168=0,0,IF(AND(Z168=1,$H$3=1),D168*U168,IF($H$3=2,D168,"N/A")))</f>
        <v>0</v>
      </c>
      <c r="F168" s="111" t="n">
        <f aca="false">E168*Y168</f>
        <v>0</v>
      </c>
      <c r="G168" s="124" t="n">
        <f aca="false">VLOOKUP($A168,Table,MATCH(G$4,Curves,0))</f>
        <v>3</v>
      </c>
      <c r="H168" s="125" t="n">
        <f aca="false">G168+$H$7</f>
        <v>3</v>
      </c>
      <c r="I168" s="124" t="n">
        <f aca="false">H168</f>
        <v>3</v>
      </c>
      <c r="J168" s="124" t="n">
        <f aca="false">VLOOKUP($A168,Table,MATCH(J$4,Curves,0))</f>
        <v>4</v>
      </c>
      <c r="K168" s="125" t="n">
        <f aca="false">J168+$K$7</f>
        <v>4</v>
      </c>
      <c r="L168" s="126" t="n">
        <f aca="false">K168</f>
        <v>4</v>
      </c>
      <c r="M168" s="124" t="n">
        <f aca="false">VLOOKUP($A168,Table,MATCH(M$4,Curves,0))</f>
        <v>4</v>
      </c>
      <c r="N168" s="125" t="n">
        <f aca="false">M168+$N$7</f>
        <v>4</v>
      </c>
      <c r="O168" s="126" t="n">
        <v>0.12</v>
      </c>
      <c r="P168" s="114"/>
      <c r="Q168" s="126" t="n">
        <f aca="false">M168+J168+G168</f>
        <v>11</v>
      </c>
      <c r="R168" s="126" t="n">
        <f aca="false">N168+K168+H168</f>
        <v>11</v>
      </c>
      <c r="S168" s="126" t="n">
        <f aca="false">O168+L168+I168</f>
        <v>7.12</v>
      </c>
      <c r="T168" s="127"/>
      <c r="U168" s="5" t="n">
        <f aca="false">A169-A168</f>
        <v>30</v>
      </c>
      <c r="V168" s="128" t="n">
        <f aca="false">CHOOSE(F$3,A169+24,A168)</f>
        <v>42095</v>
      </c>
      <c r="W168" s="5" t="n">
        <f aca="false">V168-C$3</f>
        <v>4864</v>
      </c>
      <c r="X168" s="124" t="n">
        <f aca="false">VLOOKUP($A168,Table,MATCH(X$4,Curves,0))</f>
        <v>2</v>
      </c>
      <c r="Y168" s="129" t="n">
        <f aca="false">1/(1+CHOOSE(F$3,(X169+($K$3/10000))/2,(X168+($K$3/10000))/2))^(2*W168/365.25)</f>
        <v>9.60336756191134E-009</v>
      </c>
      <c r="Z168" s="5" t="n">
        <f aca="false">IF(AND(mthbeg&lt;=A168,mthend&gt;=A168),1,0)</f>
        <v>0</v>
      </c>
      <c r="AA168" s="5" t="n">
        <f aca="false">U168*Z168</f>
        <v>0</v>
      </c>
      <c r="AC168" s="115" t="n">
        <f aca="false">IF(G161=2,F168*(S168-Q168),F168*(Q168-S168))</f>
        <v>0</v>
      </c>
      <c r="AE168" s="116" t="n">
        <f aca="false">IF($G$3=1,F168*(R168-Q168),F168*(Q168-R168))</f>
        <v>0</v>
      </c>
      <c r="AG168" s="116" t="n">
        <f aca="false">AC168+AE168</f>
        <v>0</v>
      </c>
    </row>
    <row r="169" customFormat="false" ht="12.75" hidden="false" customHeight="false" outlineLevel="0" collapsed="false">
      <c r="A169" s="120" t="n">
        <f aca="false">EDATE(A168,1)</f>
        <v>42125</v>
      </c>
      <c r="B169" s="121" t="e">
        <f aca="false">VLOOKUP(A169,'Inputs-Summary'!$A$32:$E$41,3,FALSE())</f>
        <v>#N/A</v>
      </c>
      <c r="C169" s="122"/>
      <c r="D169" s="123" t="e">
        <f aca="false">B169+C169</f>
        <v>#N/A</v>
      </c>
      <c r="E169" s="111" t="n">
        <f aca="false">IF(Z169=0,0,IF(AND(Z169=1,$H$3=1),D169*U169,IF($H$3=2,D169,"N/A")))</f>
        <v>0</v>
      </c>
      <c r="F169" s="111" t="n">
        <f aca="false">E169*Y169</f>
        <v>0</v>
      </c>
      <c r="G169" s="124" t="n">
        <f aca="false">VLOOKUP($A169,Table,MATCH(G$4,Curves,0))</f>
        <v>3</v>
      </c>
      <c r="H169" s="125" t="n">
        <f aca="false">G169+$H$7</f>
        <v>3</v>
      </c>
      <c r="I169" s="124" t="n">
        <f aca="false">H169</f>
        <v>3</v>
      </c>
      <c r="J169" s="124" t="n">
        <f aca="false">VLOOKUP($A169,Table,MATCH(J$4,Curves,0))</f>
        <v>4</v>
      </c>
      <c r="K169" s="125" t="n">
        <f aca="false">J169+$K$7</f>
        <v>4</v>
      </c>
      <c r="L169" s="126" t="n">
        <f aca="false">K169</f>
        <v>4</v>
      </c>
      <c r="M169" s="124" t="n">
        <f aca="false">VLOOKUP($A169,Table,MATCH(M$4,Curves,0))</f>
        <v>4</v>
      </c>
      <c r="N169" s="125" t="n">
        <f aca="false">M169+$N$7</f>
        <v>4</v>
      </c>
      <c r="O169" s="126" t="n">
        <v>0.12</v>
      </c>
      <c r="P169" s="114"/>
      <c r="Q169" s="126" t="n">
        <f aca="false">M169+J169+G169</f>
        <v>11</v>
      </c>
      <c r="R169" s="126" t="n">
        <f aca="false">N169+K169+H169</f>
        <v>11</v>
      </c>
      <c r="S169" s="126" t="n">
        <f aca="false">O169+L169+I169</f>
        <v>7.12</v>
      </c>
      <c r="T169" s="127"/>
      <c r="U169" s="5" t="n">
        <f aca="false">A170-A169</f>
        <v>31</v>
      </c>
      <c r="V169" s="128" t="n">
        <f aca="false">CHOOSE(F$3,A170+24,A169)</f>
        <v>42125</v>
      </c>
      <c r="W169" s="5" t="n">
        <f aca="false">V169-C$3</f>
        <v>4894</v>
      </c>
      <c r="X169" s="124" t="n">
        <f aca="false">VLOOKUP($A169,Table,MATCH(X$4,Curves,0))</f>
        <v>2</v>
      </c>
      <c r="Y169" s="129" t="n">
        <f aca="false">1/(1+CHOOSE(F$3,(X170+($K$3/10000))/2,(X169+($K$3/10000))/2))^(2*W169/365.25)</f>
        <v>8.56984641684573E-009</v>
      </c>
      <c r="Z169" s="5" t="n">
        <f aca="false">IF(AND(mthbeg&lt;=A169,mthend&gt;=A169),1,0)</f>
        <v>0</v>
      </c>
      <c r="AA169" s="5" t="n">
        <f aca="false">U169*Z169</f>
        <v>0</v>
      </c>
      <c r="AC169" s="115" t="n">
        <f aca="false">IF(G162=2,F169*(S169-Q169),F169*(Q169-S169))</f>
        <v>0</v>
      </c>
      <c r="AE169" s="116" t="n">
        <f aca="false">IF($G$3=1,F169*(R169-Q169),F169*(Q169-R169))</f>
        <v>0</v>
      </c>
      <c r="AG169" s="116" t="n">
        <f aca="false">AC169+AE169</f>
        <v>0</v>
      </c>
    </row>
    <row r="170" customFormat="false" ht="12" hidden="false" customHeight="true" outlineLevel="0" collapsed="false">
      <c r="A170" s="120" t="n">
        <f aca="false">EDATE(A169,1)</f>
        <v>42156</v>
      </c>
      <c r="B170" s="121" t="e">
        <f aca="false">VLOOKUP(A170,'Inputs-Summary'!$A$32:$E$41,3,FALSE())</f>
        <v>#N/A</v>
      </c>
      <c r="C170" s="122"/>
      <c r="D170" s="123" t="e">
        <f aca="false">B170+C170</f>
        <v>#N/A</v>
      </c>
      <c r="E170" s="111" t="n">
        <f aca="false">IF(Z170=0,0,IF(AND(Z170=1,$H$3=1),D170*U170,IF($H$3=2,D170,"N/A")))</f>
        <v>0</v>
      </c>
      <c r="F170" s="111" t="n">
        <f aca="false">E170*Y170</f>
        <v>0</v>
      </c>
      <c r="G170" s="124" t="n">
        <f aca="false">VLOOKUP($A170,Table,MATCH(G$4,Curves,0))</f>
        <v>3</v>
      </c>
      <c r="H170" s="125" t="n">
        <f aca="false">G170+$H$7</f>
        <v>3</v>
      </c>
      <c r="I170" s="124" t="n">
        <f aca="false">H170</f>
        <v>3</v>
      </c>
      <c r="J170" s="124" t="n">
        <f aca="false">VLOOKUP($A170,Table,MATCH(J$4,Curves,0))</f>
        <v>4</v>
      </c>
      <c r="K170" s="125" t="n">
        <f aca="false">J170+$K$7</f>
        <v>4</v>
      </c>
      <c r="L170" s="126" t="n">
        <f aca="false">K170</f>
        <v>4</v>
      </c>
      <c r="M170" s="124" t="n">
        <f aca="false">VLOOKUP($A170,Table,MATCH(M$4,Curves,0))</f>
        <v>4</v>
      </c>
      <c r="N170" s="125" t="n">
        <f aca="false">M170+$N$7</f>
        <v>4</v>
      </c>
      <c r="O170" s="126" t="n">
        <v>0.12</v>
      </c>
      <c r="P170" s="114"/>
      <c r="Q170" s="126" t="n">
        <f aca="false">M170+J170+G170</f>
        <v>11</v>
      </c>
      <c r="R170" s="126" t="n">
        <f aca="false">N170+K170+H170</f>
        <v>11</v>
      </c>
      <c r="S170" s="126" t="n">
        <f aca="false">O170+L170+I170</f>
        <v>7.12</v>
      </c>
      <c r="T170" s="127"/>
      <c r="U170" s="5" t="n">
        <f aca="false">A171-A170</f>
        <v>30</v>
      </c>
      <c r="V170" s="128" t="n">
        <f aca="false">CHOOSE(F$3,A171+24,A170)</f>
        <v>42156</v>
      </c>
      <c r="W170" s="5" t="n">
        <f aca="false">V170-C$3</f>
        <v>4925</v>
      </c>
      <c r="X170" s="124" t="n">
        <f aca="false">VLOOKUP($A170,Table,MATCH(X$4,Curves,0))</f>
        <v>2</v>
      </c>
      <c r="Y170" s="129" t="n">
        <f aca="false">1/(1+CHOOSE(F$3,(X171+($K$3/10000))/2,(X170+($K$3/10000))/2))^(2*W170/365.25)</f>
        <v>7.61858251763077E-009</v>
      </c>
      <c r="Z170" s="5" t="n">
        <f aca="false">IF(AND(mthbeg&lt;=A170,mthend&gt;=A170),1,0)</f>
        <v>0</v>
      </c>
      <c r="AA170" s="5" t="n">
        <f aca="false">U170*Z170</f>
        <v>0</v>
      </c>
      <c r="AC170" s="115" t="n">
        <f aca="false">IF(G163=2,F170*(S170-Q170),F170*(Q170-S170))</f>
        <v>0</v>
      </c>
      <c r="AE170" s="116" t="n">
        <f aca="false">IF($G$3=1,F170*(R170-Q170),F170*(Q170-R170))</f>
        <v>0</v>
      </c>
      <c r="AG170" s="116" t="n">
        <f aca="false">AC170+AE170</f>
        <v>0</v>
      </c>
    </row>
    <row r="171" customFormat="false" ht="12" hidden="false" customHeight="true" outlineLevel="0" collapsed="false">
      <c r="A171" s="120" t="n">
        <f aca="false">EDATE(A170,1)</f>
        <v>42186</v>
      </c>
      <c r="B171" s="121" t="e">
        <f aca="false">VLOOKUP(A171,'Inputs-Summary'!$A$32:$E$41,3,FALSE())</f>
        <v>#N/A</v>
      </c>
      <c r="C171" s="122"/>
      <c r="D171" s="123" t="e">
        <f aca="false">B171+C171</f>
        <v>#N/A</v>
      </c>
      <c r="E171" s="111" t="n">
        <f aca="false">IF(Z171=0,0,IF(AND(Z171=1,$H$3=1),D171*U171,IF($H$3=2,D171,"N/A")))</f>
        <v>0</v>
      </c>
      <c r="F171" s="111" t="n">
        <f aca="false">E171*Y171</f>
        <v>0</v>
      </c>
      <c r="G171" s="124" t="n">
        <f aca="false">VLOOKUP($A171,Table,MATCH(G$4,Curves,0))</f>
        <v>3</v>
      </c>
      <c r="H171" s="125" t="n">
        <f aca="false">G171+$H$7</f>
        <v>3</v>
      </c>
      <c r="I171" s="124" t="n">
        <f aca="false">H171</f>
        <v>3</v>
      </c>
      <c r="J171" s="124" t="n">
        <f aca="false">VLOOKUP($A171,Table,MATCH(J$4,Curves,0))</f>
        <v>4</v>
      </c>
      <c r="K171" s="125" t="n">
        <f aca="false">J171+$K$7</f>
        <v>4</v>
      </c>
      <c r="L171" s="126" t="n">
        <f aca="false">K171</f>
        <v>4</v>
      </c>
      <c r="M171" s="124" t="n">
        <f aca="false">VLOOKUP($A171,Table,MATCH(M$4,Curves,0))</f>
        <v>4</v>
      </c>
      <c r="N171" s="125" t="n">
        <f aca="false">M171+$N$7</f>
        <v>4</v>
      </c>
      <c r="O171" s="126" t="n">
        <v>0.12</v>
      </c>
      <c r="P171" s="114"/>
      <c r="Q171" s="126" t="n">
        <f aca="false">M171+J171+G171</f>
        <v>11</v>
      </c>
      <c r="R171" s="126" t="n">
        <f aca="false">N171+K171+H171</f>
        <v>11</v>
      </c>
      <c r="S171" s="126" t="n">
        <f aca="false">O171+L171+I171</f>
        <v>7.12</v>
      </c>
      <c r="T171" s="127"/>
      <c r="U171" s="5" t="n">
        <f aca="false">A172-A171</f>
        <v>31</v>
      </c>
      <c r="V171" s="128" t="n">
        <f aca="false">CHOOSE(F$3,A172+24,A171)</f>
        <v>42186</v>
      </c>
      <c r="W171" s="5" t="n">
        <f aca="false">V171-C$3</f>
        <v>4955</v>
      </c>
      <c r="X171" s="124" t="n">
        <f aca="false">VLOOKUP($A171,Table,MATCH(X$4,Curves,0))</f>
        <v>2</v>
      </c>
      <c r="Y171" s="129" t="n">
        <f aca="false">1/(1+CHOOSE(F$3,(X172+($K$3/10000))/2,(X171+($K$3/10000))/2))^(2*W171/365.25)</f>
        <v>6.79866532955726E-009</v>
      </c>
      <c r="Z171" s="5" t="n">
        <f aca="false">IF(AND(mthbeg&lt;=A171,mthend&gt;=A171),1,0)</f>
        <v>0</v>
      </c>
      <c r="AA171" s="5" t="n">
        <f aca="false">U171*Z171</f>
        <v>0</v>
      </c>
      <c r="AC171" s="115" t="n">
        <f aca="false">IF(G164=2,F171*(S171-Q171),F171*(Q171-S171))</f>
        <v>0</v>
      </c>
      <c r="AE171" s="116" t="n">
        <f aca="false">IF($G$3=1,F171*(R171-Q171),F171*(Q171-R171))</f>
        <v>0</v>
      </c>
      <c r="AG171" s="116" t="n">
        <f aca="false">AC171+AE171</f>
        <v>0</v>
      </c>
    </row>
    <row r="172" customFormat="false" ht="12" hidden="false" customHeight="true" outlineLevel="0" collapsed="false">
      <c r="A172" s="120" t="n">
        <f aca="false">EDATE(A171,1)</f>
        <v>42217</v>
      </c>
      <c r="B172" s="121" t="e">
        <f aca="false">VLOOKUP(A172,'Inputs-Summary'!$A$32:$E$41,3,FALSE())</f>
        <v>#N/A</v>
      </c>
      <c r="C172" s="122"/>
      <c r="D172" s="123" t="e">
        <f aca="false">B172+C172</f>
        <v>#N/A</v>
      </c>
      <c r="E172" s="111" t="n">
        <f aca="false">IF(Z172=0,0,IF(AND(Z172=1,$H$3=1),D172*U172,IF($H$3=2,D172,"N/A")))</f>
        <v>0</v>
      </c>
      <c r="F172" s="111" t="n">
        <f aca="false">E172*Y172</f>
        <v>0</v>
      </c>
      <c r="G172" s="124" t="n">
        <f aca="false">VLOOKUP($A172,Table,MATCH(G$4,Curves,0))</f>
        <v>3</v>
      </c>
      <c r="H172" s="125" t="n">
        <f aca="false">G172+$H$7</f>
        <v>3</v>
      </c>
      <c r="I172" s="124" t="n">
        <f aca="false">H172</f>
        <v>3</v>
      </c>
      <c r="J172" s="124" t="n">
        <f aca="false">VLOOKUP($A172,Table,MATCH(J$4,Curves,0))</f>
        <v>4</v>
      </c>
      <c r="K172" s="125" t="n">
        <f aca="false">J172+$K$7</f>
        <v>4</v>
      </c>
      <c r="L172" s="126" t="n">
        <f aca="false">K172</f>
        <v>4</v>
      </c>
      <c r="M172" s="124" t="n">
        <f aca="false">VLOOKUP($A172,Table,MATCH(M$4,Curves,0))</f>
        <v>4</v>
      </c>
      <c r="N172" s="125" t="n">
        <f aca="false">M172+$N$7</f>
        <v>4</v>
      </c>
      <c r="O172" s="126" t="n">
        <v>0.12</v>
      </c>
      <c r="P172" s="114"/>
      <c r="Q172" s="126" t="n">
        <f aca="false">M172+J172+G172</f>
        <v>11</v>
      </c>
      <c r="R172" s="126" t="n">
        <f aca="false">N172+K172+H172</f>
        <v>11</v>
      </c>
      <c r="S172" s="126" t="n">
        <f aca="false">O172+L172+I172</f>
        <v>7.12</v>
      </c>
      <c r="T172" s="127"/>
      <c r="U172" s="5" t="n">
        <f aca="false">A173-A172</f>
        <v>31</v>
      </c>
      <c r="V172" s="128" t="n">
        <f aca="false">CHOOSE(F$3,A173+24,A172)</f>
        <v>42217</v>
      </c>
      <c r="W172" s="5" t="n">
        <f aca="false">V172-C$3</f>
        <v>4986</v>
      </c>
      <c r="X172" s="124" t="n">
        <f aca="false">VLOOKUP($A172,Table,MATCH(X$4,Curves,0))</f>
        <v>2</v>
      </c>
      <c r="Y172" s="129" t="n">
        <f aca="false">1/(1+CHOOSE(F$3,(X173+($K$3/10000))/2,(X172+($K$3/10000))/2))^(2*W172/365.25)</f>
        <v>6.04400479350152E-009</v>
      </c>
      <c r="Z172" s="5" t="n">
        <f aca="false">IF(AND(mthbeg&lt;=A172,mthend&gt;=A172),1,0)</f>
        <v>0</v>
      </c>
      <c r="AA172" s="5" t="n">
        <f aca="false">U172*Z172</f>
        <v>0</v>
      </c>
      <c r="AC172" s="115" t="n">
        <f aca="false">IF(G165=2,F172*(S172-Q172),F172*(Q172-S172))</f>
        <v>0</v>
      </c>
      <c r="AE172" s="116" t="n">
        <f aca="false">IF($G$3=1,F172*(R172-Q172),F172*(Q172-R172))</f>
        <v>0</v>
      </c>
      <c r="AG172" s="116" t="n">
        <f aca="false">AC172+AE172</f>
        <v>0</v>
      </c>
    </row>
    <row r="173" customFormat="false" ht="12" hidden="false" customHeight="true" outlineLevel="0" collapsed="false">
      <c r="A173" s="120" t="n">
        <f aca="false">EDATE(A172,1)</f>
        <v>42248</v>
      </c>
      <c r="B173" s="121" t="e">
        <f aca="false">VLOOKUP(A173,'Inputs-Summary'!$A$32:$E$41,3,FALSE())</f>
        <v>#N/A</v>
      </c>
      <c r="C173" s="122"/>
      <c r="D173" s="123" t="e">
        <f aca="false">B173+C173</f>
        <v>#N/A</v>
      </c>
      <c r="E173" s="111" t="n">
        <f aca="false">IF(Z173=0,0,IF(AND(Z173=1,$H$3=1),D173*U173,IF($H$3=2,D173,"N/A")))</f>
        <v>0</v>
      </c>
      <c r="F173" s="111" t="n">
        <f aca="false">E173*Y173</f>
        <v>0</v>
      </c>
      <c r="G173" s="124" t="n">
        <f aca="false">VLOOKUP($A173,Table,MATCH(G$4,Curves,0))</f>
        <v>3</v>
      </c>
      <c r="H173" s="125" t="n">
        <f aca="false">G173+$H$7</f>
        <v>3</v>
      </c>
      <c r="I173" s="124" t="n">
        <f aca="false">H173</f>
        <v>3</v>
      </c>
      <c r="J173" s="124" t="n">
        <f aca="false">VLOOKUP($A173,Table,MATCH(J$4,Curves,0))</f>
        <v>4</v>
      </c>
      <c r="K173" s="125" t="n">
        <f aca="false">J173+$K$7</f>
        <v>4</v>
      </c>
      <c r="L173" s="126" t="n">
        <f aca="false">K173</f>
        <v>4</v>
      </c>
      <c r="M173" s="124" t="n">
        <f aca="false">VLOOKUP($A173,Table,MATCH(M$4,Curves,0))</f>
        <v>4</v>
      </c>
      <c r="N173" s="125" t="n">
        <f aca="false">M173+$N$7</f>
        <v>4</v>
      </c>
      <c r="O173" s="126" t="n">
        <v>0.12</v>
      </c>
      <c r="P173" s="114"/>
      <c r="Q173" s="126" t="n">
        <f aca="false">M173+J173+G173</f>
        <v>11</v>
      </c>
      <c r="R173" s="126" t="n">
        <f aca="false">N173+K173+H173</f>
        <v>11</v>
      </c>
      <c r="S173" s="126" t="n">
        <f aca="false">O173+L173+I173</f>
        <v>7.12</v>
      </c>
      <c r="T173" s="127"/>
      <c r="U173" s="5" t="n">
        <f aca="false">A174-A173</f>
        <v>30</v>
      </c>
      <c r="V173" s="128" t="n">
        <f aca="false">CHOOSE(F$3,A174+24,A173)</f>
        <v>42248</v>
      </c>
      <c r="W173" s="5" t="n">
        <f aca="false">V173-C$3</f>
        <v>5017</v>
      </c>
      <c r="X173" s="124" t="n">
        <f aca="false">VLOOKUP($A173,Table,MATCH(X$4,Curves,0))</f>
        <v>2</v>
      </c>
      <c r="Y173" s="129" t="n">
        <f aca="false">1/(1+CHOOSE(F$3,(X174+($K$3/10000))/2,(X173+($K$3/10000))/2))^(2*W173/365.25)</f>
        <v>5.37311254093577E-009</v>
      </c>
      <c r="Z173" s="5" t="n">
        <f aca="false">IF(AND(mthbeg&lt;=A173,mthend&gt;=A173),1,0)</f>
        <v>0</v>
      </c>
      <c r="AA173" s="5" t="n">
        <f aca="false">U173*Z173</f>
        <v>0</v>
      </c>
      <c r="AC173" s="115" t="n">
        <f aca="false">IF(G166=2,F173*(S173-Q173),F173*(Q173-S173))</f>
        <v>0</v>
      </c>
      <c r="AE173" s="116" t="n">
        <f aca="false">IF($G$3=1,F173*(R173-Q173),F173*(Q173-R173))</f>
        <v>0</v>
      </c>
      <c r="AG173" s="116" t="n">
        <f aca="false">AC173+AE173</f>
        <v>0</v>
      </c>
    </row>
    <row r="174" customFormat="false" ht="12" hidden="false" customHeight="true" outlineLevel="0" collapsed="false">
      <c r="A174" s="120" t="n">
        <f aca="false">EDATE(A173,1)</f>
        <v>42278</v>
      </c>
      <c r="B174" s="121" t="e">
        <f aca="false">VLOOKUP(A174,'Inputs-Summary'!$A$32:$E$41,3,FALSE())</f>
        <v>#N/A</v>
      </c>
      <c r="C174" s="122"/>
      <c r="D174" s="123" t="e">
        <f aca="false">B174+C174</f>
        <v>#N/A</v>
      </c>
      <c r="E174" s="111" t="n">
        <f aca="false">IF(Z174=0,0,IF(AND(Z174=1,$H$3=1),D174*U174,IF($H$3=2,D174,"N/A")))</f>
        <v>0</v>
      </c>
      <c r="F174" s="111" t="n">
        <f aca="false">E174*Y174</f>
        <v>0</v>
      </c>
      <c r="G174" s="124" t="n">
        <f aca="false">VLOOKUP($A174,Table,MATCH(G$4,Curves,0))</f>
        <v>3</v>
      </c>
      <c r="H174" s="125" t="n">
        <f aca="false">G174+$H$7</f>
        <v>3</v>
      </c>
      <c r="I174" s="124" t="n">
        <f aca="false">H174</f>
        <v>3</v>
      </c>
      <c r="J174" s="124" t="n">
        <f aca="false">VLOOKUP($A174,Table,MATCH(J$4,Curves,0))</f>
        <v>4</v>
      </c>
      <c r="K174" s="125" t="n">
        <f aca="false">J174+$K$7</f>
        <v>4</v>
      </c>
      <c r="L174" s="126" t="n">
        <f aca="false">K174</f>
        <v>4</v>
      </c>
      <c r="M174" s="124" t="n">
        <f aca="false">VLOOKUP($A174,Table,MATCH(M$4,Curves,0))</f>
        <v>4</v>
      </c>
      <c r="N174" s="125" t="n">
        <f aca="false">M174+$N$7</f>
        <v>4</v>
      </c>
      <c r="O174" s="126" t="n">
        <v>0.12</v>
      </c>
      <c r="P174" s="114"/>
      <c r="Q174" s="126" t="n">
        <f aca="false">M174+J174+G174</f>
        <v>11</v>
      </c>
      <c r="R174" s="126" t="n">
        <f aca="false">N174+K174+H174</f>
        <v>11</v>
      </c>
      <c r="S174" s="126" t="n">
        <f aca="false">O174+L174+I174</f>
        <v>7.12</v>
      </c>
      <c r="T174" s="127"/>
      <c r="U174" s="5" t="n">
        <f aca="false">A175-A174</f>
        <v>31</v>
      </c>
      <c r="V174" s="128" t="n">
        <f aca="false">CHOOSE(F$3,A175+24,A174)</f>
        <v>42278</v>
      </c>
      <c r="W174" s="5" t="n">
        <f aca="false">V174-C$3</f>
        <v>5047</v>
      </c>
      <c r="X174" s="124" t="n">
        <f aca="false">VLOOKUP($A174,Table,MATCH(X$4,Curves,0))</f>
        <v>2</v>
      </c>
      <c r="Y174" s="129" t="n">
        <f aca="false">1/(1+CHOOSE(F$3,(X175+($K$3/10000))/2,(X174+($K$3/10000))/2))^(2*W174/365.25)</f>
        <v>4.79485440491488E-009</v>
      </c>
      <c r="Z174" s="5" t="n">
        <f aca="false">IF(AND(mthbeg&lt;=A174,mthend&gt;=A174),1,0)</f>
        <v>0</v>
      </c>
      <c r="AA174" s="5" t="n">
        <f aca="false">U174*Z174</f>
        <v>0</v>
      </c>
      <c r="AC174" s="115" t="n">
        <f aca="false">IF(G167=2,F174*(S174-Q174),F174*(Q174-S174))</f>
        <v>0</v>
      </c>
      <c r="AE174" s="116" t="n">
        <f aca="false">IF($G$3=1,F174*(R174-Q174),F174*(Q174-R174))</f>
        <v>0</v>
      </c>
      <c r="AG174" s="116" t="n">
        <f aca="false">AC174+AE174</f>
        <v>0</v>
      </c>
    </row>
    <row r="175" customFormat="false" ht="12" hidden="false" customHeight="true" outlineLevel="0" collapsed="false">
      <c r="A175" s="120" t="n">
        <f aca="false">EDATE(A174,1)</f>
        <v>42309</v>
      </c>
      <c r="B175" s="121" t="e">
        <f aca="false">VLOOKUP(A175,'Inputs-Summary'!$A$32:$E$41,3,FALSE())</f>
        <v>#N/A</v>
      </c>
      <c r="C175" s="122"/>
      <c r="D175" s="123" t="e">
        <f aca="false">B175+C175</f>
        <v>#N/A</v>
      </c>
      <c r="E175" s="111" t="n">
        <f aca="false">IF(Z175=0,0,IF(AND(Z175=1,$H$3=1),D175*U175,IF($H$3=2,D175,"N/A")))</f>
        <v>0</v>
      </c>
      <c r="F175" s="111" t="n">
        <f aca="false">E175*Y175</f>
        <v>0</v>
      </c>
      <c r="G175" s="124" t="n">
        <f aca="false">VLOOKUP($A175,Table,MATCH(G$4,Curves,0))</f>
        <v>3</v>
      </c>
      <c r="H175" s="125" t="n">
        <f aca="false">G175+$H$7</f>
        <v>3</v>
      </c>
      <c r="I175" s="124" t="n">
        <f aca="false">H175</f>
        <v>3</v>
      </c>
      <c r="J175" s="124" t="n">
        <f aca="false">VLOOKUP($A175,Table,MATCH(J$4,Curves,0))</f>
        <v>4</v>
      </c>
      <c r="K175" s="125" t="n">
        <f aca="false">J175+$K$7</f>
        <v>4</v>
      </c>
      <c r="L175" s="126" t="n">
        <f aca="false">K175</f>
        <v>4</v>
      </c>
      <c r="M175" s="124" t="n">
        <f aca="false">VLOOKUP($A175,Table,MATCH(M$4,Curves,0))</f>
        <v>4</v>
      </c>
      <c r="N175" s="125" t="n">
        <f aca="false">M175+$N$7</f>
        <v>4</v>
      </c>
      <c r="O175" s="126" t="n">
        <v>0.12</v>
      </c>
      <c r="P175" s="114"/>
      <c r="Q175" s="126" t="n">
        <f aca="false">M175+J175+G175</f>
        <v>11</v>
      </c>
      <c r="R175" s="126" t="n">
        <f aca="false">N175+K175+H175</f>
        <v>11</v>
      </c>
      <c r="S175" s="126" t="n">
        <f aca="false">O175+L175+I175</f>
        <v>7.12</v>
      </c>
      <c r="T175" s="127"/>
      <c r="U175" s="5" t="n">
        <f aca="false">A176-A175</f>
        <v>30</v>
      </c>
      <c r="V175" s="128" t="n">
        <f aca="false">CHOOSE(F$3,A176+24,A175)</f>
        <v>42309</v>
      </c>
      <c r="W175" s="5" t="n">
        <f aca="false">V175-C$3</f>
        <v>5078</v>
      </c>
      <c r="X175" s="124" t="n">
        <f aca="false">VLOOKUP($A175,Table,MATCH(X$4,Curves,0))</f>
        <v>2</v>
      </c>
      <c r="Y175" s="129" t="n">
        <f aca="false">1/(1+CHOOSE(F$3,(X176+($K$3/10000))/2,(X175+($K$3/10000))/2))^(2*W175/365.25)</f>
        <v>4.26261944112118E-009</v>
      </c>
      <c r="Z175" s="5" t="n">
        <f aca="false">IF(AND(mthbeg&lt;=A175,mthend&gt;=A175),1,0)</f>
        <v>0</v>
      </c>
      <c r="AA175" s="5" t="n">
        <f aca="false">U175*Z175</f>
        <v>0</v>
      </c>
      <c r="AC175" s="115" t="n">
        <f aca="false">IF(G168=2,F175*(S175-Q175),F175*(Q175-S175))</f>
        <v>0</v>
      </c>
      <c r="AE175" s="116" t="n">
        <f aca="false">IF($G$3=1,F175*(R175-Q175),F175*(Q175-R175))</f>
        <v>0</v>
      </c>
      <c r="AG175" s="116" t="n">
        <f aca="false">AC175+AE175</f>
        <v>0</v>
      </c>
    </row>
    <row r="176" customFormat="false" ht="12" hidden="false" customHeight="true" outlineLevel="0" collapsed="false">
      <c r="A176" s="120" t="n">
        <f aca="false">EDATE(A175,1)</f>
        <v>42339</v>
      </c>
      <c r="B176" s="121" t="e">
        <f aca="false">VLOOKUP(A176,'Inputs-Summary'!$A$32:$E$41,3,FALSE())</f>
        <v>#N/A</v>
      </c>
      <c r="C176" s="122"/>
      <c r="D176" s="123" t="e">
        <f aca="false">B176+C176</f>
        <v>#N/A</v>
      </c>
      <c r="E176" s="111" t="n">
        <f aca="false">IF(Z176=0,0,IF(AND(Z176=1,$H$3=1),D176*U176,IF($H$3=2,D176,"N/A")))</f>
        <v>0</v>
      </c>
      <c r="F176" s="111" t="n">
        <f aca="false">E176*Y176</f>
        <v>0</v>
      </c>
      <c r="G176" s="124" t="n">
        <f aca="false">VLOOKUP($A176,Table,MATCH(G$4,Curves,0))</f>
        <v>3</v>
      </c>
      <c r="H176" s="125" t="n">
        <f aca="false">G176+$H$7</f>
        <v>3</v>
      </c>
      <c r="I176" s="124" t="n">
        <f aca="false">H176</f>
        <v>3</v>
      </c>
      <c r="J176" s="124" t="n">
        <f aca="false">VLOOKUP($A176,Table,MATCH(J$4,Curves,0))</f>
        <v>4</v>
      </c>
      <c r="K176" s="125" t="n">
        <f aca="false">J176+$K$7</f>
        <v>4</v>
      </c>
      <c r="L176" s="126" t="n">
        <f aca="false">K176</f>
        <v>4</v>
      </c>
      <c r="M176" s="124" t="n">
        <f aca="false">VLOOKUP($A176,Table,MATCH(M$4,Curves,0))</f>
        <v>4</v>
      </c>
      <c r="N176" s="125" t="n">
        <f aca="false">M176+$N$7</f>
        <v>4</v>
      </c>
      <c r="O176" s="126" t="n">
        <v>0.12</v>
      </c>
      <c r="P176" s="114"/>
      <c r="Q176" s="126" t="n">
        <f aca="false">M176+J176+G176</f>
        <v>11</v>
      </c>
      <c r="R176" s="126" t="n">
        <f aca="false">N176+K176+H176</f>
        <v>11</v>
      </c>
      <c r="S176" s="126" t="n">
        <f aca="false">O176+L176+I176</f>
        <v>7.12</v>
      </c>
      <c r="T176" s="127"/>
      <c r="U176" s="5" t="n">
        <f aca="false">A177-A176</f>
        <v>31</v>
      </c>
      <c r="V176" s="128" t="n">
        <f aca="false">CHOOSE(F$3,A177+24,A176)</f>
        <v>42339</v>
      </c>
      <c r="W176" s="5" t="n">
        <f aca="false">V176-C$3</f>
        <v>5108</v>
      </c>
      <c r="X176" s="124" t="n">
        <f aca="false">VLOOKUP($A176,Table,MATCH(X$4,Curves,0))</f>
        <v>2</v>
      </c>
      <c r="Y176" s="129" t="n">
        <f aca="false">1/(1+CHOOSE(F$3,(X177+($K$3/10000))/2,(X176+($K$3/10000))/2))^(2*W176/365.25)</f>
        <v>3.8038733505061E-009</v>
      </c>
      <c r="Z176" s="5" t="n">
        <f aca="false">IF(AND(mthbeg&lt;=A176,mthend&gt;=A176),1,0)</f>
        <v>0</v>
      </c>
      <c r="AA176" s="5" t="n">
        <f aca="false">U176*Z176</f>
        <v>0</v>
      </c>
      <c r="AC176" s="115" t="n">
        <f aca="false">IF(G169=2,F176*(S176-Q176),F176*(Q176-S176))</f>
        <v>0</v>
      </c>
      <c r="AE176" s="116" t="n">
        <f aca="false">IF($G$3=1,F176*(R176-Q176),F176*(Q176-R176))</f>
        <v>0</v>
      </c>
      <c r="AG176" s="116" t="n">
        <f aca="false">AC176+AE176</f>
        <v>0</v>
      </c>
    </row>
    <row r="177" customFormat="false" ht="12" hidden="false" customHeight="true" outlineLevel="0" collapsed="false">
      <c r="A177" s="120" t="n">
        <f aca="false">EDATE(A176,1)</f>
        <v>42370</v>
      </c>
      <c r="B177" s="121" t="e">
        <f aca="false">VLOOKUP(A177,'Inputs-Summary'!$A$32:$E$41,3,FALSE())</f>
        <v>#N/A</v>
      </c>
      <c r="C177" s="122"/>
      <c r="D177" s="123" t="e">
        <f aca="false">B177+C177</f>
        <v>#N/A</v>
      </c>
      <c r="E177" s="111" t="n">
        <f aca="false">IF(Z177=0,0,IF(AND(Z177=1,$H$3=1),D177*U177,IF($H$3=2,D177,"N/A")))</f>
        <v>0</v>
      </c>
      <c r="F177" s="111" t="n">
        <f aca="false">E177*Y177</f>
        <v>0</v>
      </c>
      <c r="G177" s="124" t="n">
        <f aca="false">VLOOKUP($A177,Table,MATCH(G$4,Curves,0))</f>
        <v>3</v>
      </c>
      <c r="H177" s="125" t="n">
        <f aca="false">G177+$H$7</f>
        <v>3</v>
      </c>
      <c r="I177" s="124" t="n">
        <f aca="false">H177</f>
        <v>3</v>
      </c>
      <c r="J177" s="124" t="n">
        <f aca="false">VLOOKUP($A177,Table,MATCH(J$4,Curves,0))</f>
        <v>4</v>
      </c>
      <c r="K177" s="125" t="n">
        <f aca="false">J177+$K$7</f>
        <v>4</v>
      </c>
      <c r="L177" s="126" t="n">
        <f aca="false">K177</f>
        <v>4</v>
      </c>
      <c r="M177" s="124" t="n">
        <f aca="false">VLOOKUP($A177,Table,MATCH(M$4,Curves,0))</f>
        <v>4</v>
      </c>
      <c r="N177" s="125" t="n">
        <f aca="false">M177+$N$7</f>
        <v>4</v>
      </c>
      <c r="O177" s="126" t="n">
        <v>0.12</v>
      </c>
      <c r="P177" s="114"/>
      <c r="Q177" s="126" t="n">
        <f aca="false">M177+J177+G177</f>
        <v>11</v>
      </c>
      <c r="R177" s="126" t="n">
        <f aca="false">N177+K177+H177</f>
        <v>11</v>
      </c>
      <c r="S177" s="126" t="n">
        <f aca="false">O177+L177+I177</f>
        <v>7.12</v>
      </c>
      <c r="T177" s="127"/>
      <c r="U177" s="5" t="n">
        <f aca="false">A178-A177</f>
        <v>31</v>
      </c>
      <c r="V177" s="128" t="n">
        <f aca="false">CHOOSE(F$3,A178+24,A177)</f>
        <v>42370</v>
      </c>
      <c r="W177" s="5" t="n">
        <f aca="false">V177-C$3</f>
        <v>5139</v>
      </c>
      <c r="X177" s="124" t="n">
        <f aca="false">VLOOKUP($A177,Table,MATCH(X$4,Curves,0))</f>
        <v>2</v>
      </c>
      <c r="Y177" s="129" t="n">
        <f aca="false">1/(1+CHOOSE(F$3,(X178+($K$3/10000))/2,(X177+($K$3/10000))/2))^(2*W177/365.25)</f>
        <v>3.38163854961055E-009</v>
      </c>
      <c r="Z177" s="5" t="n">
        <f aca="false">IF(AND(mthbeg&lt;=A177,mthend&gt;=A177),1,0)</f>
        <v>0</v>
      </c>
      <c r="AA177" s="5" t="n">
        <f aca="false">U177*Z177</f>
        <v>0</v>
      </c>
      <c r="AC177" s="115" t="n">
        <f aca="false">IF(G170=2,F177*(S177-Q177),F177*(Q177-S177))</f>
        <v>0</v>
      </c>
      <c r="AE177" s="116" t="n">
        <f aca="false">IF($G$3=1,F177*(R177-Q177),F177*(Q177-R177))</f>
        <v>0</v>
      </c>
      <c r="AG177" s="116" t="n">
        <f aca="false">AC177+AE177</f>
        <v>0</v>
      </c>
    </row>
    <row r="178" customFormat="false" ht="12" hidden="false" customHeight="true" outlineLevel="0" collapsed="false">
      <c r="A178" s="120" t="n">
        <f aca="false">EDATE(A177,1)</f>
        <v>42401</v>
      </c>
      <c r="B178" s="121" t="e">
        <f aca="false">VLOOKUP(A178,'Inputs-Summary'!$A$32:$E$41,3,FALSE())</f>
        <v>#N/A</v>
      </c>
      <c r="C178" s="122"/>
      <c r="D178" s="123" t="e">
        <f aca="false">B178+C178</f>
        <v>#N/A</v>
      </c>
      <c r="E178" s="111" t="n">
        <f aca="false">IF(Z178=0,0,IF(AND(Z178=1,$H$3=1),D178*U178,IF($H$3=2,D178,"N/A")))</f>
        <v>0</v>
      </c>
      <c r="F178" s="111" t="n">
        <f aca="false">E178*Y178</f>
        <v>0</v>
      </c>
      <c r="G178" s="124" t="n">
        <f aca="false">VLOOKUP($A178,Table,MATCH(G$4,Curves,0))</f>
        <v>3</v>
      </c>
      <c r="H178" s="125" t="n">
        <f aca="false">G178+$H$7</f>
        <v>3</v>
      </c>
      <c r="I178" s="124" t="n">
        <f aca="false">H178</f>
        <v>3</v>
      </c>
      <c r="J178" s="124" t="n">
        <f aca="false">VLOOKUP($A178,Table,MATCH(J$4,Curves,0))</f>
        <v>4</v>
      </c>
      <c r="K178" s="125" t="n">
        <f aca="false">J178+$K$7</f>
        <v>4</v>
      </c>
      <c r="L178" s="126" t="n">
        <f aca="false">K178</f>
        <v>4</v>
      </c>
      <c r="M178" s="124" t="n">
        <f aca="false">VLOOKUP($A178,Table,MATCH(M$4,Curves,0))</f>
        <v>4</v>
      </c>
      <c r="N178" s="125" t="n">
        <f aca="false">M178+$N$7</f>
        <v>4</v>
      </c>
      <c r="O178" s="126" t="n">
        <v>0.12</v>
      </c>
      <c r="P178" s="114"/>
      <c r="Q178" s="126" t="n">
        <f aca="false">M178+J178+G178</f>
        <v>11</v>
      </c>
      <c r="R178" s="126" t="n">
        <f aca="false">N178+K178+H178</f>
        <v>11</v>
      </c>
      <c r="S178" s="126" t="n">
        <f aca="false">O178+L178+I178</f>
        <v>7.12</v>
      </c>
      <c r="T178" s="127"/>
      <c r="U178" s="5" t="n">
        <f aca="false">A179-A178</f>
        <v>29</v>
      </c>
      <c r="V178" s="128" t="n">
        <f aca="false">CHOOSE(F$3,A179+24,A178)</f>
        <v>42401</v>
      </c>
      <c r="W178" s="5" t="n">
        <f aca="false">V178-C$3</f>
        <v>5170</v>
      </c>
      <c r="X178" s="124" t="n">
        <f aca="false">VLOOKUP($A178,Table,MATCH(X$4,Curves,0))</f>
        <v>2</v>
      </c>
      <c r="Y178" s="129" t="n">
        <f aca="false">1/(1+CHOOSE(F$3,(X179+($K$3/10000))/2,(X178+($K$3/10000))/2))^(2*W178/365.25)</f>
        <v>3.00627235096844E-009</v>
      </c>
      <c r="Z178" s="5" t="n">
        <f aca="false">IF(AND(mthbeg&lt;=A178,mthend&gt;=A178),1,0)</f>
        <v>0</v>
      </c>
      <c r="AA178" s="5" t="n">
        <f aca="false">U178*Z178</f>
        <v>0</v>
      </c>
      <c r="AC178" s="115" t="n">
        <f aca="false">IF(G171=2,F178*(S178-Q178),F178*(Q178-S178))</f>
        <v>0</v>
      </c>
      <c r="AE178" s="116" t="n">
        <f aca="false">IF($G$3=1,F178*(R178-Q178),F178*(Q178-R178))</f>
        <v>0</v>
      </c>
      <c r="AG178" s="116" t="n">
        <f aca="false">AC178+AE178</f>
        <v>0</v>
      </c>
    </row>
    <row r="179" customFormat="false" ht="12" hidden="false" customHeight="true" outlineLevel="0" collapsed="false">
      <c r="A179" s="120" t="n">
        <f aca="false">EDATE(A178,1)</f>
        <v>42430</v>
      </c>
      <c r="B179" s="121" t="e">
        <f aca="false">VLOOKUP(A179,'Inputs-Summary'!$A$32:$E$41,3,FALSE())</f>
        <v>#N/A</v>
      </c>
      <c r="C179" s="122"/>
      <c r="D179" s="123" t="e">
        <f aca="false">B179+C179</f>
        <v>#N/A</v>
      </c>
      <c r="E179" s="111" t="n">
        <f aca="false">IF(Z179=0,0,IF(AND(Z179=1,$H$3=1),D179*U179,IF($H$3=2,D179,"N/A")))</f>
        <v>0</v>
      </c>
      <c r="F179" s="111" t="n">
        <f aca="false">E179*Y179</f>
        <v>0</v>
      </c>
      <c r="G179" s="124" t="n">
        <f aca="false">VLOOKUP($A179,Table,MATCH(G$4,Curves,0))</f>
        <v>3</v>
      </c>
      <c r="H179" s="125" t="n">
        <f aca="false">G179+$H$7</f>
        <v>3</v>
      </c>
      <c r="I179" s="124" t="n">
        <f aca="false">H179</f>
        <v>3</v>
      </c>
      <c r="J179" s="124" t="n">
        <f aca="false">VLOOKUP($A179,Table,MATCH(J$4,Curves,0))</f>
        <v>4</v>
      </c>
      <c r="K179" s="125" t="n">
        <f aca="false">J179+$K$7</f>
        <v>4</v>
      </c>
      <c r="L179" s="126" t="n">
        <f aca="false">K179</f>
        <v>4</v>
      </c>
      <c r="M179" s="124" t="n">
        <f aca="false">VLOOKUP($A179,Table,MATCH(M$4,Curves,0))</f>
        <v>4</v>
      </c>
      <c r="N179" s="125" t="n">
        <f aca="false">M179+$N$7</f>
        <v>4</v>
      </c>
      <c r="O179" s="126" t="n">
        <v>0.12</v>
      </c>
      <c r="P179" s="114"/>
      <c r="Q179" s="126" t="n">
        <f aca="false">M179+J179+G179</f>
        <v>11</v>
      </c>
      <c r="R179" s="126" t="n">
        <f aca="false">N179+K179+H179</f>
        <v>11</v>
      </c>
      <c r="S179" s="126" t="n">
        <f aca="false">O179+L179+I179</f>
        <v>7.12</v>
      </c>
      <c r="T179" s="127"/>
      <c r="U179" s="5" t="n">
        <f aca="false">A180-A179</f>
        <v>31</v>
      </c>
      <c r="V179" s="128" t="n">
        <f aca="false">CHOOSE(F$3,A180+24,A179)</f>
        <v>42430</v>
      </c>
      <c r="W179" s="5" t="n">
        <f aca="false">V179-C$3</f>
        <v>5199</v>
      </c>
      <c r="X179" s="124" t="n">
        <f aca="false">VLOOKUP($A179,Table,MATCH(X$4,Curves,0))</f>
        <v>2</v>
      </c>
      <c r="Y179" s="129" t="n">
        <f aca="false">1/(1+CHOOSE(F$3,(X180+($K$3/10000))/2,(X179+($K$3/10000))/2))^(2*W179/365.25)</f>
        <v>2.6929367952845E-009</v>
      </c>
      <c r="Z179" s="5" t="n">
        <f aca="false">IF(AND(mthbeg&lt;=A179,mthend&gt;=A179),1,0)</f>
        <v>0</v>
      </c>
      <c r="AA179" s="5" t="n">
        <f aca="false">U179*Z179</f>
        <v>0</v>
      </c>
      <c r="AC179" s="115" t="n">
        <f aca="false">IF(G172=2,F179*(S179-Q179),F179*(Q179-S179))</f>
        <v>0</v>
      </c>
      <c r="AE179" s="116" t="n">
        <f aca="false">IF($G$3=1,F179*(R179-Q179),F179*(Q179-R179))</f>
        <v>0</v>
      </c>
      <c r="AG179" s="116" t="n">
        <f aca="false">AC179+AE179</f>
        <v>0</v>
      </c>
    </row>
    <row r="180" customFormat="false" ht="12" hidden="false" customHeight="true" outlineLevel="0" collapsed="false">
      <c r="A180" s="120" t="n">
        <f aca="false">EDATE(A179,1)</f>
        <v>42461</v>
      </c>
      <c r="B180" s="121" t="e">
        <f aca="false">VLOOKUP(A180,'Inputs-Summary'!$A$32:$E$41,3,FALSE())</f>
        <v>#N/A</v>
      </c>
      <c r="C180" s="122"/>
      <c r="D180" s="123" t="e">
        <f aca="false">B180+C180</f>
        <v>#N/A</v>
      </c>
      <c r="E180" s="111" t="n">
        <f aca="false">IF(Z180=0,0,IF(AND(Z180=1,$H$3=1),D180*U180,IF($H$3=2,D180,"N/A")))</f>
        <v>0</v>
      </c>
      <c r="F180" s="111" t="n">
        <f aca="false">E180*Y180</f>
        <v>0</v>
      </c>
      <c r="G180" s="124" t="n">
        <f aca="false">VLOOKUP($A180,Table,MATCH(G$4,Curves,0))</f>
        <v>3</v>
      </c>
      <c r="H180" s="125" t="n">
        <f aca="false">G180+$H$7</f>
        <v>3</v>
      </c>
      <c r="I180" s="124" t="n">
        <f aca="false">H180</f>
        <v>3</v>
      </c>
      <c r="J180" s="124" t="n">
        <f aca="false">VLOOKUP($A180,Table,MATCH(J$4,Curves,0))</f>
        <v>4</v>
      </c>
      <c r="K180" s="125" t="n">
        <f aca="false">J180+$K$7</f>
        <v>4</v>
      </c>
      <c r="L180" s="126" t="n">
        <f aca="false">K180</f>
        <v>4</v>
      </c>
      <c r="M180" s="124" t="n">
        <f aca="false">VLOOKUP($A180,Table,MATCH(M$4,Curves,0))</f>
        <v>4</v>
      </c>
      <c r="N180" s="125" t="n">
        <f aca="false">M180+$N$7</f>
        <v>4</v>
      </c>
      <c r="O180" s="126" t="n">
        <v>0.12</v>
      </c>
      <c r="P180" s="114"/>
      <c r="Q180" s="126" t="n">
        <f aca="false">M180+J180+G180</f>
        <v>11</v>
      </c>
      <c r="R180" s="126" t="n">
        <f aca="false">N180+K180+H180</f>
        <v>11</v>
      </c>
      <c r="S180" s="126" t="n">
        <f aca="false">O180+L180+I180</f>
        <v>7.12</v>
      </c>
      <c r="T180" s="127"/>
      <c r="U180" s="5" t="n">
        <f aca="false">A181-A180</f>
        <v>30</v>
      </c>
      <c r="V180" s="128" t="n">
        <f aca="false">CHOOSE(F$3,A181+24,A180)</f>
        <v>42461</v>
      </c>
      <c r="W180" s="5" t="n">
        <f aca="false">V180-C$3</f>
        <v>5230</v>
      </c>
      <c r="X180" s="124" t="n">
        <f aca="false">VLOOKUP($A180,Table,MATCH(X$4,Curves,0))</f>
        <v>2</v>
      </c>
      <c r="Y180" s="129" t="n">
        <f aca="false">1/(1+CHOOSE(F$3,(X181+($K$3/10000))/2,(X180+($K$3/10000))/2))^(2*W180/365.25)</f>
        <v>2.39401737110599E-009</v>
      </c>
      <c r="Z180" s="5" t="n">
        <f aca="false">IF(AND(mthbeg&lt;=A180,mthend&gt;=A180),1,0)</f>
        <v>0</v>
      </c>
      <c r="AA180" s="5" t="n">
        <f aca="false">U180*Z180</f>
        <v>0</v>
      </c>
      <c r="AC180" s="115" t="n">
        <f aca="false">IF(G173=2,F180*(S180-Q180),F180*(Q180-S180))</f>
        <v>0</v>
      </c>
      <c r="AE180" s="116" t="n">
        <f aca="false">IF($G$3=1,F180*(R180-Q180),F180*(Q180-R180))</f>
        <v>0</v>
      </c>
      <c r="AG180" s="116" t="n">
        <f aca="false">AC180+AE180</f>
        <v>0</v>
      </c>
    </row>
    <row r="181" customFormat="false" ht="12" hidden="false" customHeight="true" outlineLevel="0" collapsed="false">
      <c r="A181" s="120" t="n">
        <f aca="false">EDATE(A180,1)</f>
        <v>42491</v>
      </c>
      <c r="B181" s="121" t="e">
        <f aca="false">VLOOKUP(A181,'Inputs-Summary'!$A$32:$E$41,3,FALSE())</f>
        <v>#N/A</v>
      </c>
      <c r="C181" s="122"/>
      <c r="D181" s="123" t="e">
        <f aca="false">B181+C181</f>
        <v>#N/A</v>
      </c>
      <c r="E181" s="111" t="n">
        <f aca="false">IF(Z181=0,0,IF(AND(Z181=1,$H$3=1),D181*U181,IF($H$3=2,D181,"N/A")))</f>
        <v>0</v>
      </c>
      <c r="F181" s="111" t="n">
        <f aca="false">E181*Y181</f>
        <v>0</v>
      </c>
      <c r="G181" s="124" t="n">
        <f aca="false">VLOOKUP($A181,Table,MATCH(G$4,Curves,0))</f>
        <v>3</v>
      </c>
      <c r="H181" s="125" t="n">
        <f aca="false">G181+$H$7</f>
        <v>3</v>
      </c>
      <c r="I181" s="124" t="n">
        <f aca="false">H181</f>
        <v>3</v>
      </c>
      <c r="J181" s="124" t="n">
        <f aca="false">VLOOKUP($A181,Table,MATCH(J$4,Curves,0))</f>
        <v>4</v>
      </c>
      <c r="K181" s="125" t="n">
        <f aca="false">J181+$K$7</f>
        <v>4</v>
      </c>
      <c r="L181" s="126" t="n">
        <f aca="false">K181</f>
        <v>4</v>
      </c>
      <c r="M181" s="124" t="n">
        <f aca="false">VLOOKUP($A181,Table,MATCH(M$4,Curves,0))</f>
        <v>4</v>
      </c>
      <c r="N181" s="125" t="n">
        <f aca="false">M181+$N$7</f>
        <v>4</v>
      </c>
      <c r="O181" s="126" t="n">
        <v>0.12</v>
      </c>
      <c r="P181" s="114"/>
      <c r="Q181" s="126" t="n">
        <f aca="false">M181+J181+G181</f>
        <v>11</v>
      </c>
      <c r="R181" s="126" t="n">
        <f aca="false">N181+K181+H181</f>
        <v>11</v>
      </c>
      <c r="S181" s="126" t="n">
        <f aca="false">O181+L181+I181</f>
        <v>7.12</v>
      </c>
      <c r="T181" s="127"/>
      <c r="U181" s="5" t="n">
        <f aca="false">A182-A181</f>
        <v>31</v>
      </c>
      <c r="V181" s="128" t="n">
        <f aca="false">CHOOSE(F$3,A182+24,A181)</f>
        <v>42491</v>
      </c>
      <c r="W181" s="5" t="n">
        <f aca="false">V181-C$3</f>
        <v>5260</v>
      </c>
      <c r="X181" s="124" t="n">
        <f aca="false">VLOOKUP($A181,Table,MATCH(X$4,Curves,0))</f>
        <v>2</v>
      </c>
      <c r="Y181" s="129" t="n">
        <f aca="false">1/(1+CHOOSE(F$3,(X182+($K$3/10000))/2,(X181+($K$3/10000))/2))^(2*W181/365.25)</f>
        <v>2.13637154439559E-009</v>
      </c>
      <c r="Z181" s="5" t="n">
        <f aca="false">IF(AND(mthbeg&lt;=A181,mthend&gt;=A181),1,0)</f>
        <v>0</v>
      </c>
      <c r="AA181" s="5" t="n">
        <f aca="false">U181*Z181</f>
        <v>0</v>
      </c>
      <c r="AC181" s="115" t="n">
        <f aca="false">IF(G174=2,F181*(S181-Q181),F181*(Q181-S181))</f>
        <v>0</v>
      </c>
      <c r="AE181" s="116" t="n">
        <f aca="false">IF($G$3=1,F181*(R181-Q181),F181*(Q181-R181))</f>
        <v>0</v>
      </c>
      <c r="AG181" s="116" t="n">
        <f aca="false">AC181+AE181</f>
        <v>0</v>
      </c>
    </row>
    <row r="182" customFormat="false" ht="12" hidden="false" customHeight="true" outlineLevel="0" collapsed="false">
      <c r="A182" s="120" t="n">
        <f aca="false">EDATE(A181,1)</f>
        <v>42522</v>
      </c>
      <c r="B182" s="121" t="e">
        <f aca="false">VLOOKUP(A182,'Inputs-Summary'!$A$32:$E$41,3,FALSE())</f>
        <v>#N/A</v>
      </c>
      <c r="C182" s="122"/>
      <c r="D182" s="123" t="e">
        <f aca="false">B182+C182</f>
        <v>#N/A</v>
      </c>
      <c r="E182" s="111" t="n">
        <f aca="false">IF(Z182=0,0,IF(AND(Z182=1,$H$3=1),D182*U182,IF($H$3=2,D182,"N/A")))</f>
        <v>0</v>
      </c>
      <c r="F182" s="111" t="n">
        <f aca="false">E182*Y182</f>
        <v>0</v>
      </c>
      <c r="G182" s="124" t="n">
        <f aca="false">VLOOKUP($A182,Table,MATCH(G$4,Curves,0))</f>
        <v>3</v>
      </c>
      <c r="H182" s="125" t="n">
        <f aca="false">G182+$H$7</f>
        <v>3</v>
      </c>
      <c r="I182" s="124" t="n">
        <f aca="false">H182</f>
        <v>3</v>
      </c>
      <c r="J182" s="124" t="n">
        <f aca="false">VLOOKUP($A182,Table,MATCH(J$4,Curves,0))</f>
        <v>4</v>
      </c>
      <c r="K182" s="125" t="n">
        <f aca="false">J182+$K$7</f>
        <v>4</v>
      </c>
      <c r="L182" s="126" t="n">
        <f aca="false">K182</f>
        <v>4</v>
      </c>
      <c r="M182" s="124" t="n">
        <f aca="false">VLOOKUP($A182,Table,MATCH(M$4,Curves,0))</f>
        <v>4</v>
      </c>
      <c r="N182" s="125" t="n">
        <f aca="false">M182+$N$7</f>
        <v>4</v>
      </c>
      <c r="O182" s="126" t="n">
        <v>0.12</v>
      </c>
      <c r="P182" s="114"/>
      <c r="Q182" s="126" t="n">
        <f aca="false">M182+J182+G182</f>
        <v>11</v>
      </c>
      <c r="R182" s="126" t="n">
        <f aca="false">N182+K182+H182</f>
        <v>11</v>
      </c>
      <c r="S182" s="126" t="n">
        <f aca="false">O182+L182+I182</f>
        <v>7.12</v>
      </c>
      <c r="T182" s="127"/>
      <c r="U182" s="5" t="n">
        <f aca="false">A183-A182</f>
        <v>30</v>
      </c>
      <c r="V182" s="128" t="n">
        <f aca="false">CHOOSE(F$3,A183+24,A182)</f>
        <v>42522</v>
      </c>
      <c r="W182" s="5" t="n">
        <f aca="false">V182-C$3</f>
        <v>5291</v>
      </c>
      <c r="X182" s="124" t="n">
        <f aca="false">VLOOKUP($A182,Table,MATCH(X$4,Curves,0))</f>
        <v>2</v>
      </c>
      <c r="Y182" s="129" t="n">
        <f aca="false">1/(1+CHOOSE(F$3,(X183+($K$3/10000))/2,(X182+($K$3/10000))/2))^(2*W182/365.25)</f>
        <v>1.89923157401073E-009</v>
      </c>
      <c r="Z182" s="5" t="n">
        <f aca="false">IF(AND(mthbeg&lt;=A182,mthend&gt;=A182),1,0)</f>
        <v>0</v>
      </c>
      <c r="AA182" s="5" t="n">
        <f aca="false">U182*Z182</f>
        <v>0</v>
      </c>
      <c r="AC182" s="115" t="n">
        <f aca="false">IF(G175=2,F182*(S182-Q182),F182*(Q182-S182))</f>
        <v>0</v>
      </c>
      <c r="AE182" s="116" t="n">
        <f aca="false">IF($G$3=1,F182*(R182-Q182),F182*(Q182-R182))</f>
        <v>0</v>
      </c>
      <c r="AG182" s="116" t="n">
        <f aca="false">AC182+AE182</f>
        <v>0</v>
      </c>
    </row>
    <row r="183" customFormat="false" ht="12" hidden="false" customHeight="true" outlineLevel="0" collapsed="false">
      <c r="A183" s="120" t="n">
        <f aca="false">EDATE(A182,1)</f>
        <v>42552</v>
      </c>
      <c r="B183" s="121" t="e">
        <f aca="false">VLOOKUP(A183,'Inputs-Summary'!$A$32:$E$41,3,FALSE())</f>
        <v>#N/A</v>
      </c>
      <c r="C183" s="122"/>
      <c r="D183" s="123" t="e">
        <f aca="false">B183+C183</f>
        <v>#N/A</v>
      </c>
      <c r="E183" s="111" t="n">
        <f aca="false">IF(Z183=0,0,IF(AND(Z183=1,$H$3=1),D183*U183,IF($H$3=2,D183,"N/A")))</f>
        <v>0</v>
      </c>
      <c r="F183" s="111" t="n">
        <f aca="false">E183*Y183</f>
        <v>0</v>
      </c>
      <c r="G183" s="124" t="n">
        <f aca="false">VLOOKUP($A183,Table,MATCH(G$4,Curves,0))</f>
        <v>3</v>
      </c>
      <c r="H183" s="125" t="n">
        <f aca="false">G183+$H$7</f>
        <v>3</v>
      </c>
      <c r="I183" s="124" t="n">
        <f aca="false">H183</f>
        <v>3</v>
      </c>
      <c r="J183" s="124" t="n">
        <f aca="false">VLOOKUP($A183,Table,MATCH(J$4,Curves,0))</f>
        <v>4</v>
      </c>
      <c r="K183" s="125" t="n">
        <f aca="false">J183+$K$7</f>
        <v>4</v>
      </c>
      <c r="L183" s="126" t="n">
        <f aca="false">K183</f>
        <v>4</v>
      </c>
      <c r="M183" s="124" t="n">
        <f aca="false">VLOOKUP($A183,Table,MATCH(M$4,Curves,0))</f>
        <v>4</v>
      </c>
      <c r="N183" s="125" t="n">
        <f aca="false">M183+$N$7</f>
        <v>4</v>
      </c>
      <c r="O183" s="126" t="n">
        <v>0.12</v>
      </c>
      <c r="P183" s="114"/>
      <c r="Q183" s="126" t="n">
        <f aca="false">M183+J183+G183</f>
        <v>11</v>
      </c>
      <c r="R183" s="126" t="n">
        <f aca="false">N183+K183+H183</f>
        <v>11</v>
      </c>
      <c r="S183" s="126" t="n">
        <f aca="false">O183+L183+I183</f>
        <v>7.12</v>
      </c>
      <c r="T183" s="127"/>
      <c r="U183" s="5" t="n">
        <f aca="false">A184-A183</f>
        <v>31</v>
      </c>
      <c r="V183" s="128" t="n">
        <f aca="false">CHOOSE(F$3,A184+24,A183)</f>
        <v>42552</v>
      </c>
      <c r="W183" s="5" t="n">
        <f aca="false">V183-C$3</f>
        <v>5321</v>
      </c>
      <c r="X183" s="124" t="n">
        <f aca="false">VLOOKUP($A183,Table,MATCH(X$4,Curves,0))</f>
        <v>2</v>
      </c>
      <c r="Y183" s="129" t="n">
        <f aca="false">1/(1+CHOOSE(F$3,(X184+($K$3/10000))/2,(X183+($K$3/10000))/2))^(2*W183/365.25)</f>
        <v>1.69483494142722E-009</v>
      </c>
      <c r="Z183" s="5" t="n">
        <f aca="false">IF(AND(mthbeg&lt;=A183,mthend&gt;=A183),1,0)</f>
        <v>0</v>
      </c>
      <c r="AA183" s="5" t="n">
        <f aca="false">U183*Z183</f>
        <v>0</v>
      </c>
      <c r="AC183" s="115" t="n">
        <f aca="false">IF(G176=2,F183*(S183-Q183),F183*(Q183-S183))</f>
        <v>0</v>
      </c>
      <c r="AE183" s="116" t="n">
        <f aca="false">IF($G$3=1,F183*(R183-Q183),F183*(Q183-R183))</f>
        <v>0</v>
      </c>
      <c r="AG183" s="116" t="n">
        <f aca="false">AC183+AE183</f>
        <v>0</v>
      </c>
    </row>
    <row r="184" customFormat="false" ht="12" hidden="false" customHeight="true" outlineLevel="0" collapsed="false">
      <c r="A184" s="120" t="n">
        <f aca="false">EDATE(A183,1)</f>
        <v>42583</v>
      </c>
      <c r="B184" s="121" t="e">
        <f aca="false">VLOOKUP(A184,'Inputs-Summary'!$A$32:$E$41,3,FALSE())</f>
        <v>#N/A</v>
      </c>
      <c r="C184" s="122"/>
      <c r="D184" s="123" t="e">
        <f aca="false">B184+C184</f>
        <v>#N/A</v>
      </c>
      <c r="E184" s="111" t="n">
        <f aca="false">IF(Z184=0,0,IF(AND(Z184=1,$H$3=1),D184*U184,IF($H$3=2,D184,"N/A")))</f>
        <v>0</v>
      </c>
      <c r="F184" s="111" t="n">
        <f aca="false">E184*Y184</f>
        <v>0</v>
      </c>
      <c r="G184" s="124" t="n">
        <f aca="false">VLOOKUP($A184,Table,MATCH(G$4,Curves,0))</f>
        <v>3</v>
      </c>
      <c r="H184" s="125" t="n">
        <f aca="false">G184+$H$7</f>
        <v>3</v>
      </c>
      <c r="I184" s="124" t="n">
        <f aca="false">H184</f>
        <v>3</v>
      </c>
      <c r="J184" s="124" t="n">
        <f aca="false">VLOOKUP($A184,Table,MATCH(J$4,Curves,0))</f>
        <v>4</v>
      </c>
      <c r="K184" s="125" t="n">
        <f aca="false">J184+$K$7</f>
        <v>4</v>
      </c>
      <c r="L184" s="126" t="n">
        <f aca="false">K184</f>
        <v>4</v>
      </c>
      <c r="M184" s="124" t="n">
        <f aca="false">VLOOKUP($A184,Table,MATCH(M$4,Curves,0))</f>
        <v>4</v>
      </c>
      <c r="N184" s="125" t="n">
        <f aca="false">M184+$N$7</f>
        <v>4</v>
      </c>
      <c r="O184" s="126" t="n">
        <v>0.12</v>
      </c>
      <c r="P184" s="114"/>
      <c r="Q184" s="126" t="n">
        <f aca="false">M184+J184+G184</f>
        <v>11</v>
      </c>
      <c r="R184" s="126" t="n">
        <f aca="false">N184+K184+H184</f>
        <v>11</v>
      </c>
      <c r="S184" s="126" t="n">
        <f aca="false">O184+L184+I184</f>
        <v>7.12</v>
      </c>
      <c r="T184" s="127"/>
      <c r="U184" s="5" t="n">
        <f aca="false">A185-A184</f>
        <v>31</v>
      </c>
      <c r="V184" s="128" t="n">
        <f aca="false">CHOOSE(F$3,A185+24,A184)</f>
        <v>42583</v>
      </c>
      <c r="W184" s="5" t="n">
        <f aca="false">V184-C$3</f>
        <v>5352</v>
      </c>
      <c r="X184" s="124" t="n">
        <f aca="false">VLOOKUP($A184,Table,MATCH(X$4,Curves,0))</f>
        <v>2</v>
      </c>
      <c r="Y184" s="129" t="n">
        <f aca="false">1/(1+CHOOSE(F$3,(X185+($K$3/10000))/2,(X184+($K$3/10000))/2))^(2*W184/365.25)</f>
        <v>1.5067060979816E-009</v>
      </c>
      <c r="Z184" s="5" t="n">
        <f aca="false">IF(AND(mthbeg&lt;=A184,mthend&gt;=A184),1,0)</f>
        <v>0</v>
      </c>
      <c r="AA184" s="5" t="n">
        <f aca="false">U184*Z184</f>
        <v>0</v>
      </c>
      <c r="AC184" s="115" t="n">
        <f aca="false">IF(G177=2,F184*(S184-Q184),F184*(Q184-S184))</f>
        <v>0</v>
      </c>
      <c r="AE184" s="116" t="n">
        <f aca="false">IF($G$3=1,F184*(R184-Q184),F184*(Q184-R184))</f>
        <v>0</v>
      </c>
      <c r="AG184" s="116" t="n">
        <f aca="false">AC184+AE184</f>
        <v>0</v>
      </c>
    </row>
    <row r="185" customFormat="false" ht="12" hidden="false" customHeight="true" outlineLevel="0" collapsed="false">
      <c r="A185" s="120" t="n">
        <f aca="false">EDATE(A184,1)</f>
        <v>42614</v>
      </c>
      <c r="B185" s="121" t="e">
        <f aca="false">VLOOKUP(A185,'Inputs-Summary'!$A$32:$E$41,3,FALSE())</f>
        <v>#N/A</v>
      </c>
      <c r="C185" s="122"/>
      <c r="D185" s="123" t="e">
        <f aca="false">B185+C185</f>
        <v>#N/A</v>
      </c>
      <c r="E185" s="111" t="n">
        <f aca="false">IF(Z185=0,0,IF(AND(Z185=1,$H$3=1),D185*U185,IF($H$3=2,D185,"N/A")))</f>
        <v>0</v>
      </c>
      <c r="F185" s="111" t="n">
        <f aca="false">E185*Y185</f>
        <v>0</v>
      </c>
      <c r="G185" s="124" t="n">
        <f aca="false">VLOOKUP($A185,Table,MATCH(G$4,Curves,0))</f>
        <v>3</v>
      </c>
      <c r="H185" s="125" t="n">
        <f aca="false">G185+$H$7</f>
        <v>3</v>
      </c>
      <c r="I185" s="124" t="n">
        <f aca="false">H185</f>
        <v>3</v>
      </c>
      <c r="J185" s="124" t="n">
        <f aca="false">VLOOKUP($A185,Table,MATCH(J$4,Curves,0))</f>
        <v>4</v>
      </c>
      <c r="K185" s="125" t="n">
        <f aca="false">J185+$K$7</f>
        <v>4</v>
      </c>
      <c r="L185" s="126" t="n">
        <f aca="false">K185</f>
        <v>4</v>
      </c>
      <c r="M185" s="124" t="n">
        <f aca="false">VLOOKUP($A185,Table,MATCH(M$4,Curves,0))</f>
        <v>4</v>
      </c>
      <c r="N185" s="125" t="n">
        <f aca="false">M185+$N$7</f>
        <v>4</v>
      </c>
      <c r="O185" s="126" t="n">
        <v>0.12</v>
      </c>
      <c r="P185" s="114"/>
      <c r="Q185" s="126" t="n">
        <f aca="false">M185+J185+G185</f>
        <v>11</v>
      </c>
      <c r="R185" s="126" t="n">
        <f aca="false">N185+K185+H185</f>
        <v>11</v>
      </c>
      <c r="S185" s="126" t="n">
        <f aca="false">O185+L185+I185</f>
        <v>7.12</v>
      </c>
      <c r="T185" s="127"/>
      <c r="U185" s="5" t="n">
        <f aca="false">A186-A185</f>
        <v>30</v>
      </c>
      <c r="V185" s="128" t="n">
        <f aca="false">CHOOSE(F$3,A186+24,A185)</f>
        <v>42614</v>
      </c>
      <c r="W185" s="5" t="n">
        <f aca="false">V185-C$3</f>
        <v>5383</v>
      </c>
      <c r="X185" s="124" t="n">
        <f aca="false">VLOOKUP($A185,Table,MATCH(X$4,Curves,0))</f>
        <v>2</v>
      </c>
      <c r="Y185" s="129" t="n">
        <f aca="false">1/(1+CHOOSE(F$3,(X186+($K$3/10000))/2,(X185+($K$3/10000))/2))^(2*W185/365.25)</f>
        <v>1.33945979647034E-009</v>
      </c>
      <c r="Z185" s="5" t="n">
        <f aca="false">IF(AND(mthbeg&lt;=A185,mthend&gt;=A185),1,0)</f>
        <v>0</v>
      </c>
      <c r="AA185" s="5" t="n">
        <f aca="false">U185*Z185</f>
        <v>0</v>
      </c>
      <c r="AC185" s="115" t="n">
        <f aca="false">IF(G178=2,F185*(S185-Q185),F185*(Q185-S185))</f>
        <v>0</v>
      </c>
      <c r="AE185" s="116" t="n">
        <f aca="false">IF($G$3=1,F185*(R185-Q185),F185*(Q185-R185))</f>
        <v>0</v>
      </c>
      <c r="AG185" s="116" t="n">
        <f aca="false">AC185+AE185</f>
        <v>0</v>
      </c>
    </row>
    <row r="186" customFormat="false" ht="12" hidden="false" customHeight="true" outlineLevel="0" collapsed="false">
      <c r="A186" s="120" t="n">
        <f aca="false">EDATE(A185,1)</f>
        <v>42644</v>
      </c>
      <c r="B186" s="121" t="e">
        <f aca="false">VLOOKUP(A186,'Inputs-Summary'!$A$32:$E$41,3,FALSE())</f>
        <v>#N/A</v>
      </c>
      <c r="C186" s="122"/>
      <c r="D186" s="123" t="e">
        <f aca="false">B186+C186</f>
        <v>#N/A</v>
      </c>
      <c r="E186" s="111" t="n">
        <f aca="false">IF(Z186=0,0,IF(AND(Z186=1,$H$3=1),D186*U186,IF($H$3=2,D186,"N/A")))</f>
        <v>0</v>
      </c>
      <c r="F186" s="111" t="n">
        <f aca="false">E186*Y186</f>
        <v>0</v>
      </c>
      <c r="G186" s="124" t="n">
        <f aca="false">VLOOKUP($A186,Table,MATCH(G$4,Curves,0))</f>
        <v>3</v>
      </c>
      <c r="H186" s="125" t="n">
        <f aca="false">G186+$H$7</f>
        <v>3</v>
      </c>
      <c r="I186" s="124" t="n">
        <f aca="false">H186</f>
        <v>3</v>
      </c>
      <c r="J186" s="124" t="n">
        <f aca="false">VLOOKUP($A186,Table,MATCH(J$4,Curves,0))</f>
        <v>4</v>
      </c>
      <c r="K186" s="125" t="n">
        <f aca="false">J186+$K$7</f>
        <v>4</v>
      </c>
      <c r="L186" s="126" t="n">
        <f aca="false">K186</f>
        <v>4</v>
      </c>
      <c r="M186" s="124" t="n">
        <f aca="false">VLOOKUP($A186,Table,MATCH(M$4,Curves,0))</f>
        <v>4</v>
      </c>
      <c r="N186" s="125" t="n">
        <f aca="false">M186+$N$7</f>
        <v>4</v>
      </c>
      <c r="O186" s="126" t="n">
        <v>0.12</v>
      </c>
      <c r="P186" s="114"/>
      <c r="Q186" s="126" t="n">
        <f aca="false">M186+J186+G186</f>
        <v>11</v>
      </c>
      <c r="R186" s="126" t="n">
        <f aca="false">N186+K186+H186</f>
        <v>11</v>
      </c>
      <c r="S186" s="126" t="n">
        <f aca="false">O186+L186+I186</f>
        <v>7.12</v>
      </c>
      <c r="T186" s="127"/>
      <c r="U186" s="5" t="n">
        <f aca="false">A187-A186</f>
        <v>31</v>
      </c>
      <c r="V186" s="128" t="n">
        <f aca="false">CHOOSE(F$3,A187+24,A186)</f>
        <v>42644</v>
      </c>
      <c r="W186" s="5" t="n">
        <f aca="false">V186-C$3</f>
        <v>5413</v>
      </c>
      <c r="X186" s="124" t="n">
        <f aca="false">VLOOKUP($A186,Table,MATCH(X$4,Curves,0))</f>
        <v>2</v>
      </c>
      <c r="Y186" s="129" t="n">
        <f aca="false">1/(1+CHOOSE(F$3,(X187+($K$3/10000))/2,(X186+($K$3/10000))/2))^(2*W186/365.25)</f>
        <v>1.19530619475796E-009</v>
      </c>
      <c r="Z186" s="5" t="n">
        <f aca="false">IF(AND(mthbeg&lt;=A186,mthend&gt;=A186),1,0)</f>
        <v>0</v>
      </c>
      <c r="AA186" s="5" t="n">
        <f aca="false">U186*Z186</f>
        <v>0</v>
      </c>
      <c r="AC186" s="115" t="n">
        <f aca="false">IF(G179=2,F186*(S186-Q186),F186*(Q186-S186))</f>
        <v>0</v>
      </c>
      <c r="AE186" s="116" t="n">
        <f aca="false">IF($G$3=1,F186*(R186-Q186),F186*(Q186-R186))</f>
        <v>0</v>
      </c>
      <c r="AG186" s="116" t="n">
        <f aca="false">AC186+AE186</f>
        <v>0</v>
      </c>
    </row>
    <row r="187" customFormat="false" ht="12" hidden="false" customHeight="true" outlineLevel="0" collapsed="false">
      <c r="A187" s="120" t="n">
        <f aca="false">EDATE(A186,1)</f>
        <v>42675</v>
      </c>
      <c r="B187" s="121" t="e">
        <f aca="false">VLOOKUP(A187,'Inputs-Summary'!$A$32:$E$41,3,FALSE())</f>
        <v>#N/A</v>
      </c>
      <c r="C187" s="122"/>
      <c r="D187" s="123" t="e">
        <f aca="false">B187+C187</f>
        <v>#N/A</v>
      </c>
      <c r="E187" s="111" t="n">
        <f aca="false">IF(Z187=0,0,IF(AND(Z187=1,$H$3=1),D187*U187,IF($H$3=2,D187,"N/A")))</f>
        <v>0</v>
      </c>
      <c r="F187" s="111" t="n">
        <f aca="false">E187*Y187</f>
        <v>0</v>
      </c>
      <c r="G187" s="124" t="n">
        <f aca="false">VLOOKUP($A187,Table,MATCH(G$4,Curves,0))</f>
        <v>3</v>
      </c>
      <c r="H187" s="125" t="n">
        <f aca="false">G187+$H$7</f>
        <v>3</v>
      </c>
      <c r="I187" s="124" t="n">
        <f aca="false">H187</f>
        <v>3</v>
      </c>
      <c r="J187" s="124" t="n">
        <f aca="false">VLOOKUP($A187,Table,MATCH(J$4,Curves,0))</f>
        <v>4</v>
      </c>
      <c r="K187" s="125" t="n">
        <f aca="false">J187+$K$7</f>
        <v>4</v>
      </c>
      <c r="L187" s="126" t="n">
        <f aca="false">K187</f>
        <v>4</v>
      </c>
      <c r="M187" s="124" t="n">
        <f aca="false">VLOOKUP($A187,Table,MATCH(M$4,Curves,0))</f>
        <v>4</v>
      </c>
      <c r="N187" s="125" t="n">
        <f aca="false">M187+$N$7</f>
        <v>4</v>
      </c>
      <c r="O187" s="126" t="n">
        <v>0.12</v>
      </c>
      <c r="P187" s="114"/>
      <c r="Q187" s="126" t="n">
        <f aca="false">M187+J187+G187</f>
        <v>11</v>
      </c>
      <c r="R187" s="126" t="n">
        <f aca="false">N187+K187+H187</f>
        <v>11</v>
      </c>
      <c r="S187" s="126" t="n">
        <f aca="false">O187+L187+I187</f>
        <v>7.12</v>
      </c>
      <c r="T187" s="127"/>
      <c r="U187" s="5" t="n">
        <f aca="false">A188-A187</f>
        <v>30</v>
      </c>
      <c r="V187" s="128" t="n">
        <f aca="false">CHOOSE(F$3,A188+24,A187)</f>
        <v>42675</v>
      </c>
      <c r="W187" s="5" t="n">
        <f aca="false">V187-C$3</f>
        <v>5444</v>
      </c>
      <c r="X187" s="124" t="n">
        <f aca="false">VLOOKUP($A187,Table,MATCH(X$4,Curves,0))</f>
        <v>2</v>
      </c>
      <c r="Y187" s="129" t="n">
        <f aca="false">1/(1+CHOOSE(F$3,(X188+($K$3/10000))/2,(X187+($K$3/10000))/2))^(2*W187/365.25)</f>
        <v>1.06262568028034E-009</v>
      </c>
      <c r="Z187" s="5" t="n">
        <f aca="false">IF(AND(mthbeg&lt;=A187,mthend&gt;=A187),1,0)</f>
        <v>0</v>
      </c>
      <c r="AA187" s="5" t="n">
        <f aca="false">U187*Z187</f>
        <v>0</v>
      </c>
      <c r="AC187" s="115" t="n">
        <f aca="false">IF(G180=2,F187*(S187-Q187),F187*(Q187-S187))</f>
        <v>0</v>
      </c>
      <c r="AE187" s="116" t="n">
        <f aca="false">IF($G$3=1,F187*(R187-Q187),F187*(Q187-R187))</f>
        <v>0</v>
      </c>
      <c r="AG187" s="116" t="n">
        <f aca="false">AC187+AE187</f>
        <v>0</v>
      </c>
    </row>
    <row r="188" customFormat="false" ht="12" hidden="false" customHeight="true" outlineLevel="0" collapsed="false">
      <c r="A188" s="120" t="n">
        <f aca="false">EDATE(A187,1)</f>
        <v>42705</v>
      </c>
      <c r="B188" s="121" t="e">
        <f aca="false">VLOOKUP(A188,'Inputs-Summary'!$A$32:$E$41,3,FALSE())</f>
        <v>#N/A</v>
      </c>
      <c r="C188" s="122"/>
      <c r="D188" s="123" t="e">
        <f aca="false">B188+C188</f>
        <v>#N/A</v>
      </c>
      <c r="E188" s="111" t="n">
        <f aca="false">IF(Z188=0,0,IF(AND(Z188=1,$H$3=1),D188*U188,IF($H$3=2,D188,"N/A")))</f>
        <v>0</v>
      </c>
      <c r="F188" s="111" t="n">
        <f aca="false">E188*Y188</f>
        <v>0</v>
      </c>
      <c r="G188" s="124" t="n">
        <f aca="false">VLOOKUP($A188,Table,MATCH(G$4,Curves,0))</f>
        <v>3</v>
      </c>
      <c r="H188" s="125" t="n">
        <f aca="false">G188+$H$7</f>
        <v>3</v>
      </c>
      <c r="I188" s="124" t="n">
        <f aca="false">H188</f>
        <v>3</v>
      </c>
      <c r="J188" s="124" t="n">
        <f aca="false">VLOOKUP($A188,Table,MATCH(J$4,Curves,0))</f>
        <v>4</v>
      </c>
      <c r="K188" s="125" t="n">
        <f aca="false">J188+$K$7</f>
        <v>4</v>
      </c>
      <c r="L188" s="126" t="n">
        <f aca="false">K188</f>
        <v>4</v>
      </c>
      <c r="M188" s="124" t="n">
        <f aca="false">VLOOKUP($A188,Table,MATCH(M$4,Curves,0))</f>
        <v>4</v>
      </c>
      <c r="N188" s="125" t="n">
        <f aca="false">M188+$N$7</f>
        <v>4</v>
      </c>
      <c r="O188" s="126" t="n">
        <v>0.12</v>
      </c>
      <c r="P188" s="114"/>
      <c r="Q188" s="126" t="n">
        <f aca="false">M188+J188+G188</f>
        <v>11</v>
      </c>
      <c r="R188" s="126" t="n">
        <f aca="false">N188+K188+H188</f>
        <v>11</v>
      </c>
      <c r="S188" s="126" t="n">
        <f aca="false">O188+L188+I188</f>
        <v>7.12</v>
      </c>
      <c r="T188" s="127"/>
      <c r="U188" s="5" t="n">
        <f aca="false">A189-A188</f>
        <v>31</v>
      </c>
      <c r="V188" s="128" t="n">
        <f aca="false">CHOOSE(F$3,A189+24,A188)</f>
        <v>42705</v>
      </c>
      <c r="W188" s="5" t="n">
        <f aca="false">V188-C$3</f>
        <v>5474</v>
      </c>
      <c r="X188" s="124" t="n">
        <f aca="false">VLOOKUP($A188,Table,MATCH(X$4,Curves,0))</f>
        <v>2</v>
      </c>
      <c r="Y188" s="129" t="n">
        <f aca="false">1/(1+CHOOSE(F$3,(X189+($K$3/10000))/2,(X188+($K$3/10000))/2))^(2*W188/365.25)</f>
        <v>9.48265160100388E-010</v>
      </c>
      <c r="Z188" s="5" t="n">
        <f aca="false">IF(AND(mthbeg&lt;=A188,mthend&gt;=A188),1,0)</f>
        <v>0</v>
      </c>
      <c r="AA188" s="5" t="n">
        <f aca="false">U188*Z188</f>
        <v>0</v>
      </c>
      <c r="AC188" s="115" t="n">
        <f aca="false">IF(G181=2,F188*(S188-Q188),F188*(Q188-S188))</f>
        <v>0</v>
      </c>
      <c r="AE188" s="116" t="n">
        <f aca="false">IF($G$3=1,F188*(R188-Q188),F188*(Q188-R188))</f>
        <v>0</v>
      </c>
      <c r="AG188" s="116" t="n">
        <f aca="false">AC188+AE188</f>
        <v>0</v>
      </c>
    </row>
    <row r="189" customFormat="false" ht="12" hidden="false" customHeight="true" outlineLevel="0" collapsed="false">
      <c r="A189" s="120" t="n">
        <f aca="false">EDATE(A188,1)</f>
        <v>42736</v>
      </c>
      <c r="B189" s="121" t="e">
        <f aca="false">VLOOKUP(A189,'Inputs-Summary'!$A$32:$E$41,3,FALSE())</f>
        <v>#N/A</v>
      </c>
      <c r="C189" s="122"/>
      <c r="D189" s="123" t="e">
        <f aca="false">B189+C189</f>
        <v>#N/A</v>
      </c>
      <c r="E189" s="111" t="n">
        <f aca="false">IF(Z189=0,0,IF(AND(Z189=1,$H$3=1),D189*U189,IF($H$3=2,D189,"N/A")))</f>
        <v>0</v>
      </c>
      <c r="F189" s="111" t="n">
        <f aca="false">E189*Y189</f>
        <v>0</v>
      </c>
      <c r="G189" s="124" t="n">
        <f aca="false">VLOOKUP($A189,Table,MATCH(G$4,Curves,0))</f>
        <v>3</v>
      </c>
      <c r="H189" s="125" t="n">
        <f aca="false">G189+$H$7</f>
        <v>3</v>
      </c>
      <c r="I189" s="124" t="n">
        <f aca="false">H189</f>
        <v>3</v>
      </c>
      <c r="J189" s="124" t="n">
        <f aca="false">VLOOKUP($A189,Table,MATCH(J$4,Curves,0))</f>
        <v>4</v>
      </c>
      <c r="K189" s="125" t="n">
        <f aca="false">J189+$K$7</f>
        <v>4</v>
      </c>
      <c r="L189" s="126" t="n">
        <f aca="false">K189</f>
        <v>4</v>
      </c>
      <c r="M189" s="124" t="n">
        <f aca="false">VLOOKUP($A189,Table,MATCH(M$4,Curves,0))</f>
        <v>4</v>
      </c>
      <c r="N189" s="125" t="n">
        <f aca="false">M189+$N$7</f>
        <v>4</v>
      </c>
      <c r="O189" s="126" t="n">
        <v>0.12</v>
      </c>
      <c r="P189" s="114"/>
      <c r="Q189" s="126" t="n">
        <f aca="false">M189+J189+G189</f>
        <v>11</v>
      </c>
      <c r="R189" s="126" t="n">
        <f aca="false">N189+K189+H189</f>
        <v>11</v>
      </c>
      <c r="S189" s="126" t="n">
        <f aca="false">O189+L189+I189</f>
        <v>7.12</v>
      </c>
      <c r="T189" s="127"/>
      <c r="U189" s="5" t="n">
        <f aca="false">A190-A189</f>
        <v>31</v>
      </c>
      <c r="V189" s="128" t="n">
        <f aca="false">CHOOSE(F$3,A190+24,A189)</f>
        <v>42736</v>
      </c>
      <c r="W189" s="5" t="n">
        <f aca="false">V189-C$3</f>
        <v>5505</v>
      </c>
      <c r="X189" s="124" t="n">
        <f aca="false">VLOOKUP($A189,Table,MATCH(X$4,Curves,0))</f>
        <v>2</v>
      </c>
      <c r="Y189" s="129" t="n">
        <f aca="false">1/(1+CHOOSE(F$3,(X190+($K$3/10000))/2,(X189+($K$3/10000))/2))^(2*W189/365.25)</f>
        <v>8.43006516034885E-010</v>
      </c>
      <c r="Z189" s="5" t="n">
        <f aca="false">IF(AND(mthbeg&lt;=A189,mthend&gt;=A189),1,0)</f>
        <v>0</v>
      </c>
      <c r="AA189" s="5" t="n">
        <f aca="false">U189*Z189</f>
        <v>0</v>
      </c>
      <c r="AC189" s="115" t="n">
        <f aca="false">IF(G182=2,F189*(S189-Q189),F189*(Q189-S189))</f>
        <v>0</v>
      </c>
      <c r="AE189" s="116" t="n">
        <f aca="false">IF($G$3=1,F189*(R189-Q189),F189*(Q189-R189))</f>
        <v>0</v>
      </c>
      <c r="AG189" s="116" t="n">
        <f aca="false">AC189+AE189</f>
        <v>0</v>
      </c>
    </row>
    <row r="190" customFormat="false" ht="12" hidden="false" customHeight="true" outlineLevel="0" collapsed="false">
      <c r="A190" s="120" t="n">
        <f aca="false">EDATE(A189,1)</f>
        <v>42767</v>
      </c>
      <c r="B190" s="121" t="e">
        <f aca="false">VLOOKUP(A190,'Inputs-Summary'!$A$32:$E$41,3,FALSE())</f>
        <v>#N/A</v>
      </c>
      <c r="C190" s="122"/>
      <c r="D190" s="123" t="e">
        <f aca="false">B190+C190</f>
        <v>#N/A</v>
      </c>
      <c r="E190" s="111" t="n">
        <f aca="false">IF(Z190=0,0,IF(AND(Z190=1,$H$3=1),D190*U190,IF($H$3=2,D190,"N/A")))</f>
        <v>0</v>
      </c>
      <c r="F190" s="111" t="n">
        <f aca="false">E190*Y190</f>
        <v>0</v>
      </c>
      <c r="G190" s="124" t="n">
        <f aca="false">VLOOKUP($A190,Table,MATCH(G$4,Curves,0))</f>
        <v>3</v>
      </c>
      <c r="H190" s="125" t="n">
        <f aca="false">G190+$H$7</f>
        <v>3</v>
      </c>
      <c r="I190" s="124" t="n">
        <f aca="false">H190</f>
        <v>3</v>
      </c>
      <c r="J190" s="124" t="n">
        <f aca="false">VLOOKUP($A190,Table,MATCH(J$4,Curves,0))</f>
        <v>4</v>
      </c>
      <c r="K190" s="125" t="n">
        <f aca="false">J190+$K$7</f>
        <v>4</v>
      </c>
      <c r="L190" s="126" t="n">
        <f aca="false">K190</f>
        <v>4</v>
      </c>
      <c r="M190" s="124" t="n">
        <f aca="false">VLOOKUP($A190,Table,MATCH(M$4,Curves,0))</f>
        <v>4</v>
      </c>
      <c r="N190" s="125" t="n">
        <f aca="false">M190+$N$7</f>
        <v>4</v>
      </c>
      <c r="O190" s="126" t="n">
        <v>0.12</v>
      </c>
      <c r="P190" s="114"/>
      <c r="Q190" s="126" t="n">
        <f aca="false">M190+J190+G190</f>
        <v>11</v>
      </c>
      <c r="R190" s="126" t="n">
        <f aca="false">N190+K190+H190</f>
        <v>11</v>
      </c>
      <c r="S190" s="126" t="n">
        <f aca="false">O190+L190+I190</f>
        <v>7.12</v>
      </c>
      <c r="T190" s="127"/>
      <c r="U190" s="5" t="n">
        <f aca="false">A191-A190</f>
        <v>28</v>
      </c>
      <c r="V190" s="128" t="n">
        <f aca="false">CHOOSE(F$3,A191+24,A190)</f>
        <v>42767</v>
      </c>
      <c r="W190" s="5" t="n">
        <f aca="false">V190-C$3</f>
        <v>5536</v>
      </c>
      <c r="X190" s="124" t="n">
        <f aca="false">VLOOKUP($A190,Table,MATCH(X$4,Curves,0))</f>
        <v>2</v>
      </c>
      <c r="Y190" s="129" t="n">
        <f aca="false">1/(1+CHOOSE(F$3,(X191+($K$3/10000))/2,(X190+($K$3/10000))/2))^(2*W190/365.25)</f>
        <v>7.49431715915874E-010</v>
      </c>
      <c r="Z190" s="5" t="n">
        <f aca="false">IF(AND(mthbeg&lt;=A190,mthend&gt;=A190),1,0)</f>
        <v>0</v>
      </c>
      <c r="AA190" s="5" t="n">
        <f aca="false">U190*Z190</f>
        <v>0</v>
      </c>
      <c r="AC190" s="115" t="n">
        <f aca="false">IF(G183=2,F190*(S190-Q190),F190*(Q190-S190))</f>
        <v>0</v>
      </c>
      <c r="AE190" s="116" t="n">
        <f aca="false">IF($G$3=1,F190*(R190-Q190),F190*(Q190-R190))</f>
        <v>0</v>
      </c>
      <c r="AG190" s="116" t="n">
        <f aca="false">AC190+AE190</f>
        <v>0</v>
      </c>
    </row>
    <row r="191" customFormat="false" ht="12" hidden="false" customHeight="true" outlineLevel="0" collapsed="false">
      <c r="A191" s="120" t="n">
        <f aca="false">EDATE(A190,1)</f>
        <v>42795</v>
      </c>
      <c r="B191" s="121" t="e">
        <f aca="false">VLOOKUP(A191,'Inputs-Summary'!$A$32:$E$41,3,FALSE())</f>
        <v>#N/A</v>
      </c>
      <c r="C191" s="122"/>
      <c r="D191" s="123" t="e">
        <f aca="false">B191+C191</f>
        <v>#N/A</v>
      </c>
      <c r="E191" s="111" t="n">
        <f aca="false">IF(Z191=0,0,IF(AND(Z191=1,$H$3=1),D191*U191,IF($H$3=2,D191,"N/A")))</f>
        <v>0</v>
      </c>
      <c r="F191" s="111" t="n">
        <f aca="false">E191*Y191</f>
        <v>0</v>
      </c>
      <c r="G191" s="124" t="n">
        <f aca="false">VLOOKUP($A191,Table,MATCH(G$4,Curves,0))</f>
        <v>3</v>
      </c>
      <c r="H191" s="125" t="n">
        <f aca="false">G191+$H$7</f>
        <v>3</v>
      </c>
      <c r="I191" s="124" t="n">
        <f aca="false">H191</f>
        <v>3</v>
      </c>
      <c r="J191" s="124" t="n">
        <f aca="false">VLOOKUP($A191,Table,MATCH(J$4,Curves,0))</f>
        <v>4</v>
      </c>
      <c r="K191" s="125" t="n">
        <f aca="false">J191+$K$7</f>
        <v>4</v>
      </c>
      <c r="L191" s="126" t="n">
        <f aca="false">K191</f>
        <v>4</v>
      </c>
      <c r="M191" s="124" t="n">
        <f aca="false">VLOOKUP($A191,Table,MATCH(M$4,Curves,0))</f>
        <v>4</v>
      </c>
      <c r="N191" s="125" t="n">
        <f aca="false">M191+$N$7</f>
        <v>4</v>
      </c>
      <c r="O191" s="126" t="n">
        <v>0.12</v>
      </c>
      <c r="P191" s="114"/>
      <c r="Q191" s="126" t="n">
        <f aca="false">M191+J191+G191</f>
        <v>11</v>
      </c>
      <c r="R191" s="126" t="n">
        <f aca="false">N191+K191+H191</f>
        <v>11</v>
      </c>
      <c r="S191" s="126" t="n">
        <f aca="false">O191+L191+I191</f>
        <v>7.12</v>
      </c>
      <c r="T191" s="127"/>
      <c r="U191" s="5" t="n">
        <f aca="false">A192-A191</f>
        <v>31</v>
      </c>
      <c r="V191" s="128" t="n">
        <f aca="false">CHOOSE(F$3,A192+24,A191)</f>
        <v>42795</v>
      </c>
      <c r="W191" s="5" t="n">
        <f aca="false">V191-C$3</f>
        <v>5564</v>
      </c>
      <c r="X191" s="124" t="n">
        <f aca="false">VLOOKUP($A191,Table,MATCH(X$4,Curves,0))</f>
        <v>2</v>
      </c>
      <c r="Y191" s="129" t="n">
        <f aca="false">1/(1+CHOOSE(F$3,(X192+($K$3/10000))/2,(X191+($K$3/10000))/2))^(2*W191/365.25)</f>
        <v>6.73873311553957E-010</v>
      </c>
      <c r="Z191" s="5" t="n">
        <f aca="false">IF(AND(mthbeg&lt;=A191,mthend&gt;=A191),1,0)</f>
        <v>0</v>
      </c>
      <c r="AA191" s="5" t="n">
        <f aca="false">U191*Z191</f>
        <v>0</v>
      </c>
      <c r="AC191" s="115" t="n">
        <f aca="false">IF(G184=2,F191*(S191-Q191),F191*(Q191-S191))</f>
        <v>0</v>
      </c>
      <c r="AE191" s="116" t="n">
        <f aca="false">IF($G$3=1,F191*(R191-Q191),F191*(Q191-R191))</f>
        <v>0</v>
      </c>
      <c r="AG191" s="116" t="n">
        <f aca="false">AC191+AE191</f>
        <v>0</v>
      </c>
    </row>
    <row r="192" customFormat="false" ht="12" hidden="false" customHeight="true" outlineLevel="0" collapsed="false">
      <c r="A192" s="120" t="n">
        <f aca="false">EDATE(A191,1)</f>
        <v>42826</v>
      </c>
      <c r="B192" s="121" t="e">
        <f aca="false">VLOOKUP(A192,'Inputs-Summary'!$A$32:$E$41,3,FALSE())</f>
        <v>#N/A</v>
      </c>
      <c r="C192" s="122"/>
      <c r="D192" s="123" t="e">
        <f aca="false">B192+C192</f>
        <v>#N/A</v>
      </c>
      <c r="E192" s="111" t="n">
        <f aca="false">IF(Z192=0,0,IF(AND(Z192=1,$H$3=1),D192*U192,IF($H$3=2,D192,"N/A")))</f>
        <v>0</v>
      </c>
      <c r="F192" s="111" t="n">
        <f aca="false">E192*Y192</f>
        <v>0</v>
      </c>
      <c r="G192" s="124" t="n">
        <f aca="false">VLOOKUP($A192,Table,MATCH(G$4,Curves,0))</f>
        <v>3</v>
      </c>
      <c r="H192" s="125" t="n">
        <f aca="false">G192+$H$7</f>
        <v>3</v>
      </c>
      <c r="I192" s="124" t="n">
        <f aca="false">H192</f>
        <v>3</v>
      </c>
      <c r="J192" s="124" t="n">
        <f aca="false">VLOOKUP($A192,Table,MATCH(J$4,Curves,0))</f>
        <v>4</v>
      </c>
      <c r="K192" s="125" t="n">
        <f aca="false">J192+$K$7</f>
        <v>4</v>
      </c>
      <c r="L192" s="126" t="n">
        <f aca="false">K192</f>
        <v>4</v>
      </c>
      <c r="M192" s="124" t="n">
        <f aca="false">VLOOKUP($A192,Table,MATCH(M$4,Curves,0))</f>
        <v>4</v>
      </c>
      <c r="N192" s="125" t="n">
        <f aca="false">M192+$N$7</f>
        <v>4</v>
      </c>
      <c r="O192" s="126" t="n">
        <v>0.12</v>
      </c>
      <c r="P192" s="114"/>
      <c r="Q192" s="126" t="n">
        <f aca="false">M192+J192+G192</f>
        <v>11</v>
      </c>
      <c r="R192" s="126" t="n">
        <f aca="false">N192+K192+H192</f>
        <v>11</v>
      </c>
      <c r="S192" s="126" t="n">
        <f aca="false">O192+L192+I192</f>
        <v>7.12</v>
      </c>
      <c r="T192" s="127"/>
      <c r="U192" s="5" t="n">
        <f aca="false">A193-A192</f>
        <v>30</v>
      </c>
      <c r="V192" s="128" t="n">
        <f aca="false">CHOOSE(F$3,A193+24,A192)</f>
        <v>42826</v>
      </c>
      <c r="W192" s="5" t="n">
        <f aca="false">V192-C$3</f>
        <v>5595</v>
      </c>
      <c r="X192" s="124" t="n">
        <f aca="false">VLOOKUP($A192,Table,MATCH(X$4,Curves,0))</f>
        <v>2</v>
      </c>
      <c r="Y192" s="129" t="n">
        <f aca="false">1/(1+CHOOSE(F$3,(X193+($K$3/10000))/2,(X192+($K$3/10000))/2))^(2*W192/365.25)</f>
        <v>5.99072513179596E-010</v>
      </c>
      <c r="Z192" s="5" t="n">
        <f aca="false">IF(AND(mthbeg&lt;=A192,mthend&gt;=A192),1,0)</f>
        <v>0</v>
      </c>
      <c r="AA192" s="5" t="n">
        <f aca="false">U192*Z192</f>
        <v>0</v>
      </c>
      <c r="AC192" s="115" t="n">
        <f aca="false">IF(G185=2,F192*(S192-Q192),F192*(Q192-S192))</f>
        <v>0</v>
      </c>
      <c r="AE192" s="116" t="n">
        <f aca="false">IF($G$3=1,F192*(R192-Q192),F192*(Q192-R192))</f>
        <v>0</v>
      </c>
      <c r="AG192" s="116" t="n">
        <f aca="false">AC192+AE192</f>
        <v>0</v>
      </c>
    </row>
    <row r="193" customFormat="false" ht="12" hidden="false" customHeight="true" outlineLevel="0" collapsed="false">
      <c r="A193" s="120" t="n">
        <f aca="false">EDATE(A192,1)</f>
        <v>42856</v>
      </c>
      <c r="B193" s="121" t="e">
        <f aca="false">VLOOKUP(A193,'Inputs-Summary'!$A$32:$E$41,3,FALSE())</f>
        <v>#N/A</v>
      </c>
      <c r="C193" s="122"/>
      <c r="D193" s="123" t="e">
        <f aca="false">B193+C193</f>
        <v>#N/A</v>
      </c>
      <c r="E193" s="111" t="n">
        <f aca="false">IF(Z193=0,0,IF(AND(Z193=1,$H$3=1),D193*U193,IF($H$3=2,D193,"N/A")))</f>
        <v>0</v>
      </c>
      <c r="F193" s="111" t="n">
        <f aca="false">E193*Y193</f>
        <v>0</v>
      </c>
      <c r="G193" s="124" t="n">
        <f aca="false">VLOOKUP($A193,Table,MATCH(G$4,Curves,0))</f>
        <v>3</v>
      </c>
      <c r="H193" s="125" t="n">
        <f aca="false">G193+$H$7</f>
        <v>3</v>
      </c>
      <c r="I193" s="124" t="n">
        <f aca="false">H193</f>
        <v>3</v>
      </c>
      <c r="J193" s="124" t="n">
        <f aca="false">VLOOKUP($A193,Table,MATCH(J$4,Curves,0))</f>
        <v>4</v>
      </c>
      <c r="K193" s="125" t="n">
        <f aca="false">J193+$K$7</f>
        <v>4</v>
      </c>
      <c r="L193" s="126" t="n">
        <f aca="false">K193</f>
        <v>4</v>
      </c>
      <c r="M193" s="124" t="n">
        <f aca="false">VLOOKUP($A193,Table,MATCH(M$4,Curves,0))</f>
        <v>4</v>
      </c>
      <c r="N193" s="125" t="n">
        <f aca="false">M193+$N$7</f>
        <v>4</v>
      </c>
      <c r="O193" s="126" t="n">
        <v>0.12</v>
      </c>
      <c r="P193" s="114"/>
      <c r="Q193" s="126" t="n">
        <f aca="false">M193+J193+G193</f>
        <v>11</v>
      </c>
      <c r="R193" s="126" t="n">
        <f aca="false">N193+K193+H193</f>
        <v>11</v>
      </c>
      <c r="S193" s="126" t="n">
        <f aca="false">O193+L193+I193</f>
        <v>7.12</v>
      </c>
      <c r="T193" s="127"/>
      <c r="U193" s="5" t="n">
        <f aca="false">A194-A193</f>
        <v>31</v>
      </c>
      <c r="V193" s="128" t="n">
        <f aca="false">CHOOSE(F$3,A194+24,A193)</f>
        <v>42856</v>
      </c>
      <c r="W193" s="5" t="n">
        <f aca="false">V193-C$3</f>
        <v>5625</v>
      </c>
      <c r="X193" s="124" t="n">
        <f aca="false">VLOOKUP($A193,Table,MATCH(X$4,Curves,0))</f>
        <v>2</v>
      </c>
      <c r="Y193" s="129" t="n">
        <f aca="false">1/(1+CHOOSE(F$3,(X194+($K$3/10000))/2,(X193+($K$3/10000))/2))^(2*W193/365.25)</f>
        <v>5.3459990960516E-010</v>
      </c>
      <c r="Z193" s="5" t="n">
        <f aca="false">IF(AND(mthbeg&lt;=A193,mthend&gt;=A193),1,0)</f>
        <v>0</v>
      </c>
      <c r="AA193" s="5" t="n">
        <f aca="false">U193*Z193</f>
        <v>0</v>
      </c>
      <c r="AC193" s="115" t="n">
        <f aca="false">IF(G186=2,F193*(S193-Q193),F193*(Q193-S193))</f>
        <v>0</v>
      </c>
      <c r="AE193" s="116" t="n">
        <f aca="false">IF($G$3=1,F193*(R193-Q193),F193*(Q193-R193))</f>
        <v>0</v>
      </c>
      <c r="AG193" s="116" t="n">
        <f aca="false">AC193+AE193</f>
        <v>0</v>
      </c>
    </row>
    <row r="194" customFormat="false" ht="12" hidden="false" customHeight="true" outlineLevel="0" collapsed="false">
      <c r="A194" s="120" t="n">
        <f aca="false">EDATE(A193,1)</f>
        <v>42887</v>
      </c>
      <c r="B194" s="121" t="e">
        <f aca="false">VLOOKUP(A194,'Inputs-Summary'!$A$32:$E$41,3,FALSE())</f>
        <v>#N/A</v>
      </c>
      <c r="C194" s="122"/>
      <c r="D194" s="123" t="e">
        <f aca="false">B194+C194</f>
        <v>#N/A</v>
      </c>
      <c r="E194" s="111" t="n">
        <f aca="false">IF(Z194=0,0,IF(AND(Z194=1,$H$3=1),D194*U194,IF($H$3=2,D194,"N/A")))</f>
        <v>0</v>
      </c>
      <c r="F194" s="111" t="n">
        <f aca="false">E194*Y194</f>
        <v>0</v>
      </c>
      <c r="G194" s="124" t="n">
        <f aca="false">VLOOKUP($A194,Table,MATCH(G$4,Curves,0))</f>
        <v>3</v>
      </c>
      <c r="H194" s="125" t="n">
        <f aca="false">G194+$H$7</f>
        <v>3</v>
      </c>
      <c r="I194" s="124" t="n">
        <f aca="false">H194</f>
        <v>3</v>
      </c>
      <c r="J194" s="124" t="n">
        <f aca="false">VLOOKUP($A194,Table,MATCH(J$4,Curves,0))</f>
        <v>4</v>
      </c>
      <c r="K194" s="125" t="n">
        <f aca="false">J194+$K$7</f>
        <v>4</v>
      </c>
      <c r="L194" s="126" t="n">
        <f aca="false">K194</f>
        <v>4</v>
      </c>
      <c r="M194" s="124" t="n">
        <f aca="false">VLOOKUP($A194,Table,MATCH(M$4,Curves,0))</f>
        <v>4</v>
      </c>
      <c r="N194" s="125" t="n">
        <f aca="false">M194+$N$7</f>
        <v>4</v>
      </c>
      <c r="O194" s="126" t="n">
        <v>0.12</v>
      </c>
      <c r="P194" s="114"/>
      <c r="Q194" s="126" t="n">
        <f aca="false">M194+J194+G194</f>
        <v>11</v>
      </c>
      <c r="R194" s="126" t="n">
        <f aca="false">N194+K194+H194</f>
        <v>11</v>
      </c>
      <c r="S194" s="126" t="n">
        <f aca="false">O194+L194+I194</f>
        <v>7.12</v>
      </c>
      <c r="T194" s="127"/>
      <c r="U194" s="5" t="n">
        <f aca="false">A195-A194</f>
        <v>30</v>
      </c>
      <c r="V194" s="128" t="n">
        <f aca="false">CHOOSE(F$3,A195+24,A194)</f>
        <v>42887</v>
      </c>
      <c r="W194" s="5" t="n">
        <f aca="false">V194-C$3</f>
        <v>5656</v>
      </c>
      <c r="X194" s="124" t="n">
        <f aca="false">VLOOKUP($A194,Table,MATCH(X$4,Curves,0))</f>
        <v>2</v>
      </c>
      <c r="Y194" s="129" t="n">
        <f aca="false">1/(1+CHOOSE(F$3,(X195+($K$3/10000))/2,(X194+($K$3/10000))/2))^(2*W194/365.25)</f>
        <v>4.75258636752088E-010</v>
      </c>
      <c r="Z194" s="5" t="n">
        <f aca="false">IF(AND(mthbeg&lt;=A194,mthend&gt;=A194),1,0)</f>
        <v>0</v>
      </c>
      <c r="AA194" s="5" t="n">
        <f aca="false">U194*Z194</f>
        <v>0</v>
      </c>
      <c r="AC194" s="115" t="n">
        <f aca="false">IF(G187=2,F194*(S194-Q194),F194*(Q194-S194))</f>
        <v>0</v>
      </c>
      <c r="AE194" s="116" t="n">
        <f aca="false">IF($G$3=1,F194*(R194-Q194),F194*(Q194-R194))</f>
        <v>0</v>
      </c>
      <c r="AG194" s="116" t="n">
        <f aca="false">AC194+AE194</f>
        <v>0</v>
      </c>
    </row>
    <row r="195" customFormat="false" ht="12" hidden="false" customHeight="true" outlineLevel="0" collapsed="false">
      <c r="A195" s="120" t="n">
        <f aca="false">EDATE(A194,1)</f>
        <v>42917</v>
      </c>
      <c r="B195" s="121" t="e">
        <f aca="false">VLOOKUP(A195,'Inputs-Summary'!$A$32:$E$41,3,FALSE())</f>
        <v>#N/A</v>
      </c>
      <c r="C195" s="122"/>
      <c r="D195" s="123" t="e">
        <f aca="false">B195+C195</f>
        <v>#N/A</v>
      </c>
      <c r="E195" s="111" t="n">
        <f aca="false">IF(Z195=0,0,IF(AND(Z195=1,$H$3=1),D195*U195,IF($H$3=2,D195,"N/A")))</f>
        <v>0</v>
      </c>
      <c r="F195" s="111" t="n">
        <f aca="false">E195*Y195</f>
        <v>0</v>
      </c>
      <c r="G195" s="124" t="n">
        <f aca="false">VLOOKUP($A195,Table,MATCH(G$4,Curves,0))</f>
        <v>3</v>
      </c>
      <c r="H195" s="125" t="n">
        <f aca="false">G195+$H$7</f>
        <v>3</v>
      </c>
      <c r="I195" s="124" t="n">
        <f aca="false">H195</f>
        <v>3</v>
      </c>
      <c r="J195" s="124" t="n">
        <f aca="false">VLOOKUP($A195,Table,MATCH(J$4,Curves,0))</f>
        <v>4</v>
      </c>
      <c r="K195" s="125" t="n">
        <f aca="false">J195+$K$7</f>
        <v>4</v>
      </c>
      <c r="L195" s="126" t="n">
        <f aca="false">K195</f>
        <v>4</v>
      </c>
      <c r="M195" s="124" t="n">
        <f aca="false">VLOOKUP($A195,Table,MATCH(M$4,Curves,0))</f>
        <v>4</v>
      </c>
      <c r="N195" s="125" t="n">
        <f aca="false">M195+$N$7</f>
        <v>4</v>
      </c>
      <c r="O195" s="126" t="n">
        <v>0.12</v>
      </c>
      <c r="P195" s="114"/>
      <c r="Q195" s="126" t="n">
        <f aca="false">M195+J195+G195</f>
        <v>11</v>
      </c>
      <c r="R195" s="126" t="n">
        <f aca="false">N195+K195+H195</f>
        <v>11</v>
      </c>
      <c r="S195" s="126" t="n">
        <f aca="false">O195+L195+I195</f>
        <v>7.12</v>
      </c>
      <c r="T195" s="127"/>
      <c r="U195" s="5" t="n">
        <f aca="false">A196-A195</f>
        <v>31</v>
      </c>
      <c r="V195" s="128" t="n">
        <f aca="false">CHOOSE(F$3,A196+24,A195)</f>
        <v>42917</v>
      </c>
      <c r="W195" s="5" t="n">
        <f aca="false">V195-C$3</f>
        <v>5686</v>
      </c>
      <c r="X195" s="124" t="n">
        <f aca="false">VLOOKUP($A195,Table,MATCH(X$4,Curves,0))</f>
        <v>2</v>
      </c>
      <c r="Y195" s="129" t="n">
        <f aca="false">1/(1+CHOOSE(F$3,(X196+($K$3/10000))/2,(X195+($K$3/10000))/2))^(2*W195/365.25)</f>
        <v>4.24110969301922E-010</v>
      </c>
      <c r="Z195" s="5" t="n">
        <f aca="false">IF(AND(mthbeg&lt;=A195,mthend&gt;=A195),1,0)</f>
        <v>0</v>
      </c>
      <c r="AA195" s="5" t="n">
        <f aca="false">U195*Z195</f>
        <v>0</v>
      </c>
      <c r="AC195" s="115" t="n">
        <f aca="false">IF(G188=2,F195*(S195-Q195),F195*(Q195-S195))</f>
        <v>0</v>
      </c>
      <c r="AE195" s="116" t="n">
        <f aca="false">IF($G$3=1,F195*(R195-Q195),F195*(Q195-R195))</f>
        <v>0</v>
      </c>
      <c r="AG195" s="116" t="n">
        <f aca="false">AC195+AE195</f>
        <v>0</v>
      </c>
    </row>
    <row r="196" customFormat="false" ht="12" hidden="false" customHeight="true" outlineLevel="0" collapsed="false">
      <c r="A196" s="120" t="n">
        <f aca="false">EDATE(A195,1)</f>
        <v>42948</v>
      </c>
      <c r="B196" s="121" t="e">
        <f aca="false">VLOOKUP(A196,'Inputs-Summary'!$A$32:$E$41,3,FALSE())</f>
        <v>#N/A</v>
      </c>
      <c r="C196" s="122"/>
      <c r="D196" s="123" t="e">
        <f aca="false">B196+C196</f>
        <v>#N/A</v>
      </c>
      <c r="E196" s="111" t="n">
        <f aca="false">IF(Z196=0,0,IF(AND(Z196=1,$H$3=1),D196*U196,IF($H$3=2,D196,"N/A")))</f>
        <v>0</v>
      </c>
      <c r="F196" s="111" t="n">
        <f aca="false">E196*Y196</f>
        <v>0</v>
      </c>
      <c r="G196" s="124" t="n">
        <f aca="false">VLOOKUP($A196,Table,MATCH(G$4,Curves,0))</f>
        <v>3</v>
      </c>
      <c r="H196" s="125" t="n">
        <f aca="false">G196+$H$7</f>
        <v>3</v>
      </c>
      <c r="I196" s="124" t="n">
        <f aca="false">H196</f>
        <v>3</v>
      </c>
      <c r="J196" s="124" t="n">
        <f aca="false">VLOOKUP($A196,Table,MATCH(J$4,Curves,0))</f>
        <v>4</v>
      </c>
      <c r="K196" s="125" t="n">
        <f aca="false">J196+$K$7</f>
        <v>4</v>
      </c>
      <c r="L196" s="126" t="n">
        <f aca="false">K196</f>
        <v>4</v>
      </c>
      <c r="M196" s="124" t="n">
        <f aca="false">VLOOKUP($A196,Table,MATCH(M$4,Curves,0))</f>
        <v>4</v>
      </c>
      <c r="N196" s="125" t="n">
        <f aca="false">M196+$N$7</f>
        <v>4</v>
      </c>
      <c r="O196" s="126" t="n">
        <v>0.12</v>
      </c>
      <c r="P196" s="114"/>
      <c r="Q196" s="126" t="n">
        <f aca="false">M196+J196+G196</f>
        <v>11</v>
      </c>
      <c r="R196" s="126" t="n">
        <f aca="false">N196+K196+H196</f>
        <v>11</v>
      </c>
      <c r="S196" s="126" t="n">
        <f aca="false">O196+L196+I196</f>
        <v>7.12</v>
      </c>
      <c r="T196" s="127"/>
      <c r="U196" s="5" t="n">
        <f aca="false">A197-A196</f>
        <v>31</v>
      </c>
      <c r="V196" s="128" t="n">
        <f aca="false">CHOOSE(F$3,A197+24,A196)</f>
        <v>42948</v>
      </c>
      <c r="W196" s="5" t="n">
        <f aca="false">V196-C$3</f>
        <v>5717</v>
      </c>
      <c r="X196" s="124" t="n">
        <f aca="false">VLOOKUP($A196,Table,MATCH(X$4,Curves,0))</f>
        <v>2</v>
      </c>
      <c r="Y196" s="129" t="n">
        <f aca="false">1/(1+CHOOSE(F$3,(X197+($K$3/10000))/2,(X196+($K$3/10000))/2))^(2*W196/365.25)</f>
        <v>3.77034109958803E-010</v>
      </c>
      <c r="Z196" s="5" t="n">
        <f aca="false">IF(AND(mthbeg&lt;=A196,mthend&gt;=A196),1,0)</f>
        <v>0</v>
      </c>
      <c r="AA196" s="5" t="n">
        <f aca="false">U196*Z196</f>
        <v>0</v>
      </c>
      <c r="AC196" s="115" t="n">
        <f aca="false">IF(G189=2,F196*(S196-Q196),F196*(Q196-S196))</f>
        <v>0</v>
      </c>
      <c r="AE196" s="116" t="n">
        <f aca="false">IF($G$3=1,F196*(R196-Q196),F196*(Q196-R196))</f>
        <v>0</v>
      </c>
      <c r="AG196" s="116" t="n">
        <f aca="false">AC196+AE196</f>
        <v>0</v>
      </c>
    </row>
    <row r="197" customFormat="false" ht="12" hidden="false" customHeight="true" outlineLevel="0" collapsed="false">
      <c r="A197" s="120" t="n">
        <f aca="false">EDATE(A196,1)</f>
        <v>42979</v>
      </c>
      <c r="B197" s="121" t="e">
        <f aca="false">VLOOKUP(A197,'Inputs-Summary'!$A$32:$E$41,3,FALSE())</f>
        <v>#N/A</v>
      </c>
      <c r="C197" s="122"/>
      <c r="D197" s="123" t="e">
        <f aca="false">B197+C197</f>
        <v>#N/A</v>
      </c>
      <c r="E197" s="111" t="n">
        <f aca="false">IF(Z197=0,0,IF(AND(Z197=1,$H$3=1),D197*U197,IF($H$3=2,D197,"N/A")))</f>
        <v>0</v>
      </c>
      <c r="F197" s="111" t="n">
        <f aca="false">E197*Y197</f>
        <v>0</v>
      </c>
      <c r="G197" s="124" t="n">
        <f aca="false">VLOOKUP($A197,Table,MATCH(G$4,Curves,0))</f>
        <v>3</v>
      </c>
      <c r="H197" s="125" t="n">
        <f aca="false">G197+$H$7</f>
        <v>3</v>
      </c>
      <c r="I197" s="124" t="n">
        <f aca="false">H197</f>
        <v>3</v>
      </c>
      <c r="J197" s="124" t="n">
        <f aca="false">VLOOKUP($A197,Table,MATCH(J$4,Curves,0))</f>
        <v>4</v>
      </c>
      <c r="K197" s="125" t="n">
        <f aca="false">J197+$K$7</f>
        <v>4</v>
      </c>
      <c r="L197" s="126" t="n">
        <f aca="false">K197</f>
        <v>4</v>
      </c>
      <c r="M197" s="124" t="n">
        <f aca="false">VLOOKUP($A197,Table,MATCH(M$4,Curves,0))</f>
        <v>4</v>
      </c>
      <c r="N197" s="125" t="n">
        <f aca="false">M197+$N$7</f>
        <v>4</v>
      </c>
      <c r="O197" s="126" t="n">
        <v>0.12</v>
      </c>
      <c r="P197" s="114"/>
      <c r="Q197" s="126" t="n">
        <f aca="false">M197+J197+G197</f>
        <v>11</v>
      </c>
      <c r="R197" s="126" t="n">
        <f aca="false">N197+K197+H197</f>
        <v>11</v>
      </c>
      <c r="S197" s="126" t="n">
        <f aca="false">O197+L197+I197</f>
        <v>7.12</v>
      </c>
      <c r="T197" s="127"/>
      <c r="U197" s="5" t="n">
        <f aca="false">A198-A197</f>
        <v>30</v>
      </c>
      <c r="V197" s="128" t="n">
        <f aca="false">CHOOSE(F$3,A198+24,A197)</f>
        <v>42979</v>
      </c>
      <c r="W197" s="5" t="n">
        <f aca="false">V197-C$3</f>
        <v>5748</v>
      </c>
      <c r="X197" s="124" t="n">
        <f aca="false">VLOOKUP($A197,Table,MATCH(X$4,Curves,0))</f>
        <v>2</v>
      </c>
      <c r="Y197" s="129" t="n">
        <f aca="false">1/(1+CHOOSE(F$3,(X198+($K$3/10000))/2,(X197+($K$3/10000))/2))^(2*W197/365.25)</f>
        <v>3.35182842137779E-010</v>
      </c>
      <c r="Z197" s="5" t="n">
        <f aca="false">IF(AND(mthbeg&lt;=A197,mthend&gt;=A197),1,0)</f>
        <v>0</v>
      </c>
      <c r="AA197" s="5" t="n">
        <f aca="false">U197*Z197</f>
        <v>0</v>
      </c>
      <c r="AC197" s="115" t="n">
        <f aca="false">IF(G190=2,F197*(S197-Q197),F197*(Q197-S197))</f>
        <v>0</v>
      </c>
      <c r="AE197" s="116" t="n">
        <f aca="false">IF($G$3=1,F197*(R197-Q197),F197*(Q197-R197))</f>
        <v>0</v>
      </c>
      <c r="AG197" s="116" t="n">
        <f aca="false">AC197+AE197</f>
        <v>0</v>
      </c>
    </row>
    <row r="198" customFormat="false" ht="12" hidden="false" customHeight="true" outlineLevel="0" collapsed="false">
      <c r="A198" s="120" t="n">
        <f aca="false">EDATE(A197,1)</f>
        <v>43009</v>
      </c>
      <c r="B198" s="121" t="e">
        <f aca="false">VLOOKUP(A198,'Inputs-Summary'!$A$32:$E$41,3,FALSE())</f>
        <v>#N/A</v>
      </c>
      <c r="C198" s="122"/>
      <c r="D198" s="123" t="e">
        <f aca="false">B198+C198</f>
        <v>#N/A</v>
      </c>
      <c r="E198" s="111" t="n">
        <f aca="false">IF(Z198=0,0,IF(AND(Z198=1,$H$3=1),D198*U198,IF($H$3=2,D198,"N/A")))</f>
        <v>0</v>
      </c>
      <c r="F198" s="111" t="n">
        <f aca="false">E198*Y198</f>
        <v>0</v>
      </c>
      <c r="G198" s="124" t="n">
        <f aca="false">VLOOKUP($A198,Table,MATCH(G$4,Curves,0))</f>
        <v>3</v>
      </c>
      <c r="H198" s="125" t="n">
        <f aca="false">G198+$H$7</f>
        <v>3</v>
      </c>
      <c r="I198" s="124" t="n">
        <f aca="false">H198</f>
        <v>3</v>
      </c>
      <c r="J198" s="124" t="n">
        <f aca="false">VLOOKUP($A198,Table,MATCH(J$4,Curves,0))</f>
        <v>4</v>
      </c>
      <c r="K198" s="125" t="n">
        <f aca="false">J198+$K$7</f>
        <v>4</v>
      </c>
      <c r="L198" s="126" t="n">
        <f aca="false">K198</f>
        <v>4</v>
      </c>
      <c r="M198" s="124" t="n">
        <f aca="false">VLOOKUP($A198,Table,MATCH(M$4,Curves,0))</f>
        <v>4</v>
      </c>
      <c r="N198" s="125" t="n">
        <f aca="false">M198+$N$7</f>
        <v>4</v>
      </c>
      <c r="O198" s="126" t="n">
        <v>0.12</v>
      </c>
      <c r="P198" s="114"/>
      <c r="Q198" s="126" t="n">
        <f aca="false">M198+J198+G198</f>
        <v>11</v>
      </c>
      <c r="R198" s="126" t="n">
        <f aca="false">N198+K198+H198</f>
        <v>11</v>
      </c>
      <c r="S198" s="126" t="n">
        <f aca="false">O198+L198+I198</f>
        <v>7.12</v>
      </c>
      <c r="T198" s="127"/>
      <c r="U198" s="5" t="n">
        <f aca="false">A199-A198</f>
        <v>31</v>
      </c>
      <c r="V198" s="128" t="n">
        <f aca="false">CHOOSE(F$3,A199+24,A198)</f>
        <v>43009</v>
      </c>
      <c r="W198" s="5" t="n">
        <f aca="false">V198-C$3</f>
        <v>5778</v>
      </c>
      <c r="X198" s="124" t="n">
        <f aca="false">VLOOKUP($A198,Table,MATCH(X$4,Curves,0))</f>
        <v>2</v>
      </c>
      <c r="Y198" s="129" t="n">
        <f aca="false">1/(1+CHOOSE(F$3,(X199+($K$3/10000))/2,(X198+($K$3/10000))/2))^(2*W198/365.25)</f>
        <v>2.99110229840136E-010</v>
      </c>
      <c r="Z198" s="5" t="n">
        <f aca="false">IF(AND(mthbeg&lt;=A198,mthend&gt;=A198),1,0)</f>
        <v>0</v>
      </c>
      <c r="AA198" s="5" t="n">
        <f aca="false">U198*Z198</f>
        <v>0</v>
      </c>
      <c r="AC198" s="115" t="n">
        <f aca="false">IF(G191=2,F198*(S198-Q198),F198*(Q198-S198))</f>
        <v>0</v>
      </c>
      <c r="AE198" s="116" t="n">
        <f aca="false">IF($G$3=1,F198*(R198-Q198),F198*(Q198-R198))</f>
        <v>0</v>
      </c>
      <c r="AG198" s="116" t="n">
        <f aca="false">AC198+AE198</f>
        <v>0</v>
      </c>
    </row>
    <row r="199" customFormat="false" ht="12" hidden="false" customHeight="true" outlineLevel="0" collapsed="false">
      <c r="A199" s="120" t="n">
        <f aca="false">EDATE(A198,1)</f>
        <v>43040</v>
      </c>
      <c r="B199" s="121" t="e">
        <f aca="false">VLOOKUP(A199,'Inputs-Summary'!$A$32:$E$41,3,FALSE())</f>
        <v>#N/A</v>
      </c>
      <c r="C199" s="122"/>
      <c r="D199" s="123" t="e">
        <f aca="false">B199+C199</f>
        <v>#N/A</v>
      </c>
      <c r="E199" s="111" t="n">
        <f aca="false">IF(Z199=0,0,IF(AND(Z199=1,$H$3=1),D199*U199,IF($H$3=2,D199,"N/A")))</f>
        <v>0</v>
      </c>
      <c r="F199" s="111" t="n">
        <f aca="false">E199*Y199</f>
        <v>0</v>
      </c>
      <c r="G199" s="124" t="n">
        <f aca="false">VLOOKUP($A199,Table,MATCH(G$4,Curves,0))</f>
        <v>3</v>
      </c>
      <c r="H199" s="125" t="n">
        <f aca="false">G199+$H$7</f>
        <v>3</v>
      </c>
      <c r="I199" s="124" t="n">
        <f aca="false">H199</f>
        <v>3</v>
      </c>
      <c r="J199" s="124" t="n">
        <f aca="false">VLOOKUP($A199,Table,MATCH(J$4,Curves,0))</f>
        <v>4</v>
      </c>
      <c r="K199" s="125" t="n">
        <f aca="false">J199+$K$7</f>
        <v>4</v>
      </c>
      <c r="L199" s="126" t="n">
        <f aca="false">K199</f>
        <v>4</v>
      </c>
      <c r="M199" s="124" t="n">
        <f aca="false">VLOOKUP($A199,Table,MATCH(M$4,Curves,0))</f>
        <v>4</v>
      </c>
      <c r="N199" s="125" t="n">
        <f aca="false">M199+$N$7</f>
        <v>4</v>
      </c>
      <c r="O199" s="126" t="n">
        <v>0.12</v>
      </c>
      <c r="P199" s="114"/>
      <c r="Q199" s="126" t="n">
        <f aca="false">M199+J199+G199</f>
        <v>11</v>
      </c>
      <c r="R199" s="126" t="n">
        <f aca="false">N199+K199+H199</f>
        <v>11</v>
      </c>
      <c r="S199" s="126" t="n">
        <f aca="false">O199+L199+I199</f>
        <v>7.12</v>
      </c>
      <c r="T199" s="127"/>
      <c r="U199" s="5" t="n">
        <f aca="false">A200-A199</f>
        <v>30</v>
      </c>
      <c r="V199" s="128" t="n">
        <f aca="false">CHOOSE(F$3,A200+24,A199)</f>
        <v>43040</v>
      </c>
      <c r="W199" s="5" t="n">
        <f aca="false">V199-C$3</f>
        <v>5809</v>
      </c>
      <c r="X199" s="124" t="n">
        <f aca="false">VLOOKUP($A199,Table,MATCH(X$4,Curves,0))</f>
        <v>2</v>
      </c>
      <c r="Y199" s="129" t="n">
        <f aca="false">1/(1+CHOOSE(F$3,(X200+($K$3/10000))/2,(X199+($K$3/10000))/2))^(2*W199/365.25)</f>
        <v>2.65908612250642E-010</v>
      </c>
      <c r="Z199" s="5" t="n">
        <f aca="false">IF(AND(mthbeg&lt;=A199,mthend&gt;=A199),1,0)</f>
        <v>0</v>
      </c>
      <c r="AA199" s="5" t="n">
        <f aca="false">U199*Z199</f>
        <v>0</v>
      </c>
      <c r="AC199" s="115" t="n">
        <f aca="false">IF(G192=2,F199*(S199-Q199),F199*(Q199-S199))</f>
        <v>0</v>
      </c>
      <c r="AE199" s="116" t="n">
        <f aca="false">IF($G$3=1,F199*(R199-Q199),F199*(Q199-R199))</f>
        <v>0</v>
      </c>
      <c r="AG199" s="116" t="n">
        <f aca="false">AC199+AE199</f>
        <v>0</v>
      </c>
    </row>
    <row r="200" customFormat="false" ht="12" hidden="false" customHeight="true" outlineLevel="0" collapsed="false">
      <c r="A200" s="120" t="n">
        <f aca="false">EDATE(A199,1)</f>
        <v>43070</v>
      </c>
      <c r="B200" s="121" t="e">
        <f aca="false">VLOOKUP(A200,'Inputs-Summary'!$A$32:$E$41,3,FALSE())</f>
        <v>#N/A</v>
      </c>
      <c r="C200" s="122"/>
      <c r="D200" s="123" t="e">
        <f aca="false">B200+C200</f>
        <v>#N/A</v>
      </c>
      <c r="E200" s="111" t="n">
        <f aca="false">IF(Z200=0,0,IF(AND(Z200=1,$H$3=1),D200*U200,IF($H$3=2,D200,"N/A")))</f>
        <v>0</v>
      </c>
      <c r="F200" s="111" t="n">
        <f aca="false">E200*Y200</f>
        <v>0</v>
      </c>
      <c r="G200" s="124" t="n">
        <f aca="false">VLOOKUP($A200,Table,MATCH(G$4,Curves,0))</f>
        <v>3</v>
      </c>
      <c r="H200" s="125" t="n">
        <f aca="false">G200+$H$7</f>
        <v>3</v>
      </c>
      <c r="I200" s="124" t="n">
        <f aca="false">H200</f>
        <v>3</v>
      </c>
      <c r="J200" s="124" t="n">
        <f aca="false">VLOOKUP($A200,Table,MATCH(J$4,Curves,0))</f>
        <v>4</v>
      </c>
      <c r="K200" s="125" t="n">
        <f aca="false">J200+$K$7</f>
        <v>4</v>
      </c>
      <c r="L200" s="126" t="n">
        <f aca="false">K200</f>
        <v>4</v>
      </c>
      <c r="M200" s="124" t="n">
        <f aca="false">VLOOKUP($A200,Table,MATCH(M$4,Curves,0))</f>
        <v>4</v>
      </c>
      <c r="N200" s="125" t="n">
        <f aca="false">M200+$N$7</f>
        <v>4</v>
      </c>
      <c r="O200" s="126" t="n">
        <v>0.12</v>
      </c>
      <c r="P200" s="114"/>
      <c r="Q200" s="126" t="n">
        <f aca="false">M200+J200+G200</f>
        <v>11</v>
      </c>
      <c r="R200" s="126" t="n">
        <f aca="false">N200+K200+H200</f>
        <v>11</v>
      </c>
      <c r="S200" s="126" t="n">
        <f aca="false">O200+L200+I200</f>
        <v>7.12</v>
      </c>
      <c r="T200" s="127"/>
      <c r="U200" s="5" t="n">
        <f aca="false">A201-A200</f>
        <v>31</v>
      </c>
      <c r="V200" s="128" t="n">
        <f aca="false">CHOOSE(F$3,A201+24,A200)</f>
        <v>43070</v>
      </c>
      <c r="W200" s="5" t="n">
        <f aca="false">V200-C$3</f>
        <v>5839</v>
      </c>
      <c r="X200" s="124" t="n">
        <f aca="false">VLOOKUP($A200,Table,MATCH(X$4,Curves,0))</f>
        <v>2</v>
      </c>
      <c r="Y200" s="129" t="n">
        <f aca="false">1/(1+CHOOSE(F$3,(X201+($K$3/10000))/2,(X200+($K$3/10000))/2))^(2*W200/365.25)</f>
        <v>2.37291341106498E-010</v>
      </c>
      <c r="Z200" s="5" t="n">
        <f aca="false">IF(AND(mthbeg&lt;=A200,mthend&gt;=A200),1,0)</f>
        <v>0</v>
      </c>
      <c r="AA200" s="5" t="n">
        <f aca="false">U200*Z200</f>
        <v>0</v>
      </c>
      <c r="AC200" s="115" t="n">
        <f aca="false">IF(G193=2,F200*(S200-Q200),F200*(Q200-S200))</f>
        <v>0</v>
      </c>
      <c r="AE200" s="116" t="n">
        <f aca="false">IF($G$3=1,F200*(R200-Q200),F200*(Q200-R200))</f>
        <v>0</v>
      </c>
      <c r="AG200" s="116" t="n">
        <f aca="false">AC200+AE200</f>
        <v>0</v>
      </c>
    </row>
    <row r="201" customFormat="false" ht="12" hidden="false" customHeight="true" outlineLevel="0" collapsed="false">
      <c r="A201" s="120" t="n">
        <f aca="false">EDATE(A200,1)</f>
        <v>43101</v>
      </c>
      <c r="B201" s="121" t="e">
        <f aca="false">VLOOKUP(A201,'Inputs-Summary'!$A$32:$E$41,3,FALSE())</f>
        <v>#N/A</v>
      </c>
      <c r="C201" s="122"/>
      <c r="D201" s="123" t="e">
        <f aca="false">B201+C201</f>
        <v>#N/A</v>
      </c>
      <c r="E201" s="111" t="n">
        <f aca="false">IF(Z201=0,0,IF(AND(Z201=1,$H$3=1),D201*U201,IF($H$3=2,D201,"N/A")))</f>
        <v>0</v>
      </c>
      <c r="F201" s="111" t="n">
        <f aca="false">E201*Y201</f>
        <v>0</v>
      </c>
      <c r="G201" s="124" t="n">
        <f aca="false">VLOOKUP($A201,Table,MATCH(G$4,Curves,0))</f>
        <v>3</v>
      </c>
      <c r="H201" s="125" t="n">
        <f aca="false">G201+$H$7</f>
        <v>3</v>
      </c>
      <c r="I201" s="124" t="n">
        <f aca="false">H201</f>
        <v>3</v>
      </c>
      <c r="J201" s="124" t="n">
        <f aca="false">VLOOKUP($A201,Table,MATCH(J$4,Curves,0))</f>
        <v>4</v>
      </c>
      <c r="K201" s="125" t="n">
        <f aca="false">J201+$K$7</f>
        <v>4</v>
      </c>
      <c r="L201" s="126" t="n">
        <f aca="false">K201</f>
        <v>4</v>
      </c>
      <c r="M201" s="124" t="n">
        <f aca="false">VLOOKUP($A201,Table,MATCH(M$4,Curves,0))</f>
        <v>4</v>
      </c>
      <c r="N201" s="125" t="n">
        <f aca="false">M201+$N$7</f>
        <v>4</v>
      </c>
      <c r="O201" s="126" t="n">
        <v>0.12</v>
      </c>
      <c r="P201" s="114"/>
      <c r="Q201" s="126" t="n">
        <f aca="false">M201+J201+G201</f>
        <v>11</v>
      </c>
      <c r="R201" s="126" t="n">
        <f aca="false">N201+K201+H201</f>
        <v>11</v>
      </c>
      <c r="S201" s="126" t="n">
        <f aca="false">O201+L201+I201</f>
        <v>7.12</v>
      </c>
      <c r="T201" s="127"/>
      <c r="U201" s="5" t="n">
        <f aca="false">A202-A201</f>
        <v>31</v>
      </c>
      <c r="V201" s="128" t="n">
        <f aca="false">CHOOSE(F$3,A202+24,A201)</f>
        <v>43101</v>
      </c>
      <c r="W201" s="5" t="n">
        <f aca="false">V201-C$3</f>
        <v>5870</v>
      </c>
      <c r="X201" s="124" t="n">
        <f aca="false">VLOOKUP($A201,Table,MATCH(X$4,Curves,0))</f>
        <v>2</v>
      </c>
      <c r="Y201" s="129" t="n">
        <f aca="false">1/(1+CHOOSE(F$3,(X202+($K$3/10000))/2,(X201+($K$3/10000))/2))^(2*W201/365.25)</f>
        <v>2.10951699132611E-010</v>
      </c>
      <c r="Z201" s="5" t="n">
        <f aca="false">IF(AND(mthbeg&lt;=A201,mthend&gt;=A201),1,0)</f>
        <v>0</v>
      </c>
      <c r="AA201" s="5" t="n">
        <f aca="false">U201*Z201</f>
        <v>0</v>
      </c>
      <c r="AC201" s="115" t="n">
        <f aca="false">IF(G194=2,F201*(S201-Q201),F201*(Q201-S201))</f>
        <v>0</v>
      </c>
      <c r="AE201" s="116" t="n">
        <f aca="false">IF($G$3=1,F201*(R201-Q201),F201*(Q201-R201))</f>
        <v>0</v>
      </c>
      <c r="AG201" s="116" t="n">
        <f aca="false">AC201+AE201</f>
        <v>0</v>
      </c>
    </row>
    <row r="202" customFormat="false" ht="12" hidden="false" customHeight="true" outlineLevel="0" collapsed="false">
      <c r="A202" s="120" t="n">
        <f aca="false">EDATE(A201,1)</f>
        <v>43132</v>
      </c>
      <c r="B202" s="121" t="e">
        <f aca="false">VLOOKUP(A202,'Inputs-Summary'!$A$32:$E$41,3,FALSE())</f>
        <v>#N/A</v>
      </c>
      <c r="C202" s="122"/>
      <c r="D202" s="123" t="e">
        <f aca="false">B202+C202</f>
        <v>#N/A</v>
      </c>
      <c r="E202" s="111" t="n">
        <f aca="false">IF(Z202=0,0,IF(AND(Z202=1,$H$3=1),D202*U202,IF($H$3=2,D202,"N/A")))</f>
        <v>0</v>
      </c>
      <c r="F202" s="111" t="n">
        <f aca="false">E202*Y202</f>
        <v>0</v>
      </c>
      <c r="G202" s="124" t="n">
        <f aca="false">VLOOKUP($A202,Table,MATCH(G$4,Curves,0))</f>
        <v>3</v>
      </c>
      <c r="H202" s="125" t="n">
        <f aca="false">G202+$H$7</f>
        <v>3</v>
      </c>
      <c r="I202" s="124" t="n">
        <f aca="false">H202</f>
        <v>3</v>
      </c>
      <c r="J202" s="124" t="n">
        <f aca="false">VLOOKUP($A202,Table,MATCH(J$4,Curves,0))</f>
        <v>4</v>
      </c>
      <c r="K202" s="125" t="n">
        <f aca="false">J202+$K$7</f>
        <v>4</v>
      </c>
      <c r="L202" s="126" t="n">
        <f aca="false">K202</f>
        <v>4</v>
      </c>
      <c r="M202" s="124" t="n">
        <f aca="false">VLOOKUP($A202,Table,MATCH(M$4,Curves,0))</f>
        <v>4</v>
      </c>
      <c r="N202" s="125" t="n">
        <f aca="false">M202+$N$7</f>
        <v>4</v>
      </c>
      <c r="O202" s="126" t="n">
        <v>0.12</v>
      </c>
      <c r="P202" s="114"/>
      <c r="Q202" s="126" t="n">
        <f aca="false">M202+J202+G202</f>
        <v>11</v>
      </c>
      <c r="R202" s="126" t="n">
        <f aca="false">N202+K202+H202</f>
        <v>11</v>
      </c>
      <c r="S202" s="126" t="n">
        <f aca="false">O202+L202+I202</f>
        <v>7.12</v>
      </c>
      <c r="T202" s="127"/>
      <c r="U202" s="5" t="n">
        <f aca="false">A203-A202</f>
        <v>28</v>
      </c>
      <c r="V202" s="128" t="n">
        <f aca="false">CHOOSE(F$3,A203+24,A202)</f>
        <v>43132</v>
      </c>
      <c r="W202" s="5" t="n">
        <f aca="false">V202-C$3</f>
        <v>5901</v>
      </c>
      <c r="X202" s="124" t="n">
        <f aca="false">VLOOKUP($A202,Table,MATCH(X$4,Curves,0))</f>
        <v>2</v>
      </c>
      <c r="Y202" s="129" t="n">
        <f aca="false">1/(1+CHOOSE(F$3,(X203+($K$3/10000))/2,(X202+($K$3/10000))/2))^(2*W202/365.25)</f>
        <v>1.87535791063541E-010</v>
      </c>
      <c r="Z202" s="5" t="n">
        <f aca="false">IF(AND(mthbeg&lt;=A202,mthend&gt;=A202),1,0)</f>
        <v>0</v>
      </c>
      <c r="AA202" s="5" t="n">
        <f aca="false">U202*Z202</f>
        <v>0</v>
      </c>
      <c r="AC202" s="115" t="n">
        <f aca="false">IF(G195=2,F202*(S202-Q202),F202*(Q202-S202))</f>
        <v>0</v>
      </c>
      <c r="AE202" s="116" t="n">
        <f aca="false">IF($G$3=1,F202*(R202-Q202),F202*(Q202-R202))</f>
        <v>0</v>
      </c>
      <c r="AG202" s="116" t="n">
        <f aca="false">AC202+AE202</f>
        <v>0</v>
      </c>
    </row>
    <row r="203" customFormat="false" ht="12" hidden="false" customHeight="true" outlineLevel="0" collapsed="false">
      <c r="A203" s="120" t="n">
        <f aca="false">EDATE(A202,1)</f>
        <v>43160</v>
      </c>
      <c r="B203" s="121" t="e">
        <f aca="false">VLOOKUP(A203,'Inputs-Summary'!$A$32:$E$41,3,FALSE())</f>
        <v>#N/A</v>
      </c>
      <c r="C203" s="122"/>
      <c r="D203" s="123" t="e">
        <f aca="false">B203+C203</f>
        <v>#N/A</v>
      </c>
      <c r="E203" s="111" t="n">
        <f aca="false">IF(Z203=0,0,IF(AND(Z203=1,$H$3=1),D203*U203,IF($H$3=2,D203,"N/A")))</f>
        <v>0</v>
      </c>
      <c r="F203" s="111" t="n">
        <f aca="false">E203*Y203</f>
        <v>0</v>
      </c>
      <c r="G203" s="124" t="n">
        <f aca="false">VLOOKUP($A203,Table,MATCH(G$4,Curves,0))</f>
        <v>3</v>
      </c>
      <c r="H203" s="125" t="n">
        <f aca="false">G203+$H$7</f>
        <v>3</v>
      </c>
      <c r="I203" s="124" t="n">
        <f aca="false">H203</f>
        <v>3</v>
      </c>
      <c r="J203" s="124" t="n">
        <f aca="false">VLOOKUP($A203,Table,MATCH(J$4,Curves,0))</f>
        <v>4</v>
      </c>
      <c r="K203" s="125" t="n">
        <f aca="false">J203+$K$7</f>
        <v>4</v>
      </c>
      <c r="L203" s="126" t="n">
        <f aca="false">K203</f>
        <v>4</v>
      </c>
      <c r="M203" s="124" t="n">
        <f aca="false">VLOOKUP($A203,Table,MATCH(M$4,Curves,0))</f>
        <v>4</v>
      </c>
      <c r="N203" s="125" t="n">
        <f aca="false">M203+$N$7</f>
        <v>4</v>
      </c>
      <c r="O203" s="126" t="n">
        <v>0.12</v>
      </c>
      <c r="P203" s="114"/>
      <c r="Q203" s="126" t="n">
        <f aca="false">M203+J203+G203</f>
        <v>11</v>
      </c>
      <c r="R203" s="126" t="n">
        <f aca="false">N203+K203+H203</f>
        <v>11</v>
      </c>
      <c r="S203" s="126" t="n">
        <f aca="false">O203+L203+I203</f>
        <v>7.12</v>
      </c>
      <c r="T203" s="127"/>
      <c r="U203" s="5" t="n">
        <f aca="false">A204-A203</f>
        <v>31</v>
      </c>
      <c r="V203" s="128" t="n">
        <f aca="false">CHOOSE(F$3,A204+24,A203)</f>
        <v>43160</v>
      </c>
      <c r="W203" s="5" t="n">
        <f aca="false">V203-C$3</f>
        <v>5929</v>
      </c>
      <c r="X203" s="124" t="n">
        <f aca="false">VLOOKUP($A203,Table,MATCH(X$4,Curves,0))</f>
        <v>2</v>
      </c>
      <c r="Y203" s="129" t="n">
        <f aca="false">1/(1+CHOOSE(F$3,(X204+($K$3/10000))/2,(X203+($K$3/10000))/2))^(2*W203/365.25)</f>
        <v>1.68628257751858E-010</v>
      </c>
      <c r="Z203" s="5" t="n">
        <f aca="false">IF(AND(mthbeg&lt;=A203,mthend&gt;=A203),1,0)</f>
        <v>0</v>
      </c>
      <c r="AA203" s="5" t="n">
        <f aca="false">U203*Z203</f>
        <v>0</v>
      </c>
      <c r="AC203" s="115" t="n">
        <f aca="false">IF(G196=2,F203*(S203-Q203),F203*(Q203-S203))</f>
        <v>0</v>
      </c>
      <c r="AE203" s="116" t="n">
        <f aca="false">IF($G$3=1,F203*(R203-Q203),F203*(Q203-R203))</f>
        <v>0</v>
      </c>
      <c r="AG203" s="116" t="n">
        <f aca="false">AC203+AE203</f>
        <v>0</v>
      </c>
    </row>
    <row r="204" customFormat="false" ht="12" hidden="false" customHeight="true" outlineLevel="0" collapsed="false">
      <c r="A204" s="120" t="n">
        <f aca="false">EDATE(A203,1)</f>
        <v>43191</v>
      </c>
      <c r="B204" s="121" t="e">
        <f aca="false">VLOOKUP(A204,'Inputs-Summary'!$A$32:$E$41,3,FALSE())</f>
        <v>#N/A</v>
      </c>
      <c r="C204" s="122"/>
      <c r="D204" s="123" t="e">
        <f aca="false">B204+C204</f>
        <v>#N/A</v>
      </c>
      <c r="E204" s="111" t="n">
        <f aca="false">IF(Z204=0,0,IF(AND(Z204=1,$H$3=1),D204*U204,IF($H$3=2,D204,"N/A")))</f>
        <v>0</v>
      </c>
      <c r="F204" s="111" t="n">
        <f aca="false">E204*Y204</f>
        <v>0</v>
      </c>
      <c r="G204" s="124" t="n">
        <f aca="false">VLOOKUP($A204,Table,MATCH(G$4,Curves,0))</f>
        <v>3</v>
      </c>
      <c r="H204" s="125" t="n">
        <f aca="false">G204+$H$7</f>
        <v>3</v>
      </c>
      <c r="I204" s="124" t="n">
        <f aca="false">H204</f>
        <v>3</v>
      </c>
      <c r="J204" s="124" t="n">
        <f aca="false">VLOOKUP($A204,Table,MATCH(J$4,Curves,0))</f>
        <v>4</v>
      </c>
      <c r="K204" s="125" t="n">
        <f aca="false">J204+$K$7</f>
        <v>4</v>
      </c>
      <c r="L204" s="126" t="n">
        <f aca="false">K204</f>
        <v>4</v>
      </c>
      <c r="M204" s="124" t="n">
        <f aca="false">VLOOKUP($A204,Table,MATCH(M$4,Curves,0))</f>
        <v>4</v>
      </c>
      <c r="N204" s="125" t="n">
        <f aca="false">M204+$N$7</f>
        <v>4</v>
      </c>
      <c r="O204" s="126" t="n">
        <v>0.12</v>
      </c>
      <c r="P204" s="114"/>
      <c r="Q204" s="126" t="n">
        <f aca="false">M204+J204+G204</f>
        <v>11</v>
      </c>
      <c r="R204" s="126" t="n">
        <f aca="false">N204+K204+H204</f>
        <v>11</v>
      </c>
      <c r="S204" s="126" t="n">
        <f aca="false">O204+L204+I204</f>
        <v>7.12</v>
      </c>
      <c r="T204" s="127"/>
      <c r="U204" s="5" t="n">
        <f aca="false">A205-A204</f>
        <v>30</v>
      </c>
      <c r="V204" s="128" t="n">
        <f aca="false">CHOOSE(F$3,A205+24,A204)</f>
        <v>43191</v>
      </c>
      <c r="W204" s="5" t="n">
        <f aca="false">V204-C$3</f>
        <v>5960</v>
      </c>
      <c r="X204" s="124" t="n">
        <f aca="false">VLOOKUP($A204,Table,MATCH(X$4,Curves,0))</f>
        <v>2</v>
      </c>
      <c r="Y204" s="129" t="n">
        <f aca="false">1/(1+CHOOSE(F$3,(X205+($K$3/10000))/2,(X204+($K$3/10000))/2))^(2*W204/365.25)</f>
        <v>1.49910305739143E-010</v>
      </c>
      <c r="Z204" s="5" t="n">
        <f aca="false">IF(AND(mthbeg&lt;=A204,mthend&gt;=A204),1,0)</f>
        <v>0</v>
      </c>
      <c r="AA204" s="5" t="n">
        <f aca="false">U204*Z204</f>
        <v>0</v>
      </c>
      <c r="AC204" s="115" t="n">
        <f aca="false">IF(G197=2,F204*(S204-Q204),F204*(Q204-S204))</f>
        <v>0</v>
      </c>
      <c r="AE204" s="116" t="n">
        <f aca="false">IF($G$3=1,F204*(R204-Q204),F204*(Q204-R204))</f>
        <v>0</v>
      </c>
      <c r="AG204" s="116" t="n">
        <f aca="false">AC204+AE204</f>
        <v>0</v>
      </c>
    </row>
    <row r="205" customFormat="false" ht="12" hidden="false" customHeight="true" outlineLevel="0" collapsed="false">
      <c r="A205" s="120" t="n">
        <f aca="false">EDATE(A204,1)</f>
        <v>43221</v>
      </c>
      <c r="B205" s="121" t="e">
        <f aca="false">VLOOKUP(A205,'Inputs-Summary'!$A$32:$E$41,3,FALSE())</f>
        <v>#N/A</v>
      </c>
      <c r="C205" s="122"/>
      <c r="D205" s="123" t="e">
        <f aca="false">B205+C205</f>
        <v>#N/A</v>
      </c>
      <c r="E205" s="111" t="n">
        <f aca="false">IF(Z205=0,0,IF(AND(Z205=1,$H$3=1),D205*U205,IF($H$3=2,D205,"N/A")))</f>
        <v>0</v>
      </c>
      <c r="F205" s="111" t="n">
        <f aca="false">E205*Y205</f>
        <v>0</v>
      </c>
      <c r="G205" s="124" t="n">
        <f aca="false">VLOOKUP($A205,Table,MATCH(G$4,Curves,0))</f>
        <v>3</v>
      </c>
      <c r="H205" s="125" t="n">
        <f aca="false">G205+$H$7</f>
        <v>3</v>
      </c>
      <c r="I205" s="124" t="n">
        <f aca="false">H205</f>
        <v>3</v>
      </c>
      <c r="J205" s="124" t="n">
        <f aca="false">VLOOKUP($A205,Table,MATCH(J$4,Curves,0))</f>
        <v>4</v>
      </c>
      <c r="K205" s="125" t="n">
        <f aca="false">J205+$K$7</f>
        <v>4</v>
      </c>
      <c r="L205" s="126" t="n">
        <f aca="false">K205</f>
        <v>4</v>
      </c>
      <c r="M205" s="124" t="n">
        <f aca="false">VLOOKUP($A205,Table,MATCH(M$4,Curves,0))</f>
        <v>4</v>
      </c>
      <c r="N205" s="125" t="n">
        <f aca="false">M205+$N$7</f>
        <v>4</v>
      </c>
      <c r="O205" s="126" t="n">
        <v>0.12</v>
      </c>
      <c r="P205" s="114"/>
      <c r="Q205" s="126" t="n">
        <f aca="false">M205+J205+G205</f>
        <v>11</v>
      </c>
      <c r="R205" s="126" t="n">
        <f aca="false">N205+K205+H205</f>
        <v>11</v>
      </c>
      <c r="S205" s="126" t="n">
        <f aca="false">O205+L205+I205</f>
        <v>7.12</v>
      </c>
      <c r="T205" s="127"/>
      <c r="U205" s="5" t="n">
        <f aca="false">A206-A205</f>
        <v>31</v>
      </c>
      <c r="V205" s="128" t="n">
        <f aca="false">CHOOSE(F$3,A206+24,A205)</f>
        <v>43221</v>
      </c>
      <c r="W205" s="5" t="n">
        <f aca="false">V205-C$3</f>
        <v>5990</v>
      </c>
      <c r="X205" s="124" t="n">
        <f aca="false">VLOOKUP($A205,Table,MATCH(X$4,Curves,0))</f>
        <v>2</v>
      </c>
      <c r="Y205" s="129" t="n">
        <f aca="false">1/(1+CHOOSE(F$3,(X206+($K$3/10000))/2,(X205+($K$3/10000))/2))^(2*W205/365.25)</f>
        <v>1.33776853609376E-010</v>
      </c>
      <c r="Z205" s="5" t="n">
        <f aca="false">IF(AND(mthbeg&lt;=A205,mthend&gt;=A205),1,0)</f>
        <v>0</v>
      </c>
      <c r="AA205" s="5" t="n">
        <f aca="false">U205*Z205</f>
        <v>0</v>
      </c>
      <c r="AC205" s="115" t="n">
        <f aca="false">IF(G198=2,F205*(S205-Q205),F205*(Q205-S205))</f>
        <v>0</v>
      </c>
      <c r="AE205" s="116" t="n">
        <f aca="false">IF($G$3=1,F205*(R205-Q205),F205*(Q205-R205))</f>
        <v>0</v>
      </c>
      <c r="AG205" s="116" t="n">
        <f aca="false">AC205+AE205</f>
        <v>0</v>
      </c>
    </row>
    <row r="206" customFormat="false" ht="12" hidden="false" customHeight="true" outlineLevel="0" collapsed="false">
      <c r="A206" s="120" t="n">
        <f aca="false">EDATE(A205,1)</f>
        <v>43252</v>
      </c>
      <c r="B206" s="121" t="e">
        <f aca="false">VLOOKUP(A206,'Inputs-Summary'!$A$32:$E$41,3,FALSE())</f>
        <v>#N/A</v>
      </c>
      <c r="C206" s="122"/>
      <c r="D206" s="123" t="e">
        <f aca="false">B206+C206</f>
        <v>#N/A</v>
      </c>
      <c r="E206" s="111" t="n">
        <f aca="false">IF(Z206=0,0,IF(AND(Z206=1,$H$3=1),D206*U206,IF($H$3=2,D206,"N/A")))</f>
        <v>0</v>
      </c>
      <c r="F206" s="111" t="n">
        <f aca="false">E206*Y206</f>
        <v>0</v>
      </c>
      <c r="G206" s="124" t="n">
        <f aca="false">VLOOKUP($A206,Table,MATCH(G$4,Curves,0))</f>
        <v>3</v>
      </c>
      <c r="H206" s="125" t="n">
        <f aca="false">G206+$H$7</f>
        <v>3</v>
      </c>
      <c r="I206" s="124" t="n">
        <f aca="false">H206</f>
        <v>3</v>
      </c>
      <c r="J206" s="124" t="n">
        <f aca="false">VLOOKUP($A206,Table,MATCH(J$4,Curves,0))</f>
        <v>4</v>
      </c>
      <c r="K206" s="125" t="n">
        <f aca="false">J206+$K$7</f>
        <v>4</v>
      </c>
      <c r="L206" s="126" t="n">
        <f aca="false">K206</f>
        <v>4</v>
      </c>
      <c r="M206" s="124" t="n">
        <f aca="false">VLOOKUP($A206,Table,MATCH(M$4,Curves,0))</f>
        <v>4</v>
      </c>
      <c r="N206" s="125" t="n">
        <f aca="false">M206+$N$7</f>
        <v>4</v>
      </c>
      <c r="O206" s="126" t="n">
        <v>0.12</v>
      </c>
      <c r="P206" s="114"/>
      <c r="Q206" s="126" t="n">
        <f aca="false">M206+J206+G206</f>
        <v>11</v>
      </c>
      <c r="R206" s="126" t="n">
        <f aca="false">N206+K206+H206</f>
        <v>11</v>
      </c>
      <c r="S206" s="126" t="n">
        <f aca="false">O206+L206+I206</f>
        <v>7.12</v>
      </c>
      <c r="T206" s="127"/>
      <c r="U206" s="5" t="n">
        <f aca="false">A207-A206</f>
        <v>30</v>
      </c>
      <c r="V206" s="128" t="n">
        <f aca="false">CHOOSE(F$3,A207+24,A206)</f>
        <v>43252</v>
      </c>
      <c r="W206" s="5" t="n">
        <f aca="false">V206-C$3</f>
        <v>6021</v>
      </c>
      <c r="X206" s="124" t="n">
        <f aca="false">VLOOKUP($A206,Table,MATCH(X$4,Curves,0))</f>
        <v>2</v>
      </c>
      <c r="Y206" s="129" t="n">
        <f aca="false">1/(1+CHOOSE(F$3,(X207+($K$3/10000))/2,(X206+($K$3/10000))/2))^(2*W206/365.25)</f>
        <v>1.18927451974941E-010</v>
      </c>
      <c r="Z206" s="5" t="n">
        <f aca="false">IF(AND(mthbeg&lt;=A206,mthend&gt;=A206),1,0)</f>
        <v>0</v>
      </c>
      <c r="AA206" s="5" t="n">
        <f aca="false">U206*Z206</f>
        <v>0</v>
      </c>
      <c r="AC206" s="115" t="n">
        <f aca="false">IF(G199=2,F206*(S206-Q206),F206*(Q206-S206))</f>
        <v>0</v>
      </c>
      <c r="AE206" s="116" t="n">
        <f aca="false">IF($G$3=1,F206*(R206-Q206),F206*(Q206-R206))</f>
        <v>0</v>
      </c>
      <c r="AG206" s="116" t="n">
        <f aca="false">AC206+AE206</f>
        <v>0</v>
      </c>
    </row>
    <row r="207" customFormat="false" ht="12" hidden="false" customHeight="true" outlineLevel="0" collapsed="false">
      <c r="A207" s="120" t="n">
        <f aca="false">EDATE(A206,1)</f>
        <v>43282</v>
      </c>
      <c r="B207" s="121" t="e">
        <f aca="false">VLOOKUP(A207,'Inputs-Summary'!$A$32:$E$41,3,FALSE())</f>
        <v>#N/A</v>
      </c>
      <c r="C207" s="122"/>
      <c r="D207" s="123" t="e">
        <f aca="false">B207+C207</f>
        <v>#N/A</v>
      </c>
      <c r="E207" s="111" t="n">
        <f aca="false">IF(Z207=0,0,IF(AND(Z207=1,$H$3=1),D207*U207,IF($H$3=2,D207,"N/A")))</f>
        <v>0</v>
      </c>
      <c r="F207" s="111" t="n">
        <f aca="false">E207*Y207</f>
        <v>0</v>
      </c>
      <c r="G207" s="124" t="n">
        <f aca="false">VLOOKUP($A207,Table,MATCH(G$4,Curves,0))</f>
        <v>3</v>
      </c>
      <c r="H207" s="125" t="n">
        <f aca="false">G207+$H$7</f>
        <v>3</v>
      </c>
      <c r="I207" s="124" t="n">
        <f aca="false">H207</f>
        <v>3</v>
      </c>
      <c r="J207" s="124" t="n">
        <f aca="false">VLOOKUP($A207,Table,MATCH(J$4,Curves,0))</f>
        <v>4</v>
      </c>
      <c r="K207" s="125" t="n">
        <f aca="false">J207+$K$7</f>
        <v>4</v>
      </c>
      <c r="L207" s="126" t="n">
        <f aca="false">K207</f>
        <v>4</v>
      </c>
      <c r="M207" s="124" t="n">
        <f aca="false">VLOOKUP($A207,Table,MATCH(M$4,Curves,0))</f>
        <v>4</v>
      </c>
      <c r="N207" s="125" t="n">
        <f aca="false">M207+$N$7</f>
        <v>4</v>
      </c>
      <c r="O207" s="126" t="n">
        <v>0.12</v>
      </c>
      <c r="P207" s="114"/>
      <c r="Q207" s="126" t="n">
        <f aca="false">M207+J207+G207</f>
        <v>11</v>
      </c>
      <c r="R207" s="126" t="n">
        <f aca="false">N207+K207+H207</f>
        <v>11</v>
      </c>
      <c r="S207" s="126" t="n">
        <f aca="false">O207+L207+I207</f>
        <v>7.12</v>
      </c>
      <c r="T207" s="127"/>
      <c r="U207" s="5" t="n">
        <f aca="false">A208-A207</f>
        <v>31</v>
      </c>
      <c r="V207" s="128" t="n">
        <f aca="false">CHOOSE(F$3,A208+24,A207)</f>
        <v>43282</v>
      </c>
      <c r="W207" s="5" t="n">
        <f aca="false">V207-C$3</f>
        <v>6051</v>
      </c>
      <c r="X207" s="124" t="n">
        <f aca="false">VLOOKUP($A207,Table,MATCH(X$4,Curves,0))</f>
        <v>2</v>
      </c>
      <c r="Y207" s="129" t="n">
        <f aca="false">1/(1+CHOOSE(F$3,(X208+($K$3/10000))/2,(X207+($K$3/10000))/2))^(2*W207/365.25)</f>
        <v>1.06128396273649E-010</v>
      </c>
      <c r="Z207" s="5" t="n">
        <f aca="false">IF(AND(mthbeg&lt;=A207,mthend&gt;=A207),1,0)</f>
        <v>0</v>
      </c>
      <c r="AA207" s="5" t="n">
        <f aca="false">U207*Z207</f>
        <v>0</v>
      </c>
      <c r="AC207" s="115" t="n">
        <f aca="false">IF(G200=2,F207*(S207-Q207),F207*(Q207-S207))</f>
        <v>0</v>
      </c>
      <c r="AE207" s="116" t="n">
        <f aca="false">IF($G$3=1,F207*(R207-Q207),F207*(Q207-R207))</f>
        <v>0</v>
      </c>
      <c r="AG207" s="116" t="n">
        <f aca="false">AC207+AE207</f>
        <v>0</v>
      </c>
    </row>
    <row r="208" customFormat="false" ht="12" hidden="false" customHeight="true" outlineLevel="0" collapsed="false">
      <c r="A208" s="120" t="n">
        <f aca="false">EDATE(A207,1)</f>
        <v>43313</v>
      </c>
      <c r="B208" s="121" t="e">
        <f aca="false">VLOOKUP(A208,'Inputs-Summary'!$A$32:$E$41,3,FALSE())</f>
        <v>#N/A</v>
      </c>
      <c r="C208" s="122"/>
      <c r="D208" s="123" t="e">
        <f aca="false">B208+C208</f>
        <v>#N/A</v>
      </c>
      <c r="E208" s="111" t="n">
        <f aca="false">IF(Z208=0,0,IF(AND(Z208=1,$H$3=1),D208*U208,IF($H$3=2,D208,"N/A")))</f>
        <v>0</v>
      </c>
      <c r="F208" s="111" t="n">
        <f aca="false">E208*Y208</f>
        <v>0</v>
      </c>
      <c r="G208" s="124" t="n">
        <f aca="false">VLOOKUP($A208,Table,MATCH(G$4,Curves,0))</f>
        <v>3</v>
      </c>
      <c r="H208" s="125" t="n">
        <f aca="false">G208+$H$7</f>
        <v>3</v>
      </c>
      <c r="I208" s="124" t="n">
        <f aca="false">H208</f>
        <v>3</v>
      </c>
      <c r="J208" s="124" t="n">
        <f aca="false">VLOOKUP($A208,Table,MATCH(J$4,Curves,0))</f>
        <v>4</v>
      </c>
      <c r="K208" s="125" t="n">
        <f aca="false">J208+$K$7</f>
        <v>4</v>
      </c>
      <c r="L208" s="126" t="n">
        <f aca="false">K208</f>
        <v>4</v>
      </c>
      <c r="M208" s="124" t="n">
        <f aca="false">VLOOKUP($A208,Table,MATCH(M$4,Curves,0))</f>
        <v>4</v>
      </c>
      <c r="N208" s="125" t="n">
        <f aca="false">M208+$N$7</f>
        <v>4</v>
      </c>
      <c r="O208" s="126" t="n">
        <v>0.12</v>
      </c>
      <c r="P208" s="114"/>
      <c r="Q208" s="126" t="n">
        <f aca="false">M208+J208+G208</f>
        <v>11</v>
      </c>
      <c r="R208" s="126" t="n">
        <f aca="false">N208+K208+H208</f>
        <v>11</v>
      </c>
      <c r="S208" s="126" t="n">
        <f aca="false">O208+L208+I208</f>
        <v>7.12</v>
      </c>
      <c r="T208" s="127"/>
      <c r="U208" s="5" t="n">
        <f aca="false">A209-A208</f>
        <v>31</v>
      </c>
      <c r="V208" s="128" t="n">
        <f aca="false">CHOOSE(F$3,A209+24,A208)</f>
        <v>43313</v>
      </c>
      <c r="W208" s="5" t="n">
        <f aca="false">V208-C$3</f>
        <v>6082</v>
      </c>
      <c r="X208" s="124" t="n">
        <f aca="false">VLOOKUP($A208,Table,MATCH(X$4,Curves,0))</f>
        <v>2</v>
      </c>
      <c r="Y208" s="129" t="n">
        <f aca="false">1/(1+CHOOSE(F$3,(X209+($K$3/10000))/2,(X208+($K$3/10000))/2))^(2*W208/365.25)</f>
        <v>9.43480087210496E-011</v>
      </c>
      <c r="Z208" s="5" t="n">
        <f aca="false">IF(AND(mthbeg&lt;=A208,mthend&gt;=A208),1,0)</f>
        <v>0</v>
      </c>
      <c r="AA208" s="5" t="n">
        <f aca="false">U208*Z208</f>
        <v>0</v>
      </c>
      <c r="AC208" s="115" t="n">
        <f aca="false">IF(G201=2,F208*(S208-Q208),F208*(Q208-S208))</f>
        <v>0</v>
      </c>
      <c r="AE208" s="116" t="n">
        <f aca="false">IF($G$3=1,F208*(R208-Q208),F208*(Q208-R208))</f>
        <v>0</v>
      </c>
      <c r="AG208" s="116" t="n">
        <f aca="false">AC208+AE208</f>
        <v>0</v>
      </c>
    </row>
    <row r="209" customFormat="false" ht="12" hidden="false" customHeight="true" outlineLevel="0" collapsed="false">
      <c r="A209" s="120" t="n">
        <f aca="false">EDATE(A208,1)</f>
        <v>43344</v>
      </c>
      <c r="B209" s="121" t="e">
        <f aca="false">VLOOKUP(A209,'Inputs-Summary'!$A$32:$E$41,3,FALSE())</f>
        <v>#N/A</v>
      </c>
      <c r="C209" s="122"/>
      <c r="D209" s="123" t="e">
        <f aca="false">B209+C209</f>
        <v>#N/A</v>
      </c>
      <c r="E209" s="111" t="n">
        <f aca="false">IF(Z209=0,0,IF(AND(Z209=1,$H$3=1),D209*U209,IF($H$3=2,D209,"N/A")))</f>
        <v>0</v>
      </c>
      <c r="F209" s="111" t="n">
        <f aca="false">E209*Y209</f>
        <v>0</v>
      </c>
      <c r="G209" s="124" t="n">
        <f aca="false">VLOOKUP($A209,Table,MATCH(G$4,Curves,0))</f>
        <v>3</v>
      </c>
      <c r="H209" s="125" t="n">
        <f aca="false">G209+$H$7</f>
        <v>3</v>
      </c>
      <c r="I209" s="124" t="n">
        <f aca="false">H209</f>
        <v>3</v>
      </c>
      <c r="J209" s="124" t="n">
        <f aca="false">VLOOKUP($A209,Table,MATCH(J$4,Curves,0))</f>
        <v>4</v>
      </c>
      <c r="K209" s="125" t="n">
        <f aca="false">J209+$K$7</f>
        <v>4</v>
      </c>
      <c r="L209" s="126" t="n">
        <f aca="false">K209</f>
        <v>4</v>
      </c>
      <c r="M209" s="124" t="n">
        <f aca="false">VLOOKUP($A209,Table,MATCH(M$4,Curves,0))</f>
        <v>4</v>
      </c>
      <c r="N209" s="125" t="n">
        <f aca="false">M209+$N$7</f>
        <v>4</v>
      </c>
      <c r="O209" s="126" t="n">
        <v>0.12</v>
      </c>
      <c r="P209" s="114"/>
      <c r="Q209" s="126" t="n">
        <f aca="false">M209+J209+G209</f>
        <v>11</v>
      </c>
      <c r="R209" s="126" t="n">
        <f aca="false">N209+K209+H209</f>
        <v>11</v>
      </c>
      <c r="S209" s="126" t="n">
        <f aca="false">O209+L209+I209</f>
        <v>7.12</v>
      </c>
      <c r="T209" s="127"/>
      <c r="U209" s="5" t="n">
        <f aca="false">A210-A209</f>
        <v>30</v>
      </c>
      <c r="V209" s="128" t="n">
        <f aca="false">CHOOSE(F$3,A210+24,A209)</f>
        <v>43344</v>
      </c>
      <c r="W209" s="5" t="n">
        <f aca="false">V209-C$3</f>
        <v>6113</v>
      </c>
      <c r="X209" s="124" t="n">
        <f aca="false">VLOOKUP($A209,Table,MATCH(X$4,Curves,0))</f>
        <v>2</v>
      </c>
      <c r="Y209" s="129" t="n">
        <f aca="false">1/(1+CHOOSE(F$3,(X210+($K$3/10000))/2,(X209+($K$3/10000))/2))^(2*W209/365.25)</f>
        <v>8.38752592348125E-011</v>
      </c>
      <c r="Z209" s="5" t="n">
        <f aca="false">IF(AND(mthbeg&lt;=A209,mthend&gt;=A209),1,0)</f>
        <v>0</v>
      </c>
      <c r="AA209" s="5" t="n">
        <f aca="false">U209*Z209</f>
        <v>0</v>
      </c>
      <c r="AC209" s="115" t="n">
        <f aca="false">IF(G202=2,F209*(S209-Q209),F209*(Q209-S209))</f>
        <v>0</v>
      </c>
      <c r="AE209" s="116" t="n">
        <f aca="false">IF($G$3=1,F209*(R209-Q209),F209*(Q209-R209))</f>
        <v>0</v>
      </c>
      <c r="AG209" s="116" t="n">
        <f aca="false">AC209+AE209</f>
        <v>0</v>
      </c>
    </row>
    <row r="210" customFormat="false" ht="12" hidden="false" customHeight="true" outlineLevel="0" collapsed="false">
      <c r="A210" s="120" t="n">
        <f aca="false">EDATE(A209,1)</f>
        <v>43374</v>
      </c>
      <c r="B210" s="121" t="e">
        <f aca="false">VLOOKUP(A210,'Inputs-Summary'!$A$32:$E$41,3,FALSE())</f>
        <v>#N/A</v>
      </c>
      <c r="C210" s="122"/>
      <c r="D210" s="123" t="e">
        <f aca="false">B210+C210</f>
        <v>#N/A</v>
      </c>
      <c r="E210" s="111" t="n">
        <f aca="false">IF(Z210=0,0,IF(AND(Z210=1,$H$3=1),D210*U210,IF($H$3=2,D210,"N/A")))</f>
        <v>0</v>
      </c>
      <c r="F210" s="111" t="n">
        <f aca="false">E210*Y210</f>
        <v>0</v>
      </c>
      <c r="G210" s="124" t="n">
        <f aca="false">VLOOKUP($A210,Table,MATCH(G$4,Curves,0))</f>
        <v>3</v>
      </c>
      <c r="H210" s="125" t="n">
        <f aca="false">G210+$H$7</f>
        <v>3</v>
      </c>
      <c r="I210" s="124" t="n">
        <f aca="false">H210</f>
        <v>3</v>
      </c>
      <c r="J210" s="124" t="n">
        <f aca="false">VLOOKUP($A210,Table,MATCH(J$4,Curves,0))</f>
        <v>4</v>
      </c>
      <c r="K210" s="125" t="n">
        <f aca="false">J210+$K$7</f>
        <v>4</v>
      </c>
      <c r="L210" s="126" t="n">
        <f aca="false">K210</f>
        <v>4</v>
      </c>
      <c r="M210" s="124" t="n">
        <f aca="false">VLOOKUP($A210,Table,MATCH(M$4,Curves,0))</f>
        <v>4</v>
      </c>
      <c r="N210" s="125" t="n">
        <f aca="false">M210+$N$7</f>
        <v>4</v>
      </c>
      <c r="O210" s="126" t="n">
        <v>0.12</v>
      </c>
      <c r="P210" s="114"/>
      <c r="Q210" s="126" t="n">
        <f aca="false">M210+J210+G210</f>
        <v>11</v>
      </c>
      <c r="R210" s="126" t="n">
        <f aca="false">N210+K210+H210</f>
        <v>11</v>
      </c>
      <c r="S210" s="126" t="n">
        <f aca="false">O210+L210+I210</f>
        <v>7.12</v>
      </c>
      <c r="T210" s="127"/>
      <c r="U210" s="5" t="n">
        <f aca="false">A211-A210</f>
        <v>31</v>
      </c>
      <c r="V210" s="128" t="n">
        <f aca="false">CHOOSE(F$3,A211+24,A210)</f>
        <v>43374</v>
      </c>
      <c r="W210" s="5" t="n">
        <f aca="false">V210-C$3</f>
        <v>6143</v>
      </c>
      <c r="X210" s="124" t="n">
        <f aca="false">VLOOKUP($A210,Table,MATCH(X$4,Curves,0))</f>
        <v>2</v>
      </c>
      <c r="Y210" s="129" t="n">
        <f aca="false">1/(1+CHOOSE(F$3,(X211+($K$3/10000))/2,(X210+($K$3/10000))/2))^(2*W210/365.25)</f>
        <v>7.48485450735368E-011</v>
      </c>
      <c r="Z210" s="5" t="n">
        <f aca="false">IF(AND(mthbeg&lt;=A210,mthend&gt;=A210),1,0)</f>
        <v>0</v>
      </c>
      <c r="AA210" s="5" t="n">
        <f aca="false">U210*Z210</f>
        <v>0</v>
      </c>
      <c r="AC210" s="115" t="n">
        <f aca="false">IF(G203=2,F210*(S210-Q210),F210*(Q210-S210))</f>
        <v>0</v>
      </c>
      <c r="AE210" s="116" t="n">
        <f aca="false">IF($G$3=1,F210*(R210-Q210),F210*(Q210-R210))</f>
        <v>0</v>
      </c>
      <c r="AG210" s="116" t="n">
        <f aca="false">AC210+AE210</f>
        <v>0</v>
      </c>
    </row>
    <row r="211" customFormat="false" ht="12" hidden="false" customHeight="true" outlineLevel="0" collapsed="false">
      <c r="A211" s="120" t="n">
        <f aca="false">EDATE(A210,1)</f>
        <v>43405</v>
      </c>
      <c r="B211" s="121" t="e">
        <f aca="false">VLOOKUP(A211,'Inputs-Summary'!$A$32:$E$41,3,FALSE())</f>
        <v>#N/A</v>
      </c>
      <c r="C211" s="122"/>
      <c r="D211" s="123" t="e">
        <f aca="false">B211+C211</f>
        <v>#N/A</v>
      </c>
      <c r="E211" s="111" t="n">
        <f aca="false">IF(Z211=0,0,IF(AND(Z211=1,$H$3=1),D211*U211,IF($H$3=2,D211,"N/A")))</f>
        <v>0</v>
      </c>
      <c r="F211" s="111" t="n">
        <f aca="false">E211*Y211</f>
        <v>0</v>
      </c>
      <c r="G211" s="124" t="n">
        <f aca="false">VLOOKUP($A211,Table,MATCH(G$4,Curves,0))</f>
        <v>3</v>
      </c>
      <c r="H211" s="125" t="n">
        <f aca="false">G211+$H$7</f>
        <v>3</v>
      </c>
      <c r="I211" s="124" t="n">
        <f aca="false">H211</f>
        <v>3</v>
      </c>
      <c r="J211" s="124" t="n">
        <f aca="false">VLOOKUP($A211,Table,MATCH(J$4,Curves,0))</f>
        <v>4</v>
      </c>
      <c r="K211" s="125" t="n">
        <f aca="false">J211+$K$7</f>
        <v>4</v>
      </c>
      <c r="L211" s="126" t="n">
        <f aca="false">K211</f>
        <v>4</v>
      </c>
      <c r="M211" s="124" t="n">
        <f aca="false">VLOOKUP($A211,Table,MATCH(M$4,Curves,0))</f>
        <v>4</v>
      </c>
      <c r="N211" s="125" t="n">
        <f aca="false">M211+$N$7</f>
        <v>4</v>
      </c>
      <c r="O211" s="126" t="n">
        <v>0.12</v>
      </c>
      <c r="P211" s="114"/>
      <c r="Q211" s="126" t="n">
        <f aca="false">M211+J211+G211</f>
        <v>11</v>
      </c>
      <c r="R211" s="126" t="n">
        <f aca="false">N211+K211+H211</f>
        <v>11</v>
      </c>
      <c r="S211" s="126" t="n">
        <f aca="false">O211+L211+I211</f>
        <v>7.12</v>
      </c>
      <c r="T211" s="127"/>
      <c r="U211" s="5" t="n">
        <f aca="false">A212-A211</f>
        <v>30</v>
      </c>
      <c r="V211" s="128" t="n">
        <f aca="false">CHOOSE(F$3,A212+24,A211)</f>
        <v>43405</v>
      </c>
      <c r="W211" s="5" t="n">
        <f aca="false">V211-C$3</f>
        <v>6174</v>
      </c>
      <c r="X211" s="124" t="n">
        <f aca="false">VLOOKUP($A211,Table,MATCH(X$4,Curves,0))</f>
        <v>2</v>
      </c>
      <c r="Y211" s="129" t="n">
        <f aca="false">1/(1+CHOOSE(F$3,(X212+($K$3/10000))/2,(X211+($K$3/10000))/2))^(2*W211/365.25)</f>
        <v>6.65402609603863E-011</v>
      </c>
      <c r="Z211" s="5" t="n">
        <f aca="false">IF(AND(mthbeg&lt;=A211,mthend&gt;=A211),1,0)</f>
        <v>0</v>
      </c>
      <c r="AA211" s="5" t="n">
        <f aca="false">U211*Z211</f>
        <v>0</v>
      </c>
      <c r="AC211" s="115" t="n">
        <f aca="false">IF(G204=2,F211*(S211-Q211),F211*(Q211-S211))</f>
        <v>0</v>
      </c>
      <c r="AE211" s="116" t="n">
        <f aca="false">IF($G$3=1,F211*(R211-Q211),F211*(Q211-R211))</f>
        <v>0</v>
      </c>
      <c r="AG211" s="116" t="n">
        <f aca="false">AC211+AE211</f>
        <v>0</v>
      </c>
    </row>
    <row r="212" customFormat="false" ht="12" hidden="false" customHeight="true" outlineLevel="0" collapsed="false">
      <c r="A212" s="120" t="n">
        <f aca="false">EDATE(A211,1)</f>
        <v>43435</v>
      </c>
      <c r="B212" s="121" t="e">
        <f aca="false">VLOOKUP(A212,'Inputs-Summary'!$A$32:$E$41,3,FALSE())</f>
        <v>#N/A</v>
      </c>
      <c r="C212" s="122"/>
      <c r="D212" s="123" t="e">
        <f aca="false">B212+C212</f>
        <v>#N/A</v>
      </c>
      <c r="E212" s="111" t="n">
        <f aca="false">IF(Z212=0,0,IF(AND(Z212=1,$H$3=1),D212*U212,IF($H$3=2,D212,"N/A")))</f>
        <v>0</v>
      </c>
      <c r="F212" s="111" t="n">
        <f aca="false">E212*Y212</f>
        <v>0</v>
      </c>
      <c r="G212" s="124" t="n">
        <f aca="false">VLOOKUP($A212,Table,MATCH(G$4,Curves,0))</f>
        <v>3</v>
      </c>
      <c r="H212" s="125" t="n">
        <f aca="false">G212+$H$7</f>
        <v>3</v>
      </c>
      <c r="I212" s="124" t="n">
        <f aca="false">H212</f>
        <v>3</v>
      </c>
      <c r="J212" s="124" t="n">
        <f aca="false">VLOOKUP($A212,Table,MATCH(J$4,Curves,0))</f>
        <v>4</v>
      </c>
      <c r="K212" s="125" t="n">
        <f aca="false">J212+$K$7</f>
        <v>4</v>
      </c>
      <c r="L212" s="126" t="n">
        <f aca="false">K212</f>
        <v>4</v>
      </c>
      <c r="M212" s="124" t="n">
        <f aca="false">VLOOKUP($A212,Table,MATCH(M$4,Curves,0))</f>
        <v>4</v>
      </c>
      <c r="N212" s="125" t="n">
        <f aca="false">M212+$N$7</f>
        <v>4</v>
      </c>
      <c r="O212" s="126" t="n">
        <v>0.12</v>
      </c>
      <c r="P212" s="114"/>
      <c r="Q212" s="126" t="n">
        <f aca="false">M212+J212+G212</f>
        <v>11</v>
      </c>
      <c r="R212" s="126" t="n">
        <f aca="false">N212+K212+H212</f>
        <v>11</v>
      </c>
      <c r="S212" s="126" t="n">
        <f aca="false">O212+L212+I212</f>
        <v>7.12</v>
      </c>
      <c r="T212" s="127"/>
      <c r="U212" s="5" t="n">
        <f aca="false">A213-A212</f>
        <v>31</v>
      </c>
      <c r="V212" s="128" t="n">
        <f aca="false">CHOOSE(F$3,A213+24,A212)</f>
        <v>43435</v>
      </c>
      <c r="W212" s="5" t="n">
        <f aca="false">V212-C$3</f>
        <v>6204</v>
      </c>
      <c r="X212" s="124" t="n">
        <f aca="false">VLOOKUP($A212,Table,MATCH(X$4,Curves,0))</f>
        <v>2</v>
      </c>
      <c r="Y212" s="129" t="n">
        <f aca="false">1/(1+CHOOSE(F$3,(X213+($K$3/10000))/2,(X212+($K$3/10000))/2))^(2*W212/365.25)</f>
        <v>5.93791514581843E-011</v>
      </c>
      <c r="Z212" s="5" t="n">
        <f aca="false">IF(AND(mthbeg&lt;=A212,mthend&gt;=A212),1,0)</f>
        <v>0</v>
      </c>
      <c r="AA212" s="5" t="n">
        <f aca="false">U212*Z212</f>
        <v>0</v>
      </c>
      <c r="AC212" s="115" t="n">
        <f aca="false">IF(G205=2,F212*(S212-Q212),F212*(Q212-S212))</f>
        <v>0</v>
      </c>
      <c r="AE212" s="116" t="n">
        <f aca="false">IF($G$3=1,F212*(R212-Q212),F212*(Q212-R212))</f>
        <v>0</v>
      </c>
      <c r="AG212" s="116" t="n">
        <f aca="false">AC212+AE212</f>
        <v>0</v>
      </c>
    </row>
    <row r="213" customFormat="false" ht="12" hidden="false" customHeight="true" outlineLevel="0" collapsed="false">
      <c r="A213" s="120" t="n">
        <f aca="false">EDATE(A212,1)</f>
        <v>43466</v>
      </c>
      <c r="B213" s="121" t="e">
        <f aca="false">VLOOKUP(A213,'Inputs-Summary'!$A$32:$E$41,3,FALSE())</f>
        <v>#N/A</v>
      </c>
      <c r="C213" s="122"/>
      <c r="D213" s="123" t="e">
        <f aca="false">B213+C213</f>
        <v>#N/A</v>
      </c>
      <c r="E213" s="111" t="n">
        <f aca="false">IF(Z213=0,0,IF(AND(Z213=1,$H$3=1),D213*U213,IF($H$3=2,D213,"N/A")))</f>
        <v>0</v>
      </c>
      <c r="F213" s="111" t="n">
        <f aca="false">E213*Y213</f>
        <v>0</v>
      </c>
      <c r="G213" s="124" t="n">
        <f aca="false">VLOOKUP($A213,Table,MATCH(G$4,Curves,0))</f>
        <v>3</v>
      </c>
      <c r="H213" s="125" t="n">
        <f aca="false">G213+$H$7</f>
        <v>3</v>
      </c>
      <c r="I213" s="124" t="n">
        <f aca="false">H213</f>
        <v>3</v>
      </c>
      <c r="J213" s="124" t="n">
        <f aca="false">VLOOKUP($A213,Table,MATCH(J$4,Curves,0))</f>
        <v>4</v>
      </c>
      <c r="K213" s="125" t="n">
        <f aca="false">J213+$K$7</f>
        <v>4</v>
      </c>
      <c r="L213" s="126" t="n">
        <f aca="false">K213</f>
        <v>4</v>
      </c>
      <c r="M213" s="124" t="n">
        <f aca="false">VLOOKUP($A213,Table,MATCH(M$4,Curves,0))</f>
        <v>4</v>
      </c>
      <c r="N213" s="125" t="n">
        <f aca="false">M213+$N$7</f>
        <v>4</v>
      </c>
      <c r="O213" s="126" t="n">
        <v>0.12</v>
      </c>
      <c r="P213" s="114"/>
      <c r="Q213" s="126" t="n">
        <f aca="false">M213+J213+G213</f>
        <v>11</v>
      </c>
      <c r="R213" s="126" t="n">
        <f aca="false">N213+K213+H213</f>
        <v>11</v>
      </c>
      <c r="S213" s="126" t="n">
        <f aca="false">O213+L213+I213</f>
        <v>7.12</v>
      </c>
      <c r="T213" s="127"/>
      <c r="U213" s="5" t="n">
        <f aca="false">A214-A213</f>
        <v>31</v>
      </c>
      <c r="V213" s="128" t="n">
        <f aca="false">CHOOSE(F$3,A214+24,A213)</f>
        <v>43466</v>
      </c>
      <c r="W213" s="5" t="n">
        <f aca="false">V213-C$3</f>
        <v>6235</v>
      </c>
      <c r="X213" s="124" t="n">
        <f aca="false">VLOOKUP($A213,Table,MATCH(X$4,Curves,0))</f>
        <v>2</v>
      </c>
      <c r="Y213" s="129" t="n">
        <f aca="false">1/(1+CHOOSE(F$3,(X214+($K$3/10000))/2,(X213+($K$3/10000))/2))^(2*W213/365.25)</f>
        <v>5.27879897966224E-011</v>
      </c>
      <c r="Z213" s="5" t="n">
        <f aca="false">IF(AND(mthbeg&lt;=A213,mthend&gt;=A213),1,0)</f>
        <v>0</v>
      </c>
      <c r="AA213" s="5" t="n">
        <f aca="false">U213*Z213</f>
        <v>0</v>
      </c>
      <c r="AC213" s="115" t="n">
        <f aca="false">IF(G206=2,F213*(S213-Q213),F213*(Q213-S213))</f>
        <v>0</v>
      </c>
      <c r="AE213" s="116" t="n">
        <f aca="false">IF($G$3=1,F213*(R213-Q213),F213*(Q213-R213))</f>
        <v>0</v>
      </c>
      <c r="AG213" s="116" t="n">
        <f aca="false">AC213+AE213</f>
        <v>0</v>
      </c>
    </row>
    <row r="214" customFormat="false" ht="12" hidden="false" customHeight="true" outlineLevel="0" collapsed="false">
      <c r="A214" s="120" t="n">
        <f aca="false">EDATE(A213,1)</f>
        <v>43497</v>
      </c>
      <c r="B214" s="121" t="e">
        <f aca="false">VLOOKUP(A214,'Inputs-Summary'!$A$32:$E$41,3,FALSE())</f>
        <v>#N/A</v>
      </c>
      <c r="C214" s="122"/>
      <c r="D214" s="123" t="e">
        <f aca="false">B214+C214</f>
        <v>#N/A</v>
      </c>
      <c r="E214" s="111" t="n">
        <f aca="false">IF(Z214=0,0,IF(AND(Z214=1,$H$3=1),D214*U214,IF($H$3=2,D214,"N/A")))</f>
        <v>0</v>
      </c>
      <c r="F214" s="111" t="n">
        <f aca="false">E214*Y214</f>
        <v>0</v>
      </c>
      <c r="G214" s="124" t="n">
        <f aca="false">VLOOKUP($A214,Table,MATCH(G$4,Curves,0))</f>
        <v>3</v>
      </c>
      <c r="H214" s="125" t="n">
        <f aca="false">G214+$H$7</f>
        <v>3</v>
      </c>
      <c r="I214" s="124" t="n">
        <f aca="false">H214</f>
        <v>3</v>
      </c>
      <c r="J214" s="124" t="n">
        <f aca="false">VLOOKUP($A214,Table,MATCH(J$4,Curves,0))</f>
        <v>4</v>
      </c>
      <c r="K214" s="125" t="n">
        <f aca="false">J214+$K$7</f>
        <v>4</v>
      </c>
      <c r="L214" s="126" t="n">
        <f aca="false">K214</f>
        <v>4</v>
      </c>
      <c r="M214" s="124" t="n">
        <f aca="false">VLOOKUP($A214,Table,MATCH(M$4,Curves,0))</f>
        <v>4</v>
      </c>
      <c r="N214" s="125" t="n">
        <f aca="false">M214+$N$7</f>
        <v>4</v>
      </c>
      <c r="O214" s="126" t="n">
        <v>0.12</v>
      </c>
      <c r="P214" s="114"/>
      <c r="Q214" s="126" t="n">
        <f aca="false">M214+J214+G214</f>
        <v>11</v>
      </c>
      <c r="R214" s="126" t="n">
        <f aca="false">N214+K214+H214</f>
        <v>11</v>
      </c>
      <c r="S214" s="126" t="n">
        <f aca="false">O214+L214+I214</f>
        <v>7.12</v>
      </c>
      <c r="T214" s="127"/>
      <c r="U214" s="5" t="n">
        <f aca="false">A215-A214</f>
        <v>28</v>
      </c>
      <c r="V214" s="128" t="n">
        <f aca="false">CHOOSE(F$3,A215+24,A214)</f>
        <v>43497</v>
      </c>
      <c r="W214" s="5" t="n">
        <f aca="false">V214-C$3</f>
        <v>6266</v>
      </c>
      <c r="X214" s="124" t="n">
        <f aca="false">VLOOKUP($A214,Table,MATCH(X$4,Curves,0))</f>
        <v>2</v>
      </c>
      <c r="Y214" s="129" t="n">
        <f aca="false">1/(1+CHOOSE(F$3,(X215+($K$3/10000))/2,(X214+($K$3/10000))/2))^(2*W214/365.25)</f>
        <v>4.69284554989077E-011</v>
      </c>
      <c r="Z214" s="5" t="n">
        <f aca="false">IF(AND(mthbeg&lt;=A214,mthend&gt;=A214),1,0)</f>
        <v>0</v>
      </c>
      <c r="AA214" s="5" t="n">
        <f aca="false">U214*Z214</f>
        <v>0</v>
      </c>
      <c r="AC214" s="115" t="n">
        <f aca="false">IF(G207=2,F214*(S214-Q214),F214*(Q214-S214))</f>
        <v>0</v>
      </c>
      <c r="AE214" s="116" t="n">
        <f aca="false">IF($G$3=1,F214*(R214-Q214),F214*(Q214-R214))</f>
        <v>0</v>
      </c>
      <c r="AG214" s="116" t="n">
        <f aca="false">AC214+AE214</f>
        <v>0</v>
      </c>
    </row>
    <row r="215" customFormat="false" ht="12" hidden="false" customHeight="true" outlineLevel="0" collapsed="false">
      <c r="A215" s="120" t="n">
        <f aca="false">EDATE(A214,1)</f>
        <v>43525</v>
      </c>
      <c r="B215" s="121" t="e">
        <f aca="false">VLOOKUP(A215,'Inputs-Summary'!$A$32:$E$41,3,FALSE())</f>
        <v>#N/A</v>
      </c>
      <c r="C215" s="122"/>
      <c r="D215" s="123" t="e">
        <f aca="false">B215+C215</f>
        <v>#N/A</v>
      </c>
      <c r="E215" s="111" t="n">
        <f aca="false">IF(Z215=0,0,IF(AND(Z215=1,$H$3=1),D215*U215,IF($H$3=2,D215,"N/A")))</f>
        <v>0</v>
      </c>
      <c r="F215" s="111" t="n">
        <f aca="false">E215*Y215</f>
        <v>0</v>
      </c>
      <c r="G215" s="124" t="n">
        <f aca="false">VLOOKUP($A215,Table,MATCH(G$4,Curves,0))</f>
        <v>3</v>
      </c>
      <c r="H215" s="125" t="n">
        <f aca="false">G215+$H$7</f>
        <v>3</v>
      </c>
      <c r="I215" s="124" t="n">
        <f aca="false">H215</f>
        <v>3</v>
      </c>
      <c r="J215" s="124" t="n">
        <f aca="false">VLOOKUP($A215,Table,MATCH(J$4,Curves,0))</f>
        <v>4</v>
      </c>
      <c r="K215" s="125" t="n">
        <f aca="false">J215+$K$7</f>
        <v>4</v>
      </c>
      <c r="L215" s="126" t="n">
        <f aca="false">K215</f>
        <v>4</v>
      </c>
      <c r="M215" s="124" t="n">
        <f aca="false">VLOOKUP($A215,Table,MATCH(M$4,Curves,0))</f>
        <v>4</v>
      </c>
      <c r="N215" s="125" t="n">
        <f aca="false">M215+$N$7</f>
        <v>4</v>
      </c>
      <c r="O215" s="126" t="n">
        <v>0.12</v>
      </c>
      <c r="P215" s="114"/>
      <c r="Q215" s="126" t="n">
        <f aca="false">M215+J215+G215</f>
        <v>11</v>
      </c>
      <c r="R215" s="126" t="n">
        <f aca="false">N215+K215+H215</f>
        <v>11</v>
      </c>
      <c r="S215" s="126" t="n">
        <f aca="false">O215+L215+I215</f>
        <v>7.12</v>
      </c>
      <c r="T215" s="127"/>
      <c r="U215" s="5" t="n">
        <f aca="false">A216-A215</f>
        <v>31</v>
      </c>
      <c r="V215" s="128" t="n">
        <f aca="false">CHOOSE(F$3,A216+24,A215)</f>
        <v>43525</v>
      </c>
      <c r="W215" s="5" t="n">
        <f aca="false">V215-C$3</f>
        <v>6294</v>
      </c>
      <c r="X215" s="124" t="n">
        <f aca="false">VLOOKUP($A215,Table,MATCH(X$4,Curves,0))</f>
        <v>2</v>
      </c>
      <c r="Y215" s="129" t="n">
        <f aca="false">1/(1+CHOOSE(F$3,(X216+($K$3/10000))/2,(X215+($K$3/10000))/2))^(2*W215/365.25)</f>
        <v>4.2197084859845E-011</v>
      </c>
      <c r="Z215" s="5" t="n">
        <f aca="false">IF(AND(mthbeg&lt;=A215,mthend&gt;=A215),1,0)</f>
        <v>0</v>
      </c>
      <c r="AA215" s="5" t="n">
        <f aca="false">U215*Z215</f>
        <v>0</v>
      </c>
      <c r="AC215" s="115" t="n">
        <f aca="false">IF(G208=2,F215*(S215-Q215),F215*(Q215-S215))</f>
        <v>0</v>
      </c>
      <c r="AE215" s="116" t="n">
        <f aca="false">IF($G$3=1,F215*(R215-Q215),F215*(Q215-R215))</f>
        <v>0</v>
      </c>
      <c r="AG215" s="116" t="n">
        <f aca="false">AC215+AE215</f>
        <v>0</v>
      </c>
    </row>
    <row r="216" customFormat="false" ht="12" hidden="false" customHeight="true" outlineLevel="0" collapsed="false">
      <c r="A216" s="120" t="n">
        <f aca="false">EDATE(A215,1)</f>
        <v>43556</v>
      </c>
      <c r="B216" s="121" t="e">
        <f aca="false">VLOOKUP(A216,'Inputs-Summary'!$A$32:$E$41,3,FALSE())</f>
        <v>#N/A</v>
      </c>
      <c r="C216" s="122"/>
      <c r="D216" s="123" t="e">
        <f aca="false">B216+C216</f>
        <v>#N/A</v>
      </c>
      <c r="E216" s="111" t="n">
        <f aca="false">IF(Z216=0,0,IF(AND(Z216=1,$H$3=1),D216*U216,IF($H$3=2,D216,"N/A")))</f>
        <v>0</v>
      </c>
      <c r="F216" s="111" t="n">
        <f aca="false">E216*Y216</f>
        <v>0</v>
      </c>
      <c r="G216" s="124" t="n">
        <f aca="false">VLOOKUP($A216,Table,MATCH(G$4,Curves,0))</f>
        <v>3</v>
      </c>
      <c r="H216" s="125" t="n">
        <f aca="false">G216+$H$7</f>
        <v>3</v>
      </c>
      <c r="I216" s="124" t="n">
        <f aca="false">H216</f>
        <v>3</v>
      </c>
      <c r="J216" s="124" t="n">
        <f aca="false">VLOOKUP($A216,Table,MATCH(J$4,Curves,0))</f>
        <v>4</v>
      </c>
      <c r="K216" s="125" t="n">
        <f aca="false">J216+$K$7</f>
        <v>4</v>
      </c>
      <c r="L216" s="126" t="n">
        <f aca="false">K216</f>
        <v>4</v>
      </c>
      <c r="M216" s="124" t="n">
        <f aca="false">VLOOKUP($A216,Table,MATCH(M$4,Curves,0))</f>
        <v>4</v>
      </c>
      <c r="N216" s="125" t="n">
        <f aca="false">M216+$N$7</f>
        <v>4</v>
      </c>
      <c r="O216" s="126" t="n">
        <v>0.12</v>
      </c>
      <c r="P216" s="114"/>
      <c r="Q216" s="126" t="n">
        <f aca="false">M216+J216+G216</f>
        <v>11</v>
      </c>
      <c r="R216" s="126" t="n">
        <f aca="false">N216+K216+H216</f>
        <v>11</v>
      </c>
      <c r="S216" s="126" t="n">
        <f aca="false">O216+L216+I216</f>
        <v>7.12</v>
      </c>
      <c r="T216" s="127"/>
      <c r="U216" s="5" t="n">
        <f aca="false">A217-A216</f>
        <v>30</v>
      </c>
      <c r="V216" s="128" t="n">
        <f aca="false">CHOOSE(F$3,A217+24,A216)</f>
        <v>43556</v>
      </c>
      <c r="W216" s="5" t="n">
        <f aca="false">V216-C$3</f>
        <v>6325</v>
      </c>
      <c r="X216" s="124" t="n">
        <f aca="false">VLOOKUP($A216,Table,MATCH(X$4,Curves,0))</f>
        <v>2</v>
      </c>
      <c r="Y216" s="129" t="n">
        <f aca="false">1/(1+CHOOSE(F$3,(X217+($K$3/10000))/2,(X216+($K$3/10000))/2))^(2*W216/365.25)</f>
        <v>3.75131545387162E-011</v>
      </c>
      <c r="Z216" s="5" t="n">
        <f aca="false">IF(AND(mthbeg&lt;=A216,mthend&gt;=A216),1,0)</f>
        <v>0</v>
      </c>
      <c r="AA216" s="5" t="n">
        <f aca="false">U216*Z216</f>
        <v>0</v>
      </c>
      <c r="AC216" s="115" t="n">
        <f aca="false">IF(G209=2,F216*(S216-Q216),F216*(Q216-S216))</f>
        <v>0</v>
      </c>
      <c r="AE216" s="116" t="n">
        <f aca="false">IF($G$3=1,F216*(R216-Q216),F216*(Q216-R216))</f>
        <v>0</v>
      </c>
      <c r="AG216" s="116" t="n">
        <f aca="false">AC216+AE216</f>
        <v>0</v>
      </c>
    </row>
    <row r="217" customFormat="false" ht="12" hidden="false" customHeight="true" outlineLevel="0" collapsed="false">
      <c r="A217" s="120" t="n">
        <f aca="false">EDATE(A216,1)</f>
        <v>43586</v>
      </c>
      <c r="B217" s="121" t="e">
        <f aca="false">VLOOKUP(A217,'Inputs-Summary'!$A$32:$E$41,3,FALSE())</f>
        <v>#N/A</v>
      </c>
      <c r="C217" s="122"/>
      <c r="D217" s="123" t="e">
        <f aca="false">B217+C217</f>
        <v>#N/A</v>
      </c>
      <c r="E217" s="111" t="n">
        <f aca="false">IF(Z217=0,0,IF(AND(Z217=1,$H$3=1),D217*U217,IF($H$3=2,D217,"N/A")))</f>
        <v>0</v>
      </c>
      <c r="F217" s="111" t="n">
        <f aca="false">E217*Y217</f>
        <v>0</v>
      </c>
      <c r="G217" s="124" t="n">
        <f aca="false">VLOOKUP($A217,Table,MATCH(G$4,Curves,0))</f>
        <v>3</v>
      </c>
      <c r="H217" s="125" t="n">
        <f aca="false">G217+$H$7</f>
        <v>3</v>
      </c>
      <c r="I217" s="124" t="n">
        <f aca="false">H217</f>
        <v>3</v>
      </c>
      <c r="J217" s="124" t="n">
        <f aca="false">VLOOKUP($A217,Table,MATCH(J$4,Curves,0))</f>
        <v>4</v>
      </c>
      <c r="K217" s="125" t="n">
        <f aca="false">J217+$K$7</f>
        <v>4</v>
      </c>
      <c r="L217" s="126" t="n">
        <f aca="false">K217</f>
        <v>4</v>
      </c>
      <c r="M217" s="124" t="n">
        <f aca="false">VLOOKUP($A217,Table,MATCH(M$4,Curves,0))</f>
        <v>4</v>
      </c>
      <c r="N217" s="125" t="n">
        <f aca="false">M217+$N$7</f>
        <v>4</v>
      </c>
      <c r="O217" s="126" t="n">
        <v>0.12</v>
      </c>
      <c r="P217" s="114"/>
      <c r="Q217" s="126" t="n">
        <f aca="false">M217+J217+G217</f>
        <v>11</v>
      </c>
      <c r="R217" s="126" t="n">
        <f aca="false">N217+K217+H217</f>
        <v>11</v>
      </c>
      <c r="S217" s="126" t="n">
        <f aca="false">O217+L217+I217</f>
        <v>7.12</v>
      </c>
      <c r="T217" s="127"/>
      <c r="U217" s="5" t="n">
        <f aca="false">A218-A217</f>
        <v>31</v>
      </c>
      <c r="V217" s="128" t="n">
        <f aca="false">CHOOSE(F$3,A218+24,A217)</f>
        <v>43586</v>
      </c>
      <c r="W217" s="5" t="n">
        <f aca="false">V217-C$3</f>
        <v>6355</v>
      </c>
      <c r="X217" s="124" t="n">
        <f aca="false">VLOOKUP($A217,Table,MATCH(X$4,Curves,0))</f>
        <v>2</v>
      </c>
      <c r="Y217" s="129" t="n">
        <f aca="false">1/(1+CHOOSE(F$3,(X218+($K$3/10000))/2,(X217+($K$3/10000))/2))^(2*W217/365.25)</f>
        <v>3.34759625658036E-011</v>
      </c>
      <c r="Z217" s="5" t="n">
        <f aca="false">IF(AND(mthbeg&lt;=A217,mthend&gt;=A217),1,0)</f>
        <v>0</v>
      </c>
      <c r="AA217" s="5" t="n">
        <f aca="false">U217*Z217</f>
        <v>0</v>
      </c>
      <c r="AC217" s="115" t="n">
        <f aca="false">IF(G210=2,F217*(S217-Q217),F217*(Q217-S217))</f>
        <v>0</v>
      </c>
      <c r="AE217" s="116" t="n">
        <f aca="false">IF($G$3=1,F217*(R217-Q217),F217*(Q217-R217))</f>
        <v>0</v>
      </c>
      <c r="AG217" s="116" t="n">
        <f aca="false">AC217+AE217</f>
        <v>0</v>
      </c>
    </row>
    <row r="218" customFormat="false" ht="12" hidden="false" customHeight="true" outlineLevel="0" collapsed="false">
      <c r="A218" s="120" t="n">
        <f aca="false">EDATE(A217,1)</f>
        <v>43617</v>
      </c>
      <c r="B218" s="121" t="e">
        <f aca="false">VLOOKUP(A218,'Inputs-Summary'!$A$32:$E$41,3,FALSE())</f>
        <v>#N/A</v>
      </c>
      <c r="C218" s="122"/>
      <c r="D218" s="123" t="e">
        <f aca="false">B218+C218</f>
        <v>#N/A</v>
      </c>
      <c r="E218" s="111" t="n">
        <f aca="false">IF(Z218=0,0,IF(AND(Z218=1,$H$3=1),D218*U218,IF($H$3=2,D218,"N/A")))</f>
        <v>0</v>
      </c>
      <c r="F218" s="111" t="n">
        <f aca="false">E218*Y218</f>
        <v>0</v>
      </c>
      <c r="G218" s="124" t="n">
        <f aca="false">VLOOKUP($A218,Table,MATCH(G$4,Curves,0))</f>
        <v>3</v>
      </c>
      <c r="H218" s="125" t="n">
        <f aca="false">G218+$H$7</f>
        <v>3</v>
      </c>
      <c r="I218" s="124" t="n">
        <f aca="false">H218</f>
        <v>3</v>
      </c>
      <c r="J218" s="124" t="n">
        <f aca="false">VLOOKUP($A218,Table,MATCH(J$4,Curves,0))</f>
        <v>4</v>
      </c>
      <c r="K218" s="125" t="n">
        <f aca="false">J218+$K$7</f>
        <v>4</v>
      </c>
      <c r="L218" s="126" t="n">
        <f aca="false">K218</f>
        <v>4</v>
      </c>
      <c r="M218" s="124" t="n">
        <f aca="false">VLOOKUP($A218,Table,MATCH(M$4,Curves,0))</f>
        <v>4</v>
      </c>
      <c r="N218" s="125" t="n">
        <f aca="false">M218+$N$7</f>
        <v>4</v>
      </c>
      <c r="O218" s="126" t="n">
        <v>0.12</v>
      </c>
      <c r="P218" s="114"/>
      <c r="Q218" s="126" t="n">
        <f aca="false">M218+J218+G218</f>
        <v>11</v>
      </c>
      <c r="R218" s="126" t="n">
        <f aca="false">N218+K218+H218</f>
        <v>11</v>
      </c>
      <c r="S218" s="126" t="n">
        <f aca="false">O218+L218+I218</f>
        <v>7.12</v>
      </c>
      <c r="T218" s="127"/>
      <c r="U218" s="5" t="n">
        <f aca="false">A219-A218</f>
        <v>30</v>
      </c>
      <c r="V218" s="128" t="n">
        <f aca="false">CHOOSE(F$3,A219+24,A218)</f>
        <v>43617</v>
      </c>
      <c r="W218" s="5" t="n">
        <f aca="false">V218-C$3</f>
        <v>6386</v>
      </c>
      <c r="X218" s="124" t="n">
        <f aca="false">VLOOKUP($A218,Table,MATCH(X$4,Curves,0))</f>
        <v>2</v>
      </c>
      <c r="Y218" s="129" t="n">
        <f aca="false">1/(1+CHOOSE(F$3,(X219+($K$3/10000))/2,(X218+($K$3/10000))/2))^(2*W218/365.25)</f>
        <v>2.97600879594951E-011</v>
      </c>
      <c r="Z218" s="5" t="n">
        <f aca="false">IF(AND(mthbeg&lt;=A218,mthend&gt;=A218),1,0)</f>
        <v>0</v>
      </c>
      <c r="AA218" s="5" t="n">
        <f aca="false">U218*Z218</f>
        <v>0</v>
      </c>
      <c r="AC218" s="115" t="n">
        <f aca="false">IF(G211=2,F218*(S218-Q218),F218*(Q218-S218))</f>
        <v>0</v>
      </c>
      <c r="AE218" s="116" t="n">
        <f aca="false">IF($G$3=1,F218*(R218-Q218),F218*(Q218-R218))</f>
        <v>0</v>
      </c>
      <c r="AG218" s="116" t="n">
        <f aca="false">AC218+AE218</f>
        <v>0</v>
      </c>
    </row>
    <row r="219" customFormat="false" ht="12" hidden="false" customHeight="true" outlineLevel="0" collapsed="false">
      <c r="A219" s="120" t="n">
        <f aca="false">EDATE(A218,1)</f>
        <v>43647</v>
      </c>
      <c r="B219" s="121" t="e">
        <f aca="false">VLOOKUP(A219,'Inputs-Summary'!$A$32:$E$41,3,FALSE())</f>
        <v>#N/A</v>
      </c>
      <c r="C219" s="122"/>
      <c r="D219" s="123" t="e">
        <f aca="false">B219+C219</f>
        <v>#N/A</v>
      </c>
      <c r="E219" s="111" t="n">
        <f aca="false">IF(Z219=0,0,IF(AND(Z219=1,$H$3=1),D219*U219,IF($H$3=2,D219,"N/A")))</f>
        <v>0</v>
      </c>
      <c r="F219" s="111" t="n">
        <f aca="false">E219*Y219</f>
        <v>0</v>
      </c>
      <c r="G219" s="124" t="n">
        <f aca="false">VLOOKUP($A219,Table,MATCH(G$4,Curves,0))</f>
        <v>3</v>
      </c>
      <c r="H219" s="125" t="n">
        <f aca="false">G219+$H$7</f>
        <v>3</v>
      </c>
      <c r="I219" s="124" t="n">
        <f aca="false">H219</f>
        <v>3</v>
      </c>
      <c r="J219" s="124" t="n">
        <f aca="false">VLOOKUP($A219,Table,MATCH(J$4,Curves,0))</f>
        <v>4</v>
      </c>
      <c r="K219" s="125" t="n">
        <f aca="false">J219+$K$7</f>
        <v>4</v>
      </c>
      <c r="L219" s="126" t="n">
        <f aca="false">K219</f>
        <v>4</v>
      </c>
      <c r="M219" s="124" t="n">
        <f aca="false">VLOOKUP($A219,Table,MATCH(M$4,Curves,0))</f>
        <v>4</v>
      </c>
      <c r="N219" s="125" t="n">
        <f aca="false">M219+$N$7</f>
        <v>4</v>
      </c>
      <c r="O219" s="126" t="n">
        <v>0.12</v>
      </c>
      <c r="P219" s="114"/>
      <c r="Q219" s="126" t="n">
        <f aca="false">M219+J219+G219</f>
        <v>11</v>
      </c>
      <c r="R219" s="126" t="n">
        <f aca="false">N219+K219+H219</f>
        <v>11</v>
      </c>
      <c r="S219" s="126" t="n">
        <f aca="false">O219+L219+I219</f>
        <v>7.12</v>
      </c>
      <c r="T219" s="127"/>
      <c r="U219" s="5" t="n">
        <f aca="false">A220-A219</f>
        <v>31</v>
      </c>
      <c r="V219" s="128" t="n">
        <f aca="false">CHOOSE(F$3,A220+24,A219)</f>
        <v>43647</v>
      </c>
      <c r="W219" s="5" t="n">
        <f aca="false">V219-C$3</f>
        <v>6416</v>
      </c>
      <c r="X219" s="124" t="n">
        <f aca="false">VLOOKUP($A219,Table,MATCH(X$4,Curves,0))</f>
        <v>2</v>
      </c>
      <c r="Y219" s="129" t="n">
        <f aca="false">1/(1+CHOOSE(F$3,(X220+($K$3/10000))/2,(X219+($K$3/10000))/2))^(2*W219/365.25)</f>
        <v>2.65572864435831E-011</v>
      </c>
      <c r="Z219" s="5" t="n">
        <f aca="false">IF(AND(mthbeg&lt;=A219,mthend&gt;=A219),1,0)</f>
        <v>0</v>
      </c>
      <c r="AA219" s="5" t="n">
        <f aca="false">U219*Z219</f>
        <v>0</v>
      </c>
      <c r="AC219" s="115" t="n">
        <f aca="false">IF(G212=2,F219*(S219-Q219),F219*(Q219-S219))</f>
        <v>0</v>
      </c>
      <c r="AE219" s="116" t="n">
        <f aca="false">IF($G$3=1,F219*(R219-Q219),F219*(Q219-R219))</f>
        <v>0</v>
      </c>
      <c r="AG219" s="116" t="n">
        <f aca="false">AC219+AE219</f>
        <v>0</v>
      </c>
    </row>
    <row r="220" customFormat="false" ht="12" hidden="false" customHeight="true" outlineLevel="0" collapsed="false">
      <c r="A220" s="120" t="n">
        <f aca="false">EDATE(A219,1)</f>
        <v>43678</v>
      </c>
      <c r="B220" s="121" t="e">
        <f aca="false">VLOOKUP(A220,'Inputs-Summary'!$A$32:$E$41,3,FALSE())</f>
        <v>#N/A</v>
      </c>
      <c r="C220" s="122"/>
      <c r="D220" s="123" t="e">
        <f aca="false">B220+C220</f>
        <v>#N/A</v>
      </c>
      <c r="E220" s="111" t="n">
        <f aca="false">IF(Z220=0,0,IF(AND(Z220=1,$H$3=1),D220*U220,IF($H$3=2,D220,"N/A")))</f>
        <v>0</v>
      </c>
      <c r="F220" s="111" t="n">
        <f aca="false">E220*Y220</f>
        <v>0</v>
      </c>
      <c r="G220" s="124" t="n">
        <f aca="false">VLOOKUP($A220,Table,MATCH(G$4,Curves,0))</f>
        <v>3</v>
      </c>
      <c r="H220" s="125" t="n">
        <f aca="false">G220+$H$7</f>
        <v>3</v>
      </c>
      <c r="I220" s="124" t="n">
        <f aca="false">H220</f>
        <v>3</v>
      </c>
      <c r="J220" s="124" t="n">
        <f aca="false">VLOOKUP($A220,Table,MATCH(J$4,Curves,0))</f>
        <v>4</v>
      </c>
      <c r="K220" s="125" t="n">
        <f aca="false">J220+$K$7</f>
        <v>4</v>
      </c>
      <c r="L220" s="126" t="n">
        <f aca="false">K220</f>
        <v>4</v>
      </c>
      <c r="M220" s="124" t="n">
        <f aca="false">VLOOKUP($A220,Table,MATCH(M$4,Curves,0))</f>
        <v>4</v>
      </c>
      <c r="N220" s="125" t="n">
        <f aca="false">M220+$N$7</f>
        <v>4</v>
      </c>
      <c r="O220" s="126" t="n">
        <v>0.12</v>
      </c>
      <c r="P220" s="114"/>
      <c r="Q220" s="126" t="n">
        <f aca="false">M220+J220+G220</f>
        <v>11</v>
      </c>
      <c r="R220" s="126" t="n">
        <f aca="false">N220+K220+H220</f>
        <v>11</v>
      </c>
      <c r="S220" s="126" t="n">
        <f aca="false">O220+L220+I220</f>
        <v>7.12</v>
      </c>
      <c r="T220" s="127"/>
      <c r="U220" s="5" t="n">
        <f aca="false">A221-A220</f>
        <v>31</v>
      </c>
      <c r="V220" s="128" t="n">
        <f aca="false">CHOOSE(F$3,A221+24,A220)</f>
        <v>43678</v>
      </c>
      <c r="W220" s="5" t="n">
        <f aca="false">V220-C$3</f>
        <v>6447</v>
      </c>
      <c r="X220" s="124" t="n">
        <f aca="false">VLOOKUP($A220,Table,MATCH(X$4,Curves,0))</f>
        <v>2</v>
      </c>
      <c r="Y220" s="129" t="n">
        <f aca="false">1/(1+CHOOSE(F$3,(X221+($K$3/10000))/2,(X220+($K$3/10000))/2))^(2*W220/365.25)</f>
        <v>2.36093937246154E-011</v>
      </c>
      <c r="Z220" s="5" t="n">
        <f aca="false">IF(AND(mthbeg&lt;=A220,mthend&gt;=A220),1,0)</f>
        <v>0</v>
      </c>
      <c r="AA220" s="5" t="n">
        <f aca="false">U220*Z220</f>
        <v>0</v>
      </c>
      <c r="AC220" s="115" t="n">
        <f aca="false">IF(G213=2,F220*(S220-Q220),F220*(Q220-S220))</f>
        <v>0</v>
      </c>
      <c r="AE220" s="116" t="n">
        <f aca="false">IF($G$3=1,F220*(R220-Q220),F220*(Q220-R220))</f>
        <v>0</v>
      </c>
      <c r="AG220" s="116" t="n">
        <f aca="false">AC220+AE220</f>
        <v>0</v>
      </c>
    </row>
    <row r="221" customFormat="false" ht="12" hidden="false" customHeight="true" outlineLevel="0" collapsed="false">
      <c r="A221" s="120" t="n">
        <f aca="false">EDATE(A220,1)</f>
        <v>43709</v>
      </c>
      <c r="B221" s="121" t="e">
        <f aca="false">VLOOKUP(A221,'Inputs-Summary'!$A$32:$E$41,3,FALSE())</f>
        <v>#N/A</v>
      </c>
      <c r="C221" s="122"/>
      <c r="D221" s="123" t="e">
        <f aca="false">B221+C221</f>
        <v>#N/A</v>
      </c>
      <c r="E221" s="111" t="n">
        <f aca="false">IF(Z221=0,0,IF(AND(Z221=1,$H$3=1),D221*U221,IF($H$3=2,D221,"N/A")))</f>
        <v>0</v>
      </c>
      <c r="F221" s="111" t="n">
        <f aca="false">E221*Y221</f>
        <v>0</v>
      </c>
      <c r="G221" s="124" t="n">
        <f aca="false">VLOOKUP($A221,Table,MATCH(G$4,Curves,0))</f>
        <v>3</v>
      </c>
      <c r="H221" s="125" t="n">
        <f aca="false">G221+$H$7</f>
        <v>3</v>
      </c>
      <c r="I221" s="124" t="n">
        <f aca="false">H221</f>
        <v>3</v>
      </c>
      <c r="J221" s="124" t="n">
        <f aca="false">VLOOKUP($A221,Table,MATCH(J$4,Curves,0))</f>
        <v>4</v>
      </c>
      <c r="K221" s="125" t="n">
        <f aca="false">J221+$K$7</f>
        <v>4</v>
      </c>
      <c r="L221" s="126" t="n">
        <f aca="false">K221</f>
        <v>4</v>
      </c>
      <c r="M221" s="124" t="n">
        <f aca="false">VLOOKUP($A221,Table,MATCH(M$4,Curves,0))</f>
        <v>4</v>
      </c>
      <c r="N221" s="125" t="n">
        <f aca="false">M221+$N$7</f>
        <v>4</v>
      </c>
      <c r="O221" s="126" t="n">
        <v>0.12</v>
      </c>
      <c r="P221" s="114"/>
      <c r="Q221" s="126" t="n">
        <f aca="false">M221+J221+G221</f>
        <v>11</v>
      </c>
      <c r="R221" s="126" t="n">
        <f aca="false">N221+K221+H221</f>
        <v>11</v>
      </c>
      <c r="S221" s="126" t="n">
        <f aca="false">O221+L221+I221</f>
        <v>7.12</v>
      </c>
      <c r="T221" s="127"/>
      <c r="U221" s="5" t="n">
        <f aca="false">A222-A221</f>
        <v>30</v>
      </c>
      <c r="V221" s="128" t="n">
        <f aca="false">CHOOSE(F$3,A222+24,A221)</f>
        <v>43709</v>
      </c>
      <c r="W221" s="5" t="n">
        <f aca="false">V221-C$3</f>
        <v>6478</v>
      </c>
      <c r="X221" s="124" t="n">
        <f aca="false">VLOOKUP($A221,Table,MATCH(X$4,Curves,0))</f>
        <v>2</v>
      </c>
      <c r="Y221" s="129" t="n">
        <f aca="false">1/(1+CHOOSE(F$3,(X222+($K$3/10000))/2,(X221+($K$3/10000))/2))^(2*W221/365.25)</f>
        <v>2.09887208630304E-011</v>
      </c>
      <c r="Z221" s="5" t="n">
        <f aca="false">IF(AND(mthbeg&lt;=A221,mthend&gt;=A221),1,0)</f>
        <v>0</v>
      </c>
      <c r="AA221" s="5" t="n">
        <f aca="false">U221*Z221</f>
        <v>0</v>
      </c>
      <c r="AC221" s="115" t="n">
        <f aca="false">IF(G214=2,F221*(S221-Q221),F221*(Q221-S221))</f>
        <v>0</v>
      </c>
      <c r="AE221" s="116" t="n">
        <f aca="false">IF($G$3=1,F221*(R221-Q221),F221*(Q221-R221))</f>
        <v>0</v>
      </c>
      <c r="AG221" s="116" t="n">
        <f aca="false">AC221+AE221</f>
        <v>0</v>
      </c>
    </row>
    <row r="222" customFormat="false" ht="12" hidden="false" customHeight="true" outlineLevel="0" collapsed="false">
      <c r="A222" s="120" t="n">
        <f aca="false">EDATE(A221,1)</f>
        <v>43739</v>
      </c>
      <c r="B222" s="121" t="e">
        <f aca="false">VLOOKUP(A222,'Inputs-Summary'!$A$32:$E$41,3,FALSE())</f>
        <v>#N/A</v>
      </c>
      <c r="C222" s="122"/>
      <c r="D222" s="123" t="e">
        <f aca="false">B222+C222</f>
        <v>#N/A</v>
      </c>
      <c r="E222" s="111" t="n">
        <f aca="false">IF(Z222=0,0,IF(AND(Z222=1,$H$3=1),D222*U222,IF($H$3=2,D222,"N/A")))</f>
        <v>0</v>
      </c>
      <c r="F222" s="111" t="n">
        <f aca="false">E222*Y222</f>
        <v>0</v>
      </c>
      <c r="G222" s="124" t="n">
        <f aca="false">VLOOKUP($A222,Table,MATCH(G$4,Curves,0))</f>
        <v>3</v>
      </c>
      <c r="H222" s="125" t="n">
        <f aca="false">G222+$H$7</f>
        <v>3</v>
      </c>
      <c r="I222" s="124" t="n">
        <f aca="false">H222</f>
        <v>3</v>
      </c>
      <c r="J222" s="124" t="n">
        <f aca="false">VLOOKUP($A222,Table,MATCH(J$4,Curves,0))</f>
        <v>4</v>
      </c>
      <c r="K222" s="125" t="n">
        <f aca="false">J222+$K$7</f>
        <v>4</v>
      </c>
      <c r="L222" s="126" t="n">
        <f aca="false">K222</f>
        <v>4</v>
      </c>
      <c r="M222" s="124" t="n">
        <f aca="false">VLOOKUP($A222,Table,MATCH(M$4,Curves,0))</f>
        <v>4</v>
      </c>
      <c r="N222" s="125" t="n">
        <f aca="false">M222+$N$7</f>
        <v>4</v>
      </c>
      <c r="O222" s="126" t="n">
        <v>0.12</v>
      </c>
      <c r="P222" s="114"/>
      <c r="Q222" s="126" t="n">
        <f aca="false">M222+J222+G222</f>
        <v>11</v>
      </c>
      <c r="R222" s="126" t="n">
        <f aca="false">N222+K222+H222</f>
        <v>11</v>
      </c>
      <c r="S222" s="126" t="n">
        <f aca="false">O222+L222+I222</f>
        <v>7.12</v>
      </c>
      <c r="T222" s="127"/>
      <c r="U222" s="5" t="n">
        <f aca="false">A223-A222</f>
        <v>31</v>
      </c>
      <c r="V222" s="128" t="n">
        <f aca="false">CHOOSE(F$3,A223+24,A222)</f>
        <v>43739</v>
      </c>
      <c r="W222" s="5" t="n">
        <f aca="false">V222-C$3</f>
        <v>6508</v>
      </c>
      <c r="X222" s="124" t="n">
        <f aca="false">VLOOKUP($A222,Table,MATCH(X$4,Curves,0))</f>
        <v>2</v>
      </c>
      <c r="Y222" s="129" t="n">
        <f aca="false">1/(1+CHOOSE(F$3,(X223+($K$3/10000))/2,(X222+($K$3/10000))/2))^(2*W222/365.25)</f>
        <v>1.87299000191987E-011</v>
      </c>
      <c r="Z222" s="5" t="n">
        <f aca="false">IF(AND(mthbeg&lt;=A222,mthend&gt;=A222),1,0)</f>
        <v>0</v>
      </c>
      <c r="AA222" s="5" t="n">
        <f aca="false">U222*Z222</f>
        <v>0</v>
      </c>
      <c r="AC222" s="115" t="n">
        <f aca="false">IF(G215=2,F222*(S222-Q222),F222*(Q222-S222))</f>
        <v>0</v>
      </c>
      <c r="AE222" s="116" t="n">
        <f aca="false">IF($G$3=1,F222*(R222-Q222),F222*(Q222-R222))</f>
        <v>0</v>
      </c>
      <c r="AG222" s="116" t="n">
        <f aca="false">AC222+AE222</f>
        <v>0</v>
      </c>
    </row>
    <row r="223" customFormat="false" ht="12" hidden="false" customHeight="true" outlineLevel="0" collapsed="false">
      <c r="A223" s="120" t="n">
        <f aca="false">EDATE(A222,1)</f>
        <v>43770</v>
      </c>
      <c r="B223" s="121" t="e">
        <f aca="false">VLOOKUP(A223,'Inputs-Summary'!$A$32:$E$41,3,FALSE())</f>
        <v>#N/A</v>
      </c>
      <c r="C223" s="122"/>
      <c r="D223" s="123" t="e">
        <f aca="false">B223+C223</f>
        <v>#N/A</v>
      </c>
      <c r="E223" s="111" t="n">
        <f aca="false">IF(Z223=0,0,IF(AND(Z223=1,$H$3=1),D223*U223,IF($H$3=2,D223,"N/A")))</f>
        <v>0</v>
      </c>
      <c r="F223" s="111" t="n">
        <f aca="false">E223*Y223</f>
        <v>0</v>
      </c>
      <c r="G223" s="124" t="n">
        <f aca="false">VLOOKUP($A223,Table,MATCH(G$4,Curves,0))</f>
        <v>3</v>
      </c>
      <c r="H223" s="125" t="n">
        <f aca="false">G223+$H$7</f>
        <v>3</v>
      </c>
      <c r="I223" s="124" t="n">
        <f aca="false">H223</f>
        <v>3</v>
      </c>
      <c r="J223" s="124" t="n">
        <f aca="false">VLOOKUP($A223,Table,MATCH(J$4,Curves,0))</f>
        <v>4</v>
      </c>
      <c r="K223" s="125" t="n">
        <f aca="false">J223+$K$7</f>
        <v>4</v>
      </c>
      <c r="L223" s="126" t="n">
        <f aca="false">K223</f>
        <v>4</v>
      </c>
      <c r="M223" s="124" t="n">
        <f aca="false">VLOOKUP($A223,Table,MATCH(M$4,Curves,0))</f>
        <v>4</v>
      </c>
      <c r="N223" s="125" t="n">
        <f aca="false">M223+$N$7</f>
        <v>4</v>
      </c>
      <c r="O223" s="126" t="n">
        <v>0.12</v>
      </c>
      <c r="P223" s="114"/>
      <c r="Q223" s="126" t="n">
        <f aca="false">M223+J223+G223</f>
        <v>11</v>
      </c>
      <c r="R223" s="126" t="n">
        <f aca="false">N223+K223+H223</f>
        <v>11</v>
      </c>
      <c r="S223" s="126" t="n">
        <f aca="false">O223+L223+I223</f>
        <v>7.12</v>
      </c>
      <c r="T223" s="127"/>
      <c r="U223" s="5" t="n">
        <f aca="false">A224-A223</f>
        <v>30</v>
      </c>
      <c r="V223" s="128" t="n">
        <f aca="false">CHOOSE(F$3,A224+24,A223)</f>
        <v>43770</v>
      </c>
      <c r="W223" s="5" t="n">
        <f aca="false">V223-C$3</f>
        <v>6539</v>
      </c>
      <c r="X223" s="124" t="n">
        <f aca="false">VLOOKUP($A223,Table,MATCH(X$4,Curves,0))</f>
        <v>2</v>
      </c>
      <c r="Y223" s="129" t="n">
        <f aca="false">1/(1+CHOOSE(F$3,(X224+($K$3/10000))/2,(X223+($K$3/10000))/2))^(2*W223/365.25)</f>
        <v>1.66508571918797E-011</v>
      </c>
      <c r="Z223" s="5" t="n">
        <f aca="false">IF(AND(mthbeg&lt;=A223,mthend&gt;=A223),1,0)</f>
        <v>0</v>
      </c>
      <c r="AA223" s="5" t="n">
        <f aca="false">U223*Z223</f>
        <v>0</v>
      </c>
      <c r="AC223" s="115" t="n">
        <f aca="false">IF(G216=2,F223*(S223-Q223),F223*(Q223-S223))</f>
        <v>0</v>
      </c>
      <c r="AE223" s="116" t="n">
        <f aca="false">IF($G$3=1,F223*(R223-Q223),F223*(Q223-R223))</f>
        <v>0</v>
      </c>
      <c r="AG223" s="116" t="n">
        <f aca="false">AC223+AE223</f>
        <v>0</v>
      </c>
    </row>
    <row r="224" customFormat="false" ht="12" hidden="false" customHeight="true" outlineLevel="0" collapsed="false">
      <c r="A224" s="120" t="n">
        <f aca="false">EDATE(A223,1)</f>
        <v>43800</v>
      </c>
      <c r="B224" s="121" t="e">
        <f aca="false">VLOOKUP(A224,'Inputs-Summary'!$A$32:$E$41,3,FALSE())</f>
        <v>#N/A</v>
      </c>
      <c r="C224" s="122"/>
      <c r="D224" s="123" t="e">
        <f aca="false">B224+C224</f>
        <v>#N/A</v>
      </c>
      <c r="E224" s="111" t="n">
        <f aca="false">IF(Z224=0,0,IF(AND(Z224=1,$H$3=1),D224*U224,IF($H$3=2,D224,"N/A")))</f>
        <v>0</v>
      </c>
      <c r="F224" s="111" t="n">
        <f aca="false">E224*Y224</f>
        <v>0</v>
      </c>
      <c r="G224" s="124" t="n">
        <f aca="false">VLOOKUP($A224,Table,MATCH(G$4,Curves,0))</f>
        <v>3</v>
      </c>
      <c r="H224" s="125" t="n">
        <f aca="false">G224+$H$7</f>
        <v>3</v>
      </c>
      <c r="I224" s="124" t="n">
        <f aca="false">H224</f>
        <v>3</v>
      </c>
      <c r="J224" s="124" t="n">
        <f aca="false">VLOOKUP($A224,Table,MATCH(J$4,Curves,0))</f>
        <v>4</v>
      </c>
      <c r="K224" s="125" t="n">
        <f aca="false">J224+$K$7</f>
        <v>4</v>
      </c>
      <c r="L224" s="126" t="n">
        <f aca="false">K224</f>
        <v>4</v>
      </c>
      <c r="M224" s="124" t="n">
        <f aca="false">VLOOKUP($A224,Table,MATCH(M$4,Curves,0))</f>
        <v>4</v>
      </c>
      <c r="N224" s="125" t="n">
        <f aca="false">M224+$N$7</f>
        <v>4</v>
      </c>
      <c r="O224" s="126" t="n">
        <v>0.12</v>
      </c>
      <c r="P224" s="114"/>
      <c r="Q224" s="126" t="n">
        <f aca="false">M224+J224+G224</f>
        <v>11</v>
      </c>
      <c r="R224" s="126" t="n">
        <f aca="false">N224+K224+H224</f>
        <v>11</v>
      </c>
      <c r="S224" s="126" t="n">
        <f aca="false">O224+L224+I224</f>
        <v>7.12</v>
      </c>
      <c r="T224" s="127"/>
      <c r="U224" s="5" t="n">
        <f aca="false">A225-A224</f>
        <v>31</v>
      </c>
      <c r="V224" s="128" t="n">
        <f aca="false">CHOOSE(F$3,A225+24,A224)</f>
        <v>43800</v>
      </c>
      <c r="W224" s="5" t="n">
        <f aca="false">V224-C$3</f>
        <v>6569</v>
      </c>
      <c r="X224" s="124" t="n">
        <f aca="false">VLOOKUP($A224,Table,MATCH(X$4,Curves,0))</f>
        <v>2</v>
      </c>
      <c r="Y224" s="129" t="n">
        <f aca="false">1/(1+CHOOSE(F$3,(X225+($K$3/10000))/2,(X224+($K$3/10000))/2))^(2*W224/365.25)</f>
        <v>1.48588802754145E-011</v>
      </c>
      <c r="Z224" s="5" t="n">
        <f aca="false">IF(AND(mthbeg&lt;=A224,mthend&gt;=A224),1,0)</f>
        <v>0</v>
      </c>
      <c r="AA224" s="5" t="n">
        <f aca="false">U224*Z224</f>
        <v>0</v>
      </c>
      <c r="AC224" s="115" t="n">
        <f aca="false">IF(G217=2,F224*(S224-Q224),F224*(Q224-S224))</f>
        <v>0</v>
      </c>
      <c r="AE224" s="116" t="n">
        <f aca="false">IF($G$3=1,F224*(R224-Q224),F224*(Q224-R224))</f>
        <v>0</v>
      </c>
      <c r="AG224" s="116" t="n">
        <f aca="false">AC224+AE224</f>
        <v>0</v>
      </c>
    </row>
    <row r="225" customFormat="false" ht="12" hidden="false" customHeight="true" outlineLevel="0" collapsed="false">
      <c r="A225" s="120" t="n">
        <f aca="false">EDATE(A224,1)</f>
        <v>43831</v>
      </c>
      <c r="B225" s="121" t="e">
        <f aca="false">VLOOKUP(A225,'Inputs-Summary'!$A$32:$E$41,3,FALSE())</f>
        <v>#N/A</v>
      </c>
      <c r="C225" s="122"/>
      <c r="D225" s="123" t="e">
        <f aca="false">B225+C225</f>
        <v>#N/A</v>
      </c>
      <c r="E225" s="111" t="n">
        <f aca="false">IF(Z225=0,0,IF(AND(Z225=1,$H$3=1),D225*U225,IF($H$3=2,D225,"N/A")))</f>
        <v>0</v>
      </c>
      <c r="F225" s="111" t="n">
        <f aca="false">E225*Y225</f>
        <v>0</v>
      </c>
      <c r="G225" s="124" t="n">
        <f aca="false">VLOOKUP($A225,Table,MATCH(G$4,Curves,0))</f>
        <v>3</v>
      </c>
      <c r="H225" s="125" t="n">
        <f aca="false">G225+$H$7</f>
        <v>3</v>
      </c>
      <c r="I225" s="124" t="n">
        <f aca="false">H225</f>
        <v>3</v>
      </c>
      <c r="J225" s="124" t="n">
        <f aca="false">VLOOKUP($A225,Table,MATCH(J$4,Curves,0))</f>
        <v>4</v>
      </c>
      <c r="K225" s="125" t="n">
        <f aca="false">J225+$K$7</f>
        <v>4</v>
      </c>
      <c r="L225" s="126" t="n">
        <f aca="false">K225</f>
        <v>4</v>
      </c>
      <c r="M225" s="124" t="n">
        <f aca="false">VLOOKUP($A225,Table,MATCH(M$4,Curves,0))</f>
        <v>4</v>
      </c>
      <c r="N225" s="125" t="n">
        <f aca="false">M225+$N$7</f>
        <v>4</v>
      </c>
      <c r="O225" s="126" t="n">
        <v>0.12</v>
      </c>
      <c r="P225" s="114"/>
      <c r="Q225" s="126" t="n">
        <f aca="false">M225+J225+G225</f>
        <v>11</v>
      </c>
      <c r="R225" s="126" t="n">
        <f aca="false">N225+K225+H225</f>
        <v>11</v>
      </c>
      <c r="S225" s="126" t="n">
        <f aca="false">O225+L225+I225</f>
        <v>7.12</v>
      </c>
      <c r="T225" s="127"/>
      <c r="U225" s="5" t="n">
        <f aca="false">A226-A225</f>
        <v>31</v>
      </c>
      <c r="V225" s="128" t="n">
        <f aca="false">CHOOSE(F$3,A226+24,A225)</f>
        <v>43831</v>
      </c>
      <c r="W225" s="5" t="n">
        <f aca="false">V225-C$3</f>
        <v>6600</v>
      </c>
      <c r="X225" s="124" t="n">
        <f aca="false">VLOOKUP($A225,Table,MATCH(X$4,Curves,0))</f>
        <v>2</v>
      </c>
      <c r="Y225" s="129" t="n">
        <f aca="false">1/(1+CHOOSE(F$3,(X226+($K$3/10000))/2,(X225+($K$3/10000))/2))^(2*W225/365.25)</f>
        <v>1.32095255844162E-011</v>
      </c>
      <c r="Z225" s="5" t="n">
        <f aca="false">IF(AND(mthbeg&lt;=A225,mthend&gt;=A225),1,0)</f>
        <v>0</v>
      </c>
      <c r="AA225" s="5" t="n">
        <f aca="false">U225*Z225</f>
        <v>0</v>
      </c>
      <c r="AC225" s="115" t="n">
        <f aca="false">IF(G218=2,F225*(S225-Q225),F225*(Q225-S225))</f>
        <v>0</v>
      </c>
      <c r="AE225" s="116" t="n">
        <f aca="false">IF($G$3=1,F225*(R225-Q225),F225*(Q225-R225))</f>
        <v>0</v>
      </c>
      <c r="AG225" s="116" t="n">
        <f aca="false">AC225+AE225</f>
        <v>0</v>
      </c>
    </row>
    <row r="226" customFormat="false" ht="12" hidden="false" customHeight="true" outlineLevel="0" collapsed="false">
      <c r="A226" s="120" t="n">
        <f aca="false">EDATE(A225,1)</f>
        <v>43862</v>
      </c>
      <c r="B226" s="121" t="e">
        <f aca="false">VLOOKUP(A226,'Inputs-Summary'!$A$32:$E$41,3,FALSE())</f>
        <v>#N/A</v>
      </c>
      <c r="C226" s="122"/>
      <c r="D226" s="123" t="e">
        <f aca="false">B226+C226</f>
        <v>#N/A</v>
      </c>
      <c r="E226" s="111" t="n">
        <f aca="false">IF(Z226=0,0,IF(AND(Z226=1,$H$3=1),D226*U226,IF($H$3=2,D226,"N/A")))</f>
        <v>0</v>
      </c>
      <c r="F226" s="111" t="n">
        <f aca="false">E226*Y226</f>
        <v>0</v>
      </c>
      <c r="G226" s="124" t="n">
        <f aca="false">VLOOKUP($A226,Table,MATCH(G$4,Curves,0))</f>
        <v>3</v>
      </c>
      <c r="H226" s="125" t="n">
        <f aca="false">G226+$H$7</f>
        <v>3</v>
      </c>
      <c r="I226" s="124" t="n">
        <f aca="false">H226</f>
        <v>3</v>
      </c>
      <c r="J226" s="124" t="n">
        <f aca="false">VLOOKUP($A226,Table,MATCH(J$4,Curves,0))</f>
        <v>4</v>
      </c>
      <c r="K226" s="125" t="n">
        <f aca="false">J226+$K$7</f>
        <v>4</v>
      </c>
      <c r="L226" s="126" t="n">
        <f aca="false">K226</f>
        <v>4</v>
      </c>
      <c r="M226" s="124" t="n">
        <f aca="false">VLOOKUP($A226,Table,MATCH(M$4,Curves,0))</f>
        <v>4</v>
      </c>
      <c r="N226" s="125" t="n">
        <f aca="false">M226+$N$7</f>
        <v>4</v>
      </c>
      <c r="O226" s="126" t="n">
        <v>0.12</v>
      </c>
      <c r="P226" s="114"/>
      <c r="Q226" s="126" t="n">
        <f aca="false">M226+J226+G226</f>
        <v>11</v>
      </c>
      <c r="R226" s="126" t="n">
        <f aca="false">N226+K226+H226</f>
        <v>11</v>
      </c>
      <c r="S226" s="126" t="n">
        <f aca="false">O226+L226+I226</f>
        <v>7.12</v>
      </c>
      <c r="T226" s="127"/>
      <c r="U226" s="5" t="n">
        <f aca="false">A227-A226</f>
        <v>29</v>
      </c>
      <c r="V226" s="128" t="n">
        <f aca="false">CHOOSE(F$3,A227+24,A226)</f>
        <v>43862</v>
      </c>
      <c r="W226" s="5" t="n">
        <f aca="false">V226-C$3</f>
        <v>6631</v>
      </c>
      <c r="X226" s="124" t="n">
        <f aca="false">VLOOKUP($A226,Table,MATCH(X$4,Curves,0))</f>
        <v>2</v>
      </c>
      <c r="Y226" s="129" t="n">
        <f aca="false">1/(1+CHOOSE(F$3,(X227+($K$3/10000))/2,(X226+($K$3/10000))/2))^(2*W226/365.25)</f>
        <v>1.17432513709705E-011</v>
      </c>
      <c r="Z226" s="5" t="n">
        <f aca="false">IF(AND(mthbeg&lt;=A226,mthend&gt;=A226),1,0)</f>
        <v>0</v>
      </c>
      <c r="AA226" s="5" t="n">
        <f aca="false">U226*Z226</f>
        <v>0</v>
      </c>
      <c r="AC226" s="115" t="n">
        <f aca="false">IF(G219=2,F226*(S226-Q226),F226*(Q226-S226))</f>
        <v>0</v>
      </c>
      <c r="AE226" s="116" t="n">
        <f aca="false">IF($G$3=1,F226*(R226-Q226),F226*(Q226-R226))</f>
        <v>0</v>
      </c>
      <c r="AG226" s="116" t="n">
        <f aca="false">AC226+AE226</f>
        <v>0</v>
      </c>
    </row>
    <row r="227" customFormat="false" ht="12" hidden="false" customHeight="true" outlineLevel="0" collapsed="false">
      <c r="A227" s="120" t="n">
        <f aca="false">EDATE(A226,1)</f>
        <v>43891</v>
      </c>
      <c r="B227" s="121" t="e">
        <f aca="false">VLOOKUP(A227,'Inputs-Summary'!$A$32:$E$41,3,FALSE())</f>
        <v>#N/A</v>
      </c>
      <c r="C227" s="122"/>
      <c r="D227" s="123" t="e">
        <f aca="false">B227+C227</f>
        <v>#N/A</v>
      </c>
      <c r="E227" s="111" t="n">
        <f aca="false">IF(Z227=0,0,IF(AND(Z227=1,$H$3=1),D227*U227,IF($H$3=2,D227,"N/A")))</f>
        <v>0</v>
      </c>
      <c r="F227" s="111" t="n">
        <f aca="false">E227*Y227</f>
        <v>0</v>
      </c>
      <c r="G227" s="124" t="n">
        <f aca="false">VLOOKUP($A227,Table,MATCH(G$4,Curves,0))</f>
        <v>3</v>
      </c>
      <c r="H227" s="125" t="n">
        <f aca="false">G227+$H$7</f>
        <v>3</v>
      </c>
      <c r="I227" s="124" t="n">
        <f aca="false">H227</f>
        <v>3</v>
      </c>
      <c r="J227" s="124" t="n">
        <f aca="false">VLOOKUP($A227,Table,MATCH(J$4,Curves,0))</f>
        <v>4</v>
      </c>
      <c r="K227" s="125" t="n">
        <f aca="false">J227+$K$7</f>
        <v>4</v>
      </c>
      <c r="L227" s="126" t="n">
        <f aca="false">K227</f>
        <v>4</v>
      </c>
      <c r="M227" s="124" t="n">
        <f aca="false">VLOOKUP($A227,Table,MATCH(M$4,Curves,0))</f>
        <v>4</v>
      </c>
      <c r="N227" s="125" t="n">
        <f aca="false">M227+$N$7</f>
        <v>4</v>
      </c>
      <c r="O227" s="126" t="n">
        <v>0.12</v>
      </c>
      <c r="P227" s="114"/>
      <c r="Q227" s="126" t="n">
        <f aca="false">M227+J227+G227</f>
        <v>11</v>
      </c>
      <c r="R227" s="126" t="n">
        <f aca="false">N227+K227+H227</f>
        <v>11</v>
      </c>
      <c r="S227" s="126" t="n">
        <f aca="false">O227+L227+I227</f>
        <v>7.12</v>
      </c>
      <c r="T227" s="127"/>
      <c r="U227" s="5" t="n">
        <f aca="false">A228-A227</f>
        <v>31</v>
      </c>
      <c r="V227" s="128" t="n">
        <f aca="false">CHOOSE(F$3,A228+24,A227)</f>
        <v>43891</v>
      </c>
      <c r="W227" s="5" t="n">
        <f aca="false">V227-C$3</f>
        <v>6660</v>
      </c>
      <c r="X227" s="124" t="n">
        <f aca="false">VLOOKUP($A227,Table,MATCH(X$4,Curves,0))</f>
        <v>2</v>
      </c>
      <c r="Y227" s="129" t="n">
        <f aca="false">1/(1+CHOOSE(F$3,(X228+($K$3/10000))/2,(X227+($K$3/10000))/2))^(2*W227/365.25)</f>
        <v>1.051928435658E-011</v>
      </c>
      <c r="Z227" s="5" t="n">
        <f aca="false">IF(AND(mthbeg&lt;=A227,mthend&gt;=A227),1,0)</f>
        <v>0</v>
      </c>
      <c r="AA227" s="5" t="n">
        <f aca="false">U227*Z227</f>
        <v>0</v>
      </c>
      <c r="AC227" s="115" t="n">
        <f aca="false">IF(G220=2,F227*(S227-Q227),F227*(Q227-S227))</f>
        <v>0</v>
      </c>
      <c r="AE227" s="116" t="n">
        <f aca="false">IF($G$3=1,F227*(R227-Q227),F227*(Q227-R227))</f>
        <v>0</v>
      </c>
      <c r="AG227" s="116" t="n">
        <f aca="false">AC227+AE227</f>
        <v>0</v>
      </c>
    </row>
    <row r="228" customFormat="false" ht="12" hidden="false" customHeight="true" outlineLevel="0" collapsed="false">
      <c r="A228" s="120" t="n">
        <f aca="false">EDATE(A227,1)</f>
        <v>43922</v>
      </c>
      <c r="B228" s="121" t="e">
        <f aca="false">VLOOKUP(A228,'Inputs-Summary'!$A$32:$E$41,3,FALSE())</f>
        <v>#N/A</v>
      </c>
      <c r="C228" s="122"/>
      <c r="D228" s="123" t="e">
        <f aca="false">B228+C228</f>
        <v>#N/A</v>
      </c>
      <c r="E228" s="111" t="n">
        <f aca="false">IF(Z228=0,0,IF(AND(Z228=1,$H$3=1),D228*U228,IF($H$3=2,D228,"N/A")))</f>
        <v>0</v>
      </c>
      <c r="F228" s="111" t="n">
        <f aca="false">E228*Y228</f>
        <v>0</v>
      </c>
      <c r="G228" s="124" t="n">
        <f aca="false">VLOOKUP($A228,Table,MATCH(G$4,Curves,0))</f>
        <v>3</v>
      </c>
      <c r="H228" s="125" t="n">
        <f aca="false">G228+$H$7</f>
        <v>3</v>
      </c>
      <c r="I228" s="124" t="n">
        <f aca="false">H228</f>
        <v>3</v>
      </c>
      <c r="J228" s="124" t="n">
        <f aca="false">VLOOKUP($A228,Table,MATCH(J$4,Curves,0))</f>
        <v>4</v>
      </c>
      <c r="K228" s="125" t="n">
        <f aca="false">J228+$K$7</f>
        <v>4</v>
      </c>
      <c r="L228" s="126" t="n">
        <f aca="false">K228</f>
        <v>4</v>
      </c>
      <c r="M228" s="124" t="n">
        <f aca="false">VLOOKUP($A228,Table,MATCH(M$4,Curves,0))</f>
        <v>4</v>
      </c>
      <c r="N228" s="125" t="n">
        <f aca="false">M228+$N$7</f>
        <v>4</v>
      </c>
      <c r="O228" s="126" t="n">
        <v>0.12</v>
      </c>
      <c r="P228" s="114"/>
      <c r="Q228" s="126" t="n">
        <f aca="false">M228+J228+G228</f>
        <v>11</v>
      </c>
      <c r="R228" s="126" t="n">
        <f aca="false">N228+K228+H228</f>
        <v>11</v>
      </c>
      <c r="S228" s="126" t="n">
        <f aca="false">O228+L228+I228</f>
        <v>7.12</v>
      </c>
      <c r="T228" s="127"/>
      <c r="U228" s="5" t="n">
        <f aca="false">A229-A228</f>
        <v>30</v>
      </c>
      <c r="V228" s="128" t="n">
        <f aca="false">CHOOSE(F$3,A229+24,A228)</f>
        <v>43922</v>
      </c>
      <c r="W228" s="5" t="n">
        <f aca="false">V228-C$3</f>
        <v>6691</v>
      </c>
      <c r="X228" s="124" t="n">
        <f aca="false">VLOOKUP($A228,Table,MATCH(X$4,Curves,0))</f>
        <v>2</v>
      </c>
      <c r="Y228" s="129" t="n">
        <f aca="false">1/(1+CHOOSE(F$3,(X229+($K$3/10000))/2,(X228+($K$3/10000))/2))^(2*W228/365.25)</f>
        <v>9.35163035588276E-012</v>
      </c>
      <c r="Z228" s="5" t="n">
        <f aca="false">IF(AND(mthbeg&lt;=A228,mthend&gt;=A228),1,0)</f>
        <v>0</v>
      </c>
      <c r="AA228" s="5" t="n">
        <f aca="false">U228*Z228</f>
        <v>0</v>
      </c>
      <c r="AC228" s="115" t="n">
        <f aca="false">IF(G221=2,F228*(S228-Q228),F228*(Q228-S228))</f>
        <v>0</v>
      </c>
      <c r="AE228" s="116" t="n">
        <f aca="false">IF($G$3=1,F228*(R228-Q228),F228*(Q228-R228))</f>
        <v>0</v>
      </c>
      <c r="AG228" s="116" t="n">
        <f aca="false">AC228+AE228</f>
        <v>0</v>
      </c>
    </row>
    <row r="229" customFormat="false" ht="12" hidden="false" customHeight="true" outlineLevel="0" collapsed="false">
      <c r="A229" s="120" t="n">
        <f aca="false">EDATE(A228,1)</f>
        <v>43952</v>
      </c>
      <c r="B229" s="121" t="e">
        <f aca="false">VLOOKUP(A229,'Inputs-Summary'!$A$32:$E$41,3,FALSE())</f>
        <v>#N/A</v>
      </c>
      <c r="C229" s="122"/>
      <c r="D229" s="123" t="e">
        <f aca="false">B229+C229</f>
        <v>#N/A</v>
      </c>
      <c r="E229" s="111" t="n">
        <f aca="false">IF(Z229=0,0,IF(AND(Z229=1,$H$3=1),D229*U229,IF($H$3=2,D229,"N/A")))</f>
        <v>0</v>
      </c>
      <c r="F229" s="111" t="n">
        <f aca="false">E229*Y229</f>
        <v>0</v>
      </c>
      <c r="G229" s="124" t="n">
        <f aca="false">VLOOKUP($A229,Table,MATCH(G$4,Curves,0))</f>
        <v>3</v>
      </c>
      <c r="H229" s="125" t="n">
        <f aca="false">G229+$H$7</f>
        <v>3</v>
      </c>
      <c r="I229" s="124" t="n">
        <f aca="false">H229</f>
        <v>3</v>
      </c>
      <c r="J229" s="124" t="n">
        <f aca="false">VLOOKUP($A229,Table,MATCH(J$4,Curves,0))</f>
        <v>4</v>
      </c>
      <c r="K229" s="125" t="n">
        <f aca="false">J229+$K$7</f>
        <v>4</v>
      </c>
      <c r="L229" s="126" t="n">
        <f aca="false">K229</f>
        <v>4</v>
      </c>
      <c r="M229" s="124" t="n">
        <f aca="false">VLOOKUP($A229,Table,MATCH(M$4,Curves,0))</f>
        <v>4</v>
      </c>
      <c r="N229" s="125" t="n">
        <f aca="false">M229+$N$7</f>
        <v>4</v>
      </c>
      <c r="O229" s="126" t="n">
        <v>0.12</v>
      </c>
      <c r="P229" s="114"/>
      <c r="Q229" s="126" t="n">
        <f aca="false">M229+J229+G229</f>
        <v>11</v>
      </c>
      <c r="R229" s="126" t="n">
        <f aca="false">N229+K229+H229</f>
        <v>11</v>
      </c>
      <c r="S229" s="126" t="n">
        <f aca="false">O229+L229+I229</f>
        <v>7.12</v>
      </c>
      <c r="T229" s="127"/>
      <c r="U229" s="5" t="n">
        <f aca="false">A230-A229</f>
        <v>31</v>
      </c>
      <c r="V229" s="128" t="n">
        <f aca="false">CHOOSE(F$3,A230+24,A229)</f>
        <v>43952</v>
      </c>
      <c r="W229" s="5" t="n">
        <f aca="false">V229-C$3</f>
        <v>6721</v>
      </c>
      <c r="X229" s="124" t="n">
        <f aca="false">VLOOKUP($A229,Table,MATCH(X$4,Curves,0))</f>
        <v>2</v>
      </c>
      <c r="Y229" s="129" t="n">
        <f aca="false">1/(1+CHOOSE(F$3,(X230+($K$3/10000))/2,(X229+($K$3/10000))/2))^(2*W229/365.25)</f>
        <v>8.34520134529526E-012</v>
      </c>
      <c r="Z229" s="5" t="n">
        <f aca="false">IF(AND(mthbeg&lt;=A229,mthend&gt;=A229),1,0)</f>
        <v>0</v>
      </c>
      <c r="AA229" s="5" t="n">
        <f aca="false">U229*Z229</f>
        <v>0</v>
      </c>
      <c r="AC229" s="115" t="n">
        <f aca="false">IF(G222=2,F229*(S229-Q229),F229*(Q229-S229))</f>
        <v>0</v>
      </c>
      <c r="AE229" s="116" t="n">
        <f aca="false">IF($G$3=1,F229*(R229-Q229),F229*(Q229-R229))</f>
        <v>0</v>
      </c>
      <c r="AG229" s="116" t="n">
        <f aca="false">AC229+AE229</f>
        <v>0</v>
      </c>
    </row>
    <row r="230" customFormat="false" ht="12" hidden="false" customHeight="true" outlineLevel="0" collapsed="false">
      <c r="A230" s="120" t="n">
        <f aca="false">EDATE(A229,1)</f>
        <v>43983</v>
      </c>
      <c r="B230" s="121" t="e">
        <f aca="false">VLOOKUP(A230,'Inputs-Summary'!$A$32:$E$41,3,FALSE())</f>
        <v>#N/A</v>
      </c>
      <c r="C230" s="122"/>
      <c r="D230" s="123" t="e">
        <f aca="false">B230+C230</f>
        <v>#N/A</v>
      </c>
      <c r="E230" s="111" t="n">
        <f aca="false">IF(Z230=0,0,IF(AND(Z230=1,$H$3=1),D230*U230,IF($H$3=2,D230,"N/A")))</f>
        <v>0</v>
      </c>
      <c r="F230" s="111" t="n">
        <f aca="false">E230*Y230</f>
        <v>0</v>
      </c>
      <c r="G230" s="124" t="n">
        <f aca="false">VLOOKUP($A230,Table,MATCH(G$4,Curves,0))</f>
        <v>3</v>
      </c>
      <c r="H230" s="125" t="n">
        <f aca="false">G230+$H$7</f>
        <v>3</v>
      </c>
      <c r="I230" s="124" t="n">
        <f aca="false">H230</f>
        <v>3</v>
      </c>
      <c r="J230" s="124" t="n">
        <f aca="false">VLOOKUP($A230,Table,MATCH(J$4,Curves,0))</f>
        <v>4</v>
      </c>
      <c r="K230" s="125" t="n">
        <f aca="false">J230+$K$7</f>
        <v>4</v>
      </c>
      <c r="L230" s="126" t="n">
        <f aca="false">K230</f>
        <v>4</v>
      </c>
      <c r="M230" s="124" t="n">
        <f aca="false">VLOOKUP($A230,Table,MATCH(M$4,Curves,0))</f>
        <v>4</v>
      </c>
      <c r="N230" s="125" t="n">
        <f aca="false">M230+$N$7</f>
        <v>4</v>
      </c>
      <c r="O230" s="126" t="n">
        <v>0.12</v>
      </c>
      <c r="P230" s="114"/>
      <c r="Q230" s="126" t="n">
        <f aca="false">M230+J230+G230</f>
        <v>11</v>
      </c>
      <c r="R230" s="126" t="n">
        <f aca="false">N230+K230+H230</f>
        <v>11</v>
      </c>
      <c r="S230" s="126" t="n">
        <f aca="false">O230+L230+I230</f>
        <v>7.12</v>
      </c>
      <c r="T230" s="127"/>
      <c r="U230" s="5" t="n">
        <f aca="false">A231-A230</f>
        <v>30</v>
      </c>
      <c r="V230" s="128" t="n">
        <f aca="false">CHOOSE(F$3,A231+24,A230)</f>
        <v>43983</v>
      </c>
      <c r="W230" s="5" t="n">
        <f aca="false">V230-C$3</f>
        <v>6752</v>
      </c>
      <c r="X230" s="124" t="n">
        <f aca="false">VLOOKUP($A230,Table,MATCH(X$4,Curves,0))</f>
        <v>2</v>
      </c>
      <c r="Y230" s="129" t="n">
        <f aca="false">1/(1+CHOOSE(F$3,(X231+($K$3/10000))/2,(X230+($K$3/10000))/2))^(2*W230/365.25)</f>
        <v>7.41887333597939E-012</v>
      </c>
      <c r="Z230" s="5" t="n">
        <f aca="false">IF(AND(mthbeg&lt;=A230,mthend&gt;=A230),1,0)</f>
        <v>0</v>
      </c>
      <c r="AA230" s="5" t="n">
        <f aca="false">U230*Z230</f>
        <v>0</v>
      </c>
      <c r="AC230" s="115" t="n">
        <f aca="false">IF(G223=2,F230*(S230-Q230),F230*(Q230-S230))</f>
        <v>0</v>
      </c>
      <c r="AE230" s="116" t="n">
        <f aca="false">IF($G$3=1,F230*(R230-Q230),F230*(Q230-R230))</f>
        <v>0</v>
      </c>
      <c r="AG230" s="116" t="n">
        <f aca="false">AC230+AE230</f>
        <v>0</v>
      </c>
    </row>
    <row r="231" customFormat="false" ht="12" hidden="false" customHeight="true" outlineLevel="0" collapsed="false">
      <c r="A231" s="120" t="n">
        <f aca="false">EDATE(A230,1)</f>
        <v>44013</v>
      </c>
      <c r="B231" s="121" t="e">
        <f aca="false">VLOOKUP(A231,'Inputs-Summary'!$A$32:$E$41,3,FALSE())</f>
        <v>#N/A</v>
      </c>
      <c r="C231" s="122"/>
      <c r="D231" s="123" t="e">
        <f aca="false">B231+C231</f>
        <v>#N/A</v>
      </c>
      <c r="E231" s="111" t="n">
        <f aca="false">IF(Z231=0,0,IF(AND(Z231=1,$H$3=1),D231*U231,IF($H$3=2,D231,"N/A")))</f>
        <v>0</v>
      </c>
      <c r="F231" s="111" t="n">
        <f aca="false">E231*Y231</f>
        <v>0</v>
      </c>
      <c r="G231" s="124" t="n">
        <f aca="false">VLOOKUP($A231,Table,MATCH(G$4,Curves,0))</f>
        <v>3</v>
      </c>
      <c r="H231" s="125" t="n">
        <f aca="false">G231+$H$7</f>
        <v>3</v>
      </c>
      <c r="I231" s="124" t="n">
        <f aca="false">H231</f>
        <v>3</v>
      </c>
      <c r="J231" s="124" t="n">
        <f aca="false">VLOOKUP($A231,Table,MATCH(J$4,Curves,0))</f>
        <v>4</v>
      </c>
      <c r="K231" s="125" t="n">
        <f aca="false">J231+$K$7</f>
        <v>4</v>
      </c>
      <c r="L231" s="126" t="n">
        <f aca="false">K231</f>
        <v>4</v>
      </c>
      <c r="M231" s="124" t="n">
        <f aca="false">VLOOKUP($A231,Table,MATCH(M$4,Curves,0))</f>
        <v>4</v>
      </c>
      <c r="N231" s="125" t="n">
        <f aca="false">M231+$N$7</f>
        <v>4</v>
      </c>
      <c r="O231" s="126" t="n">
        <v>0.12</v>
      </c>
      <c r="P231" s="114"/>
      <c r="Q231" s="126" t="n">
        <f aca="false">M231+J231+G231</f>
        <v>11</v>
      </c>
      <c r="R231" s="126" t="n">
        <f aca="false">N231+K231+H231</f>
        <v>11</v>
      </c>
      <c r="S231" s="126" t="n">
        <f aca="false">O231+L231+I231</f>
        <v>7.12</v>
      </c>
      <c r="T231" s="127"/>
      <c r="U231" s="5" t="n">
        <f aca="false">A232-A231</f>
        <v>31</v>
      </c>
      <c r="V231" s="128" t="n">
        <f aca="false">CHOOSE(F$3,A232+24,A231)</f>
        <v>44013</v>
      </c>
      <c r="W231" s="5" t="n">
        <f aca="false">V231-C$3</f>
        <v>6782</v>
      </c>
      <c r="X231" s="124" t="n">
        <f aca="false">VLOOKUP($A231,Table,MATCH(X$4,Curves,0))</f>
        <v>2</v>
      </c>
      <c r="Y231" s="129" t="n">
        <f aca="false">1/(1+CHOOSE(F$3,(X232+($K$3/10000))/2,(X231+($K$3/10000))/2))^(2*W231/365.25)</f>
        <v>6.62044898995009E-012</v>
      </c>
      <c r="Z231" s="5" t="n">
        <f aca="false">IF(AND(mthbeg&lt;=A231,mthend&gt;=A231),1,0)</f>
        <v>0</v>
      </c>
      <c r="AA231" s="5" t="n">
        <f aca="false">U231*Z231</f>
        <v>0</v>
      </c>
      <c r="AC231" s="115" t="n">
        <f aca="false">IF(G224=2,F231*(S231-Q231),F231*(Q231-S231))</f>
        <v>0</v>
      </c>
      <c r="AE231" s="116" t="n">
        <f aca="false">IF($G$3=1,F231*(R231-Q231),F231*(Q231-R231))</f>
        <v>0</v>
      </c>
      <c r="AG231" s="116" t="n">
        <f aca="false">AC231+AE231</f>
        <v>0</v>
      </c>
    </row>
    <row r="232" customFormat="false" ht="12" hidden="false" customHeight="true" outlineLevel="0" collapsed="false">
      <c r="A232" s="120" t="n">
        <f aca="false">EDATE(A231,1)</f>
        <v>44044</v>
      </c>
      <c r="B232" s="121" t="e">
        <f aca="false">VLOOKUP(A232,'Inputs-Summary'!$A$32:$E$41,3,FALSE())</f>
        <v>#N/A</v>
      </c>
      <c r="C232" s="122"/>
      <c r="D232" s="123" t="e">
        <f aca="false">B232+C232</f>
        <v>#N/A</v>
      </c>
      <c r="E232" s="111" t="n">
        <f aca="false">IF(Z232=0,0,IF(AND(Z232=1,$H$3=1),D232*U232,IF($H$3=2,D232,"N/A")))</f>
        <v>0</v>
      </c>
      <c r="F232" s="111" t="n">
        <f aca="false">E232*Y232</f>
        <v>0</v>
      </c>
      <c r="G232" s="124" t="n">
        <f aca="false">VLOOKUP($A232,Table,MATCH(G$4,Curves,0))</f>
        <v>3</v>
      </c>
      <c r="H232" s="125" t="n">
        <f aca="false">G232+$H$7</f>
        <v>3</v>
      </c>
      <c r="I232" s="124" t="n">
        <f aca="false">H232</f>
        <v>3</v>
      </c>
      <c r="J232" s="124" t="n">
        <f aca="false">VLOOKUP($A232,Table,MATCH(J$4,Curves,0))</f>
        <v>4</v>
      </c>
      <c r="K232" s="125" t="n">
        <f aca="false">J232+$K$7</f>
        <v>4</v>
      </c>
      <c r="L232" s="126" t="n">
        <f aca="false">K232</f>
        <v>4</v>
      </c>
      <c r="M232" s="124" t="n">
        <f aca="false">VLOOKUP($A232,Table,MATCH(M$4,Curves,0))</f>
        <v>4</v>
      </c>
      <c r="N232" s="125" t="n">
        <f aca="false">M232+$N$7</f>
        <v>4</v>
      </c>
      <c r="O232" s="126" t="n">
        <v>0.12</v>
      </c>
      <c r="P232" s="114"/>
      <c r="Q232" s="126" t="n">
        <f aca="false">M232+J232+G232</f>
        <v>11</v>
      </c>
      <c r="R232" s="126" t="n">
        <f aca="false">N232+K232+H232</f>
        <v>11</v>
      </c>
      <c r="S232" s="126" t="n">
        <f aca="false">O232+L232+I232</f>
        <v>7.12</v>
      </c>
      <c r="T232" s="127"/>
      <c r="U232" s="5" t="n">
        <f aca="false">A233-A232</f>
        <v>31</v>
      </c>
      <c r="V232" s="128" t="n">
        <f aca="false">CHOOSE(F$3,A233+24,A232)</f>
        <v>44044</v>
      </c>
      <c r="W232" s="5" t="n">
        <f aca="false">V232-C$3</f>
        <v>6813</v>
      </c>
      <c r="X232" s="124" t="n">
        <f aca="false">VLOOKUP($A232,Table,MATCH(X$4,Curves,0))</f>
        <v>2</v>
      </c>
      <c r="Y232" s="129" t="n">
        <f aca="false">1/(1+CHOOSE(F$3,(X233+($K$3/10000))/2,(X232+($K$3/10000))/2))^(2*W232/365.25)</f>
        <v>5.88557069524062E-012</v>
      </c>
      <c r="Z232" s="5" t="n">
        <f aca="false">IF(AND(mthbeg&lt;=A232,mthend&gt;=A232),1,0)</f>
        <v>0</v>
      </c>
      <c r="AA232" s="5" t="n">
        <f aca="false">U232*Z232</f>
        <v>0</v>
      </c>
      <c r="AC232" s="115" t="n">
        <f aca="false">IF(G225=2,F232*(S232-Q232),F232*(Q232-S232))</f>
        <v>0</v>
      </c>
      <c r="AE232" s="116" t="n">
        <f aca="false">IF($G$3=1,F232*(R232-Q232),F232*(Q232-R232))</f>
        <v>0</v>
      </c>
      <c r="AG232" s="116" t="n">
        <f aca="false">AC232+AE232</f>
        <v>0</v>
      </c>
    </row>
    <row r="233" customFormat="false" ht="12" hidden="false" customHeight="true" outlineLevel="0" collapsed="false">
      <c r="A233" s="120" t="n">
        <f aca="false">EDATE(A232,1)</f>
        <v>44075</v>
      </c>
      <c r="B233" s="121" t="e">
        <f aca="false">VLOOKUP(A233,'Inputs-Summary'!$A$32:$E$41,3,FALSE())</f>
        <v>#N/A</v>
      </c>
      <c r="C233" s="122"/>
      <c r="D233" s="123" t="e">
        <f aca="false">B233+C233</f>
        <v>#N/A</v>
      </c>
      <c r="E233" s="111" t="n">
        <f aca="false">IF(Z233=0,0,IF(AND(Z233=1,$H$3=1),D233*U233,IF($H$3=2,D233,"N/A")))</f>
        <v>0</v>
      </c>
      <c r="F233" s="111" t="n">
        <f aca="false">E233*Y233</f>
        <v>0</v>
      </c>
      <c r="G233" s="124" t="n">
        <f aca="false">VLOOKUP($A233,Table,MATCH(G$4,Curves,0))</f>
        <v>3</v>
      </c>
      <c r="H233" s="125" t="n">
        <f aca="false">G233+$H$7</f>
        <v>3</v>
      </c>
      <c r="I233" s="124" t="n">
        <f aca="false">H233</f>
        <v>3</v>
      </c>
      <c r="J233" s="124" t="n">
        <f aca="false">VLOOKUP($A233,Table,MATCH(J$4,Curves,0))</f>
        <v>4</v>
      </c>
      <c r="K233" s="125" t="n">
        <f aca="false">J233+$K$7</f>
        <v>4</v>
      </c>
      <c r="L233" s="126" t="n">
        <f aca="false">K233</f>
        <v>4</v>
      </c>
      <c r="M233" s="124" t="n">
        <f aca="false">VLOOKUP($A233,Table,MATCH(M$4,Curves,0))</f>
        <v>4</v>
      </c>
      <c r="N233" s="125" t="n">
        <f aca="false">M233+$N$7</f>
        <v>4</v>
      </c>
      <c r="O233" s="126" t="n">
        <v>0.12</v>
      </c>
      <c r="P233" s="114"/>
      <c r="Q233" s="126" t="n">
        <f aca="false">M233+J233+G233</f>
        <v>11</v>
      </c>
      <c r="R233" s="126" t="n">
        <f aca="false">N233+K233+H233</f>
        <v>11</v>
      </c>
      <c r="S233" s="126" t="n">
        <f aca="false">O233+L233+I233</f>
        <v>7.12</v>
      </c>
      <c r="T233" s="127"/>
      <c r="U233" s="5" t="n">
        <f aca="false">A234-A233</f>
        <v>30</v>
      </c>
      <c r="V233" s="128" t="n">
        <f aca="false">CHOOSE(F$3,A234+24,A233)</f>
        <v>44075</v>
      </c>
      <c r="W233" s="5" t="n">
        <f aca="false">V233-C$3</f>
        <v>6844</v>
      </c>
      <c r="X233" s="124" t="n">
        <f aca="false">VLOOKUP($A233,Table,MATCH(X$4,Curves,0))</f>
        <v>2</v>
      </c>
      <c r="Y233" s="129" t="n">
        <f aca="false">1/(1+CHOOSE(F$3,(X234+($K$3/10000))/2,(X233+($K$3/10000))/2))^(2*W233/365.25)</f>
        <v>5.23226482996228E-012</v>
      </c>
      <c r="Z233" s="5" t="n">
        <f aca="false">IF(AND(mthbeg&lt;=A233,mthend&gt;=A233),1,0)</f>
        <v>0</v>
      </c>
      <c r="AA233" s="5" t="n">
        <f aca="false">U233*Z233</f>
        <v>0</v>
      </c>
      <c r="AC233" s="115" t="n">
        <f aca="false">IF(G226=2,F233*(S233-Q233),F233*(Q233-S233))</f>
        <v>0</v>
      </c>
      <c r="AE233" s="116" t="n">
        <f aca="false">IF($G$3=1,F233*(R233-Q233),F233*(Q233-R233))</f>
        <v>0</v>
      </c>
      <c r="AG233" s="116" t="n">
        <f aca="false">AC233+AE233</f>
        <v>0</v>
      </c>
    </row>
    <row r="234" customFormat="false" ht="12" hidden="false" customHeight="true" outlineLevel="0" collapsed="false">
      <c r="A234" s="120" t="n">
        <f aca="false">EDATE(A233,1)</f>
        <v>44105</v>
      </c>
      <c r="B234" s="121" t="e">
        <f aca="false">VLOOKUP(A234,'Inputs-Summary'!$A$32:$E$41,3,FALSE())</f>
        <v>#N/A</v>
      </c>
      <c r="C234" s="122"/>
      <c r="D234" s="123" t="e">
        <f aca="false">B234+C234</f>
        <v>#N/A</v>
      </c>
      <c r="E234" s="111" t="n">
        <f aca="false">IF(Z234=0,0,IF(AND(Z234=1,$H$3=1),D234*U234,IF($H$3=2,D234,"N/A")))</f>
        <v>0</v>
      </c>
      <c r="F234" s="111" t="n">
        <f aca="false">E234*Y234</f>
        <v>0</v>
      </c>
      <c r="G234" s="124" t="n">
        <f aca="false">VLOOKUP($A234,Table,MATCH(G$4,Curves,0))</f>
        <v>3</v>
      </c>
      <c r="H234" s="125" t="n">
        <f aca="false">G234+$H$7</f>
        <v>3</v>
      </c>
      <c r="I234" s="124" t="n">
        <f aca="false">H234</f>
        <v>3</v>
      </c>
      <c r="J234" s="124" t="n">
        <f aca="false">VLOOKUP($A234,Table,MATCH(J$4,Curves,0))</f>
        <v>4</v>
      </c>
      <c r="K234" s="125" t="n">
        <f aca="false">J234+$K$7</f>
        <v>4</v>
      </c>
      <c r="L234" s="126" t="n">
        <f aca="false">K234</f>
        <v>4</v>
      </c>
      <c r="M234" s="124" t="n">
        <f aca="false">VLOOKUP($A234,Table,MATCH(M$4,Curves,0))</f>
        <v>4</v>
      </c>
      <c r="N234" s="125" t="n">
        <f aca="false">M234+$N$7</f>
        <v>4</v>
      </c>
      <c r="O234" s="126" t="n">
        <v>0.12</v>
      </c>
      <c r="P234" s="114"/>
      <c r="Q234" s="126" t="n">
        <f aca="false">M234+J234+G234</f>
        <v>11</v>
      </c>
      <c r="R234" s="126" t="n">
        <f aca="false">N234+K234+H234</f>
        <v>11</v>
      </c>
      <c r="S234" s="126" t="n">
        <f aca="false">O234+L234+I234</f>
        <v>7.12</v>
      </c>
      <c r="T234" s="127"/>
      <c r="U234" s="5" t="n">
        <f aca="false">A235-A234</f>
        <v>31</v>
      </c>
      <c r="V234" s="128" t="n">
        <f aca="false">CHOOSE(F$3,A235+24,A234)</f>
        <v>44105</v>
      </c>
      <c r="W234" s="5" t="n">
        <f aca="false">V234-C$3</f>
        <v>6874</v>
      </c>
      <c r="X234" s="124" t="n">
        <f aca="false">VLOOKUP($A234,Table,MATCH(X$4,Curves,0))</f>
        <v>2</v>
      </c>
      <c r="Y234" s="129" t="n">
        <f aca="false">1/(1+CHOOSE(F$3,(X235+($K$3/10000))/2,(X234+($K$3/10000))/2))^(2*W234/365.25)</f>
        <v>4.66916482327328E-012</v>
      </c>
      <c r="Z234" s="5" t="n">
        <f aca="false">IF(AND(mthbeg&lt;=A234,mthend&gt;=A234),1,0)</f>
        <v>0</v>
      </c>
      <c r="AA234" s="5" t="n">
        <f aca="false">U234*Z234</f>
        <v>0</v>
      </c>
      <c r="AC234" s="115" t="n">
        <f aca="false">IF(G227=2,F234*(S234-Q234),F234*(Q234-S234))</f>
        <v>0</v>
      </c>
      <c r="AE234" s="116" t="n">
        <f aca="false">IF($G$3=1,F234*(R234-Q234),F234*(Q234-R234))</f>
        <v>0</v>
      </c>
      <c r="AG234" s="116" t="n">
        <f aca="false">AC234+AE234</f>
        <v>0</v>
      </c>
    </row>
    <row r="235" customFormat="false" ht="12" hidden="false" customHeight="true" outlineLevel="0" collapsed="false">
      <c r="A235" s="120" t="n">
        <f aca="false">EDATE(A234,1)</f>
        <v>44136</v>
      </c>
      <c r="B235" s="121" t="e">
        <f aca="false">VLOOKUP(A235,'Inputs-Summary'!$A$32:$E$41,3,FALSE())</f>
        <v>#N/A</v>
      </c>
      <c r="C235" s="122"/>
      <c r="D235" s="123" t="e">
        <f aca="false">B235+C235</f>
        <v>#N/A</v>
      </c>
      <c r="E235" s="111" t="n">
        <f aca="false">IF(Z235=0,0,IF(AND(Z235=1,$H$3=1),D235*U235,IF($H$3=2,D235,"N/A")))</f>
        <v>0</v>
      </c>
      <c r="F235" s="111" t="n">
        <f aca="false">E235*Y235</f>
        <v>0</v>
      </c>
      <c r="G235" s="124" t="n">
        <f aca="false">VLOOKUP($A235,Table,MATCH(G$4,Curves,0))</f>
        <v>3</v>
      </c>
      <c r="H235" s="125" t="n">
        <f aca="false">G235+$H$7</f>
        <v>3</v>
      </c>
      <c r="I235" s="124" t="n">
        <f aca="false">H235</f>
        <v>3</v>
      </c>
      <c r="J235" s="124" t="n">
        <f aca="false">VLOOKUP($A235,Table,MATCH(J$4,Curves,0))</f>
        <v>4</v>
      </c>
      <c r="K235" s="125" t="n">
        <f aca="false">J235+$K$7</f>
        <v>4</v>
      </c>
      <c r="L235" s="126" t="n">
        <f aca="false">K235</f>
        <v>4</v>
      </c>
      <c r="M235" s="124" t="n">
        <f aca="false">VLOOKUP($A235,Table,MATCH(M$4,Curves,0))</f>
        <v>4</v>
      </c>
      <c r="N235" s="125" t="n">
        <f aca="false">M235+$N$7</f>
        <v>4</v>
      </c>
      <c r="O235" s="126" t="n">
        <v>0.12</v>
      </c>
      <c r="P235" s="114"/>
      <c r="Q235" s="126" t="n">
        <f aca="false">M235+J235+G235</f>
        <v>11</v>
      </c>
      <c r="R235" s="126" t="n">
        <f aca="false">N235+K235+H235</f>
        <v>11</v>
      </c>
      <c r="S235" s="126" t="n">
        <f aca="false">O235+L235+I235</f>
        <v>7.12</v>
      </c>
      <c r="T235" s="127"/>
      <c r="U235" s="5" t="n">
        <f aca="false">A236-A235</f>
        <v>30</v>
      </c>
      <c r="V235" s="128" t="n">
        <f aca="false">CHOOSE(F$3,A236+24,A235)</f>
        <v>44136</v>
      </c>
      <c r="W235" s="5" t="n">
        <f aca="false">V235-C$3</f>
        <v>6905</v>
      </c>
      <c r="X235" s="124" t="n">
        <f aca="false">VLOOKUP($A235,Table,MATCH(X$4,Curves,0))</f>
        <v>2</v>
      </c>
      <c r="Y235" s="129" t="n">
        <f aca="false">1/(1+CHOOSE(F$3,(X236+($K$3/10000))/2,(X235+($K$3/10000))/2))^(2*W235/365.25)</f>
        <v>4.15088156359509E-012</v>
      </c>
      <c r="Z235" s="5" t="n">
        <f aca="false">IF(AND(mthbeg&lt;=A235,mthend&gt;=A235),1,0)</f>
        <v>0</v>
      </c>
      <c r="AA235" s="5" t="n">
        <f aca="false">U235*Z235</f>
        <v>0</v>
      </c>
      <c r="AC235" s="115" t="n">
        <f aca="false">IF(G228=2,F235*(S235-Q235),F235*(Q235-S235))</f>
        <v>0</v>
      </c>
      <c r="AE235" s="116" t="n">
        <f aca="false">IF($G$3=1,F235*(R235-Q235),F235*(Q235-R235))</f>
        <v>0</v>
      </c>
      <c r="AG235" s="116" t="n">
        <f aca="false">AC235+AE235</f>
        <v>0</v>
      </c>
    </row>
    <row r="236" customFormat="false" ht="12" hidden="false" customHeight="true" outlineLevel="0" collapsed="false">
      <c r="A236" s="120" t="n">
        <f aca="false">EDATE(A235,1)</f>
        <v>44166</v>
      </c>
      <c r="B236" s="121" t="e">
        <f aca="false">VLOOKUP(A236,'Inputs-Summary'!$A$32:$E$41,3,FALSE())</f>
        <v>#N/A</v>
      </c>
      <c r="C236" s="122"/>
      <c r="D236" s="123" t="e">
        <f aca="false">B236+C236</f>
        <v>#N/A</v>
      </c>
      <c r="E236" s="111" t="n">
        <f aca="false">IF(Z236=0,0,IF(AND(Z236=1,$H$3=1),D236*U236,IF($H$3=2,D236,"N/A")))</f>
        <v>0</v>
      </c>
      <c r="F236" s="111" t="n">
        <f aca="false">E236*Y236</f>
        <v>0</v>
      </c>
      <c r="G236" s="124" t="n">
        <f aca="false">VLOOKUP($A236,Table,MATCH(G$4,Curves,0))</f>
        <v>3</v>
      </c>
      <c r="H236" s="125" t="n">
        <f aca="false">G236+$H$7</f>
        <v>3</v>
      </c>
      <c r="I236" s="124" t="n">
        <f aca="false">H236</f>
        <v>3</v>
      </c>
      <c r="J236" s="124" t="n">
        <f aca="false">VLOOKUP($A236,Table,MATCH(J$4,Curves,0))</f>
        <v>4</v>
      </c>
      <c r="K236" s="125" t="n">
        <f aca="false">J236+$K$7</f>
        <v>4</v>
      </c>
      <c r="L236" s="126" t="n">
        <f aca="false">K236</f>
        <v>4</v>
      </c>
      <c r="M236" s="124" t="n">
        <f aca="false">VLOOKUP($A236,Table,MATCH(M$4,Curves,0))</f>
        <v>4</v>
      </c>
      <c r="N236" s="125" t="n">
        <f aca="false">M236+$N$7</f>
        <v>4</v>
      </c>
      <c r="O236" s="126" t="n">
        <v>0.12</v>
      </c>
      <c r="P236" s="114"/>
      <c r="Q236" s="126" t="n">
        <f aca="false">M236+J236+G236</f>
        <v>11</v>
      </c>
      <c r="R236" s="126" t="n">
        <f aca="false">N236+K236+H236</f>
        <v>11</v>
      </c>
      <c r="S236" s="126" t="n">
        <f aca="false">O236+L236+I236</f>
        <v>7.12</v>
      </c>
      <c r="T236" s="127"/>
      <c r="U236" s="5" t="n">
        <f aca="false">A237-A236</f>
        <v>31</v>
      </c>
      <c r="V236" s="128" t="n">
        <f aca="false">CHOOSE(F$3,A237+24,A236)</f>
        <v>44166</v>
      </c>
      <c r="W236" s="5" t="n">
        <f aca="false">V236-C$3</f>
        <v>6935</v>
      </c>
      <c r="X236" s="124" t="n">
        <f aca="false">VLOOKUP($A236,Table,MATCH(X$4,Curves,0))</f>
        <v>2</v>
      </c>
      <c r="Y236" s="129" t="n">
        <f aca="false">1/(1+CHOOSE(F$3,(X237+($K$3/10000))/2,(X236+($K$3/10000))/2))^(2*W236/365.25)</f>
        <v>3.70416078164214E-012</v>
      </c>
      <c r="Z236" s="5" t="n">
        <f aca="false">IF(AND(mthbeg&lt;=A236,mthend&gt;=A236),1,0)</f>
        <v>0</v>
      </c>
      <c r="AA236" s="5" t="n">
        <f aca="false">U236*Z236</f>
        <v>0</v>
      </c>
      <c r="AC236" s="115" t="n">
        <f aca="false">IF(G229=2,F236*(S236-Q236),F236*(Q236-S236))</f>
        <v>0</v>
      </c>
      <c r="AE236" s="116" t="n">
        <f aca="false">IF($G$3=1,F236*(R236-Q236),F236*(Q236-R236))</f>
        <v>0</v>
      </c>
      <c r="AG236" s="116" t="n">
        <f aca="false">AC236+AE236</f>
        <v>0</v>
      </c>
    </row>
    <row r="237" customFormat="false" ht="12" hidden="false" customHeight="true" outlineLevel="0" collapsed="false">
      <c r="A237" s="120" t="n">
        <f aca="false">EDATE(A236,1)</f>
        <v>44197</v>
      </c>
      <c r="B237" s="121" t="e">
        <f aca="false">VLOOKUP(A237,'Inputs-Summary'!$A$32:$E$41,3,FALSE())</f>
        <v>#N/A</v>
      </c>
      <c r="C237" s="122"/>
      <c r="D237" s="123" t="e">
        <f aca="false">B237+C237</f>
        <v>#N/A</v>
      </c>
      <c r="E237" s="111" t="n">
        <f aca="false">IF(Z237=0,0,IF(AND(Z237=1,$H$3=1),D237*U237,IF($H$3=2,D237,"N/A")))</f>
        <v>0</v>
      </c>
      <c r="F237" s="111" t="n">
        <f aca="false">E237*Y237</f>
        <v>0</v>
      </c>
      <c r="G237" s="124" t="n">
        <f aca="false">VLOOKUP($A237,Table,MATCH(G$4,Curves,0))</f>
        <v>3</v>
      </c>
      <c r="H237" s="125" t="n">
        <f aca="false">G237+$H$7</f>
        <v>3</v>
      </c>
      <c r="I237" s="124" t="n">
        <f aca="false">H237</f>
        <v>3</v>
      </c>
      <c r="J237" s="124" t="n">
        <f aca="false">VLOOKUP($A237,Table,MATCH(J$4,Curves,0))</f>
        <v>4</v>
      </c>
      <c r="K237" s="125" t="n">
        <f aca="false">J237+$K$7</f>
        <v>4</v>
      </c>
      <c r="L237" s="126" t="n">
        <f aca="false">K237</f>
        <v>4</v>
      </c>
      <c r="M237" s="124" t="n">
        <f aca="false">VLOOKUP($A237,Table,MATCH(M$4,Curves,0))</f>
        <v>4</v>
      </c>
      <c r="N237" s="125" t="n">
        <f aca="false">M237+$N$7</f>
        <v>4</v>
      </c>
      <c r="O237" s="126" t="n">
        <v>0.12</v>
      </c>
      <c r="P237" s="114"/>
      <c r="Q237" s="126" t="n">
        <f aca="false">M237+J237+G237</f>
        <v>11</v>
      </c>
      <c r="R237" s="126" t="n">
        <f aca="false">N237+K237+H237</f>
        <v>11</v>
      </c>
      <c r="S237" s="126" t="n">
        <f aca="false">O237+L237+I237</f>
        <v>7.12</v>
      </c>
      <c r="T237" s="127"/>
      <c r="U237" s="5" t="n">
        <f aca="false">A238-A237</f>
        <v>31</v>
      </c>
      <c r="V237" s="128" t="n">
        <f aca="false">CHOOSE(F$3,A238+24,A237)</f>
        <v>44197</v>
      </c>
      <c r="W237" s="5" t="n">
        <f aca="false">V237-C$3</f>
        <v>6966</v>
      </c>
      <c r="X237" s="124" t="n">
        <f aca="false">VLOOKUP($A237,Table,MATCH(X$4,Curves,0))</f>
        <v>2</v>
      </c>
      <c r="Y237" s="129" t="n">
        <f aca="false">1/(1+CHOOSE(F$3,(X238+($K$3/10000))/2,(X237+($K$3/10000))/2))^(2*W237/365.25)</f>
        <v>3.29299420326127E-012</v>
      </c>
      <c r="Z237" s="5" t="n">
        <f aca="false">IF(AND(mthbeg&lt;=A237,mthend&gt;=A237),1,0)</f>
        <v>0</v>
      </c>
      <c r="AA237" s="5" t="n">
        <f aca="false">U237*Z237</f>
        <v>0</v>
      </c>
      <c r="AC237" s="115" t="n">
        <f aca="false">IF(G230=2,F237*(S237-Q237),F237*(Q237-S237))</f>
        <v>0</v>
      </c>
      <c r="AE237" s="116" t="n">
        <f aca="false">IF($G$3=1,F237*(R237-Q237),F237*(Q237-R237))</f>
        <v>0</v>
      </c>
      <c r="AG237" s="116" t="n">
        <f aca="false">AC237+AE237</f>
        <v>0</v>
      </c>
    </row>
    <row r="238" customFormat="false" ht="12" hidden="false" customHeight="true" outlineLevel="0" collapsed="false">
      <c r="A238" s="120" t="n">
        <f aca="false">EDATE(A237,1)</f>
        <v>44228</v>
      </c>
      <c r="B238" s="121" t="e">
        <f aca="false">VLOOKUP(A238,'Inputs-Summary'!$A$32:$E$41,3,FALSE())</f>
        <v>#N/A</v>
      </c>
      <c r="C238" s="122"/>
      <c r="D238" s="123" t="e">
        <f aca="false">B238+C238</f>
        <v>#N/A</v>
      </c>
      <c r="E238" s="111" t="n">
        <f aca="false">IF(Z238=0,0,IF(AND(Z238=1,$H$3=1),D238*U238,IF($H$3=2,D238,"N/A")))</f>
        <v>0</v>
      </c>
      <c r="F238" s="111" t="n">
        <f aca="false">E238*Y238</f>
        <v>0</v>
      </c>
      <c r="G238" s="124" t="n">
        <f aca="false">VLOOKUP($A238,Table,MATCH(G$4,Curves,0))</f>
        <v>3</v>
      </c>
      <c r="H238" s="125" t="n">
        <f aca="false">G238+$H$7</f>
        <v>3</v>
      </c>
      <c r="I238" s="124" t="n">
        <f aca="false">H238</f>
        <v>3</v>
      </c>
      <c r="J238" s="124" t="n">
        <f aca="false">VLOOKUP($A238,Table,MATCH(J$4,Curves,0))</f>
        <v>4</v>
      </c>
      <c r="K238" s="125" t="n">
        <f aca="false">J238+$K$7</f>
        <v>4</v>
      </c>
      <c r="L238" s="126" t="n">
        <f aca="false">K238</f>
        <v>4</v>
      </c>
      <c r="M238" s="124" t="n">
        <f aca="false">VLOOKUP($A238,Table,MATCH(M$4,Curves,0))</f>
        <v>4</v>
      </c>
      <c r="N238" s="125" t="n">
        <f aca="false">M238+$N$7</f>
        <v>4</v>
      </c>
      <c r="O238" s="126" t="n">
        <v>0.12</v>
      </c>
      <c r="P238" s="114"/>
      <c r="Q238" s="126" t="n">
        <f aca="false">M238+J238+G238</f>
        <v>11</v>
      </c>
      <c r="R238" s="126" t="n">
        <f aca="false">N238+K238+H238</f>
        <v>11</v>
      </c>
      <c r="S238" s="126" t="n">
        <f aca="false">O238+L238+I238</f>
        <v>7.12</v>
      </c>
      <c r="T238" s="127"/>
      <c r="U238" s="5" t="n">
        <f aca="false">A239-A238</f>
        <v>28</v>
      </c>
      <c r="V238" s="128" t="n">
        <f aca="false">CHOOSE(F$3,A239+24,A238)</f>
        <v>44228</v>
      </c>
      <c r="W238" s="5" t="n">
        <f aca="false">V238-C$3</f>
        <v>6997</v>
      </c>
      <c r="X238" s="124" t="n">
        <f aca="false">VLOOKUP($A238,Table,MATCH(X$4,Curves,0))</f>
        <v>2</v>
      </c>
      <c r="Y238" s="129" t="n">
        <f aca="false">1/(1+CHOOSE(F$3,(X239+($K$3/10000))/2,(X238+($K$3/10000))/2))^(2*W238/365.25)</f>
        <v>2.92746764029638E-012</v>
      </c>
      <c r="Z238" s="5" t="n">
        <f aca="false">IF(AND(mthbeg&lt;=A238,mthend&gt;=A238),1,0)</f>
        <v>0</v>
      </c>
      <c r="AA238" s="5" t="n">
        <f aca="false">U238*Z238</f>
        <v>0</v>
      </c>
      <c r="AC238" s="115" t="n">
        <f aca="false">IF(G231=2,F238*(S238-Q238),F238*(Q238-S238))</f>
        <v>0</v>
      </c>
      <c r="AE238" s="116" t="n">
        <f aca="false">IF($G$3=1,F238*(R238-Q238),F238*(Q238-R238))</f>
        <v>0</v>
      </c>
      <c r="AG238" s="116" t="n">
        <f aca="false">AC238+AE238</f>
        <v>0</v>
      </c>
    </row>
    <row r="239" customFormat="false" ht="12" hidden="false" customHeight="true" outlineLevel="0" collapsed="false">
      <c r="A239" s="120" t="n">
        <f aca="false">EDATE(A238,1)</f>
        <v>44256</v>
      </c>
      <c r="B239" s="121" t="e">
        <f aca="false">VLOOKUP(A239,'Inputs-Summary'!$A$32:$E$41,3,FALSE())</f>
        <v>#N/A</v>
      </c>
      <c r="C239" s="122"/>
      <c r="D239" s="123" t="e">
        <f aca="false">B239+C239</f>
        <v>#N/A</v>
      </c>
      <c r="E239" s="111" t="n">
        <f aca="false">IF(Z239=0,0,IF(AND(Z239=1,$H$3=1),D239*U239,IF($H$3=2,D239,"N/A")))</f>
        <v>0</v>
      </c>
      <c r="F239" s="111" t="n">
        <f aca="false">E239*Y239</f>
        <v>0</v>
      </c>
      <c r="G239" s="124" t="n">
        <f aca="false">VLOOKUP($A239,Table,MATCH(G$4,Curves,0))</f>
        <v>3</v>
      </c>
      <c r="H239" s="125" t="n">
        <f aca="false">G239+$H$7</f>
        <v>3</v>
      </c>
      <c r="I239" s="124" t="n">
        <f aca="false">H239</f>
        <v>3</v>
      </c>
      <c r="J239" s="124" t="n">
        <f aca="false">VLOOKUP($A239,Table,MATCH(J$4,Curves,0))</f>
        <v>4</v>
      </c>
      <c r="K239" s="125" t="n">
        <f aca="false">J239+$K$7</f>
        <v>4</v>
      </c>
      <c r="L239" s="126" t="n">
        <f aca="false">K239</f>
        <v>4</v>
      </c>
      <c r="M239" s="124" t="n">
        <f aca="false">VLOOKUP($A239,Table,MATCH(M$4,Curves,0))</f>
        <v>4</v>
      </c>
      <c r="N239" s="125" t="n">
        <f aca="false">M239+$N$7</f>
        <v>4</v>
      </c>
      <c r="O239" s="126" t="n">
        <v>0.12</v>
      </c>
      <c r="P239" s="114"/>
      <c r="Q239" s="126" t="n">
        <f aca="false">M239+J239+G239</f>
        <v>11</v>
      </c>
      <c r="R239" s="126" t="n">
        <f aca="false">N239+K239+H239</f>
        <v>11</v>
      </c>
      <c r="S239" s="126" t="n">
        <f aca="false">O239+L239+I239</f>
        <v>7.12</v>
      </c>
      <c r="T239" s="127"/>
      <c r="U239" s="5" t="n">
        <f aca="false">A240-A239</f>
        <v>31</v>
      </c>
      <c r="V239" s="128" t="n">
        <f aca="false">CHOOSE(F$3,A240+24,A239)</f>
        <v>44256</v>
      </c>
      <c r="W239" s="5" t="n">
        <f aca="false">V239-C$3</f>
        <v>7025</v>
      </c>
      <c r="X239" s="124" t="n">
        <f aca="false">VLOOKUP($A239,Table,MATCH(X$4,Curves,0))</f>
        <v>2</v>
      </c>
      <c r="Y239" s="129" t="n">
        <f aca="false">1/(1+CHOOSE(F$3,(X240+($K$3/10000))/2,(X239+($K$3/10000))/2))^(2*W239/365.25)</f>
        <v>2.63231762325765E-012</v>
      </c>
      <c r="Z239" s="5" t="n">
        <f aca="false">IF(AND(mthbeg&lt;=A239,mthend&gt;=A239),1,0)</f>
        <v>0</v>
      </c>
      <c r="AA239" s="5" t="n">
        <f aca="false">U239*Z239</f>
        <v>0</v>
      </c>
      <c r="AC239" s="115" t="n">
        <f aca="false">IF(G232=2,F239*(S239-Q239),F239*(Q239-S239))</f>
        <v>0</v>
      </c>
      <c r="AE239" s="116" t="n">
        <f aca="false">IF($G$3=1,F239*(R239-Q239),F239*(Q239-R239))</f>
        <v>0</v>
      </c>
      <c r="AG239" s="116" t="n">
        <f aca="false">AC239+AE239</f>
        <v>0</v>
      </c>
    </row>
    <row r="240" customFormat="false" ht="12" hidden="false" customHeight="true" outlineLevel="0" collapsed="false">
      <c r="A240" s="120" t="n">
        <f aca="false">EDATE(A239,1)</f>
        <v>44287</v>
      </c>
      <c r="B240" s="121" t="e">
        <f aca="false">VLOOKUP(A240,'Inputs-Summary'!$A$32:$E$41,3,FALSE())</f>
        <v>#N/A</v>
      </c>
      <c r="C240" s="122"/>
      <c r="D240" s="123" t="e">
        <f aca="false">B240+C240</f>
        <v>#N/A</v>
      </c>
      <c r="E240" s="111" t="n">
        <f aca="false">IF(Z240=0,0,IF(AND(Z240=1,$H$3=1),D240*U240,IF($H$3=2,D240,"N/A")))</f>
        <v>0</v>
      </c>
      <c r="F240" s="111" t="n">
        <f aca="false">E240*Y240</f>
        <v>0</v>
      </c>
      <c r="G240" s="124" t="n">
        <f aca="false">VLOOKUP($A240,Table,MATCH(G$4,Curves,0))</f>
        <v>3</v>
      </c>
      <c r="H240" s="125" t="n">
        <f aca="false">G240+$H$7</f>
        <v>3</v>
      </c>
      <c r="I240" s="124" t="n">
        <f aca="false">H240</f>
        <v>3</v>
      </c>
      <c r="J240" s="124" t="n">
        <f aca="false">VLOOKUP($A240,Table,MATCH(J$4,Curves,0))</f>
        <v>4</v>
      </c>
      <c r="K240" s="125" t="n">
        <f aca="false">J240+$K$7</f>
        <v>4</v>
      </c>
      <c r="L240" s="126" t="n">
        <f aca="false">K240</f>
        <v>4</v>
      </c>
      <c r="M240" s="124" t="n">
        <f aca="false">VLOOKUP($A240,Table,MATCH(M$4,Curves,0))</f>
        <v>4</v>
      </c>
      <c r="N240" s="125" t="n">
        <f aca="false">M240+$N$7</f>
        <v>4</v>
      </c>
      <c r="O240" s="126" t="n">
        <v>0.12</v>
      </c>
      <c r="P240" s="114"/>
      <c r="Q240" s="126" t="n">
        <f aca="false">M240+J240+G240</f>
        <v>11</v>
      </c>
      <c r="R240" s="126" t="n">
        <f aca="false">N240+K240+H240</f>
        <v>11</v>
      </c>
      <c r="S240" s="126" t="n">
        <f aca="false">O240+L240+I240</f>
        <v>7.12</v>
      </c>
      <c r="T240" s="127"/>
      <c r="U240" s="5" t="n">
        <f aca="false">A241-A240</f>
        <v>30</v>
      </c>
      <c r="V240" s="128" t="n">
        <f aca="false">CHOOSE(F$3,A241+24,A240)</f>
        <v>44287</v>
      </c>
      <c r="W240" s="5" t="n">
        <f aca="false">V240-C$3</f>
        <v>7056</v>
      </c>
      <c r="X240" s="124" t="n">
        <f aca="false">VLOOKUP($A240,Table,MATCH(X$4,Curves,0))</f>
        <v>2</v>
      </c>
      <c r="Y240" s="129" t="n">
        <f aca="false">1/(1+CHOOSE(F$3,(X241+($K$3/10000))/2,(X240+($K$3/10000))/2))^(2*W240/365.25)</f>
        <v>2.3401270046078E-012</v>
      </c>
      <c r="Z240" s="5" t="n">
        <f aca="false">IF(AND(mthbeg&lt;=A240,mthend&gt;=A240),1,0)</f>
        <v>0</v>
      </c>
      <c r="AA240" s="5" t="n">
        <f aca="false">U240*Z240</f>
        <v>0</v>
      </c>
      <c r="AC240" s="115" t="n">
        <f aca="false">IF(G233=2,F240*(S240-Q240),F240*(Q240-S240))</f>
        <v>0</v>
      </c>
      <c r="AE240" s="116" t="n">
        <f aca="false">IF($G$3=1,F240*(R240-Q240),F240*(Q240-R240))</f>
        <v>0</v>
      </c>
      <c r="AG240" s="116" t="n">
        <f aca="false">AC240+AE240</f>
        <v>0</v>
      </c>
    </row>
    <row r="241" customFormat="false" ht="12" hidden="false" customHeight="true" outlineLevel="0" collapsed="false">
      <c r="A241" s="120" t="n">
        <f aca="false">EDATE(A240,1)</f>
        <v>44317</v>
      </c>
      <c r="B241" s="121" t="e">
        <f aca="false">VLOOKUP(A241,'Inputs-Summary'!$A$32:$E$41,3,FALSE())</f>
        <v>#N/A</v>
      </c>
      <c r="C241" s="122"/>
      <c r="D241" s="123" t="e">
        <f aca="false">B241+C241</f>
        <v>#N/A</v>
      </c>
      <c r="E241" s="111" t="n">
        <f aca="false">IF(Z241=0,0,IF(AND(Z241=1,$H$3=1),D241*U241,IF($H$3=2,D241,"N/A")))</f>
        <v>0</v>
      </c>
      <c r="F241" s="111" t="n">
        <f aca="false">E241*Y241</f>
        <v>0</v>
      </c>
      <c r="G241" s="124" t="n">
        <f aca="false">VLOOKUP($A241,Table,MATCH(G$4,Curves,0))</f>
        <v>3</v>
      </c>
      <c r="H241" s="125" t="n">
        <f aca="false">G241+$H$7</f>
        <v>3</v>
      </c>
      <c r="I241" s="124" t="n">
        <f aca="false">H241</f>
        <v>3</v>
      </c>
      <c r="J241" s="124" t="n">
        <f aca="false">VLOOKUP($A241,Table,MATCH(J$4,Curves,0))</f>
        <v>4</v>
      </c>
      <c r="K241" s="125" t="n">
        <f aca="false">J241+$K$7</f>
        <v>4</v>
      </c>
      <c r="L241" s="126" t="n">
        <f aca="false">K241</f>
        <v>4</v>
      </c>
      <c r="M241" s="124" t="n">
        <f aca="false">VLOOKUP($A241,Table,MATCH(M$4,Curves,0))</f>
        <v>4</v>
      </c>
      <c r="N241" s="125" t="n">
        <f aca="false">M241+$N$7</f>
        <v>4</v>
      </c>
      <c r="O241" s="126" t="n">
        <v>0.12</v>
      </c>
      <c r="P241" s="114"/>
      <c r="Q241" s="126" t="n">
        <f aca="false">M241+J241+G241</f>
        <v>11</v>
      </c>
      <c r="R241" s="126" t="n">
        <f aca="false">N241+K241+H241</f>
        <v>11</v>
      </c>
      <c r="S241" s="126" t="n">
        <f aca="false">O241+L241+I241</f>
        <v>7.12</v>
      </c>
      <c r="T241" s="127"/>
      <c r="U241" s="5" t="n">
        <f aca="false">A242-A241</f>
        <v>31</v>
      </c>
      <c r="V241" s="128" t="n">
        <f aca="false">CHOOSE(F$3,A242+24,A241)</f>
        <v>44317</v>
      </c>
      <c r="W241" s="5" t="n">
        <f aca="false">V241-C$3</f>
        <v>7086</v>
      </c>
      <c r="X241" s="124" t="n">
        <f aca="false">VLOOKUP($A241,Table,MATCH(X$4,Curves,0))</f>
        <v>2</v>
      </c>
      <c r="Y241" s="129" t="n">
        <f aca="false">1/(1+CHOOSE(F$3,(X242+($K$3/10000))/2,(X241+($K$3/10000))/2))^(2*W241/365.25)</f>
        <v>2.08828089689516E-012</v>
      </c>
      <c r="Z241" s="5" t="n">
        <f aca="false">IF(AND(mthbeg&lt;=A241,mthend&gt;=A241),1,0)</f>
        <v>0</v>
      </c>
      <c r="AA241" s="5" t="n">
        <f aca="false">U241*Z241</f>
        <v>0</v>
      </c>
      <c r="AC241" s="115" t="n">
        <f aca="false">IF(G234=2,F241*(S241-Q241),F241*(Q241-S241))</f>
        <v>0</v>
      </c>
      <c r="AE241" s="116" t="n">
        <f aca="false">IF($G$3=1,F241*(R241-Q241),F241*(Q241-R241))</f>
        <v>0</v>
      </c>
      <c r="AG241" s="116" t="n">
        <f aca="false">AC241+AE241</f>
        <v>0</v>
      </c>
    </row>
    <row r="242" customFormat="false" ht="12" hidden="false" customHeight="true" outlineLevel="0" collapsed="false">
      <c r="A242" s="120" t="n">
        <f aca="false">EDATE(A241,1)</f>
        <v>44348</v>
      </c>
      <c r="B242" s="121" t="e">
        <f aca="false">VLOOKUP(A242,'Inputs-Summary'!$A$32:$E$41,3,FALSE())</f>
        <v>#N/A</v>
      </c>
      <c r="C242" s="122"/>
      <c r="D242" s="123" t="e">
        <f aca="false">B242+C242</f>
        <v>#N/A</v>
      </c>
      <c r="E242" s="111" t="n">
        <f aca="false">IF(Z242=0,0,IF(AND(Z242=1,$H$3=1),D242*U242,IF($H$3=2,D242,"N/A")))</f>
        <v>0</v>
      </c>
      <c r="F242" s="111" t="n">
        <f aca="false">E242*Y242</f>
        <v>0</v>
      </c>
      <c r="G242" s="124" t="n">
        <f aca="false">VLOOKUP($A242,Table,MATCH(G$4,Curves,0))</f>
        <v>3</v>
      </c>
      <c r="H242" s="125" t="n">
        <f aca="false">G242+$H$7</f>
        <v>3</v>
      </c>
      <c r="I242" s="124" t="n">
        <f aca="false">H242</f>
        <v>3</v>
      </c>
      <c r="J242" s="124" t="n">
        <f aca="false">VLOOKUP($A242,Table,MATCH(J$4,Curves,0))</f>
        <v>4</v>
      </c>
      <c r="K242" s="125" t="n">
        <f aca="false">J242+$K$7</f>
        <v>4</v>
      </c>
      <c r="L242" s="126" t="n">
        <f aca="false">K242</f>
        <v>4</v>
      </c>
      <c r="M242" s="124" t="n">
        <f aca="false">VLOOKUP($A242,Table,MATCH(M$4,Curves,0))</f>
        <v>4</v>
      </c>
      <c r="N242" s="125" t="n">
        <f aca="false">M242+$N$7</f>
        <v>4</v>
      </c>
      <c r="O242" s="126" t="n">
        <v>0.12</v>
      </c>
      <c r="P242" s="114"/>
      <c r="Q242" s="126" t="n">
        <f aca="false">M242+J242+G242</f>
        <v>11</v>
      </c>
      <c r="R242" s="126" t="n">
        <f aca="false">N242+K242+H242</f>
        <v>11</v>
      </c>
      <c r="S242" s="126" t="n">
        <f aca="false">O242+L242+I242</f>
        <v>7.12</v>
      </c>
      <c r="T242" s="127"/>
      <c r="U242" s="5" t="n">
        <f aca="false">A243-A242</f>
        <v>30</v>
      </c>
      <c r="V242" s="128" t="n">
        <f aca="false">CHOOSE(F$3,A243+24,A242)</f>
        <v>44348</v>
      </c>
      <c r="W242" s="5" t="n">
        <f aca="false">V242-C$3</f>
        <v>7117</v>
      </c>
      <c r="X242" s="124" t="n">
        <f aca="false">VLOOKUP($A242,Table,MATCH(X$4,Curves,0))</f>
        <v>2</v>
      </c>
      <c r="Y242" s="129" t="n">
        <f aca="false">1/(1+CHOOSE(F$3,(X243+($K$3/10000))/2,(X242+($K$3/10000))/2))^(2*W242/365.25)</f>
        <v>1.85647904981284E-012</v>
      </c>
      <c r="Z242" s="5" t="n">
        <f aca="false">IF(AND(mthbeg&lt;=A242,mthend&gt;=A242),1,0)</f>
        <v>0</v>
      </c>
      <c r="AA242" s="5" t="n">
        <f aca="false">U242*Z242</f>
        <v>0</v>
      </c>
      <c r="AC242" s="115" t="n">
        <f aca="false">IF(G235=2,F242*(S242-Q242),F242*(Q242-S242))</f>
        <v>0</v>
      </c>
      <c r="AE242" s="116" t="n">
        <f aca="false">IF($G$3=1,F242*(R242-Q242),F242*(Q242-R242))</f>
        <v>0</v>
      </c>
      <c r="AG242" s="116" t="n">
        <f aca="false">AC242+AE242</f>
        <v>0</v>
      </c>
    </row>
    <row r="243" customFormat="false" ht="12" hidden="false" customHeight="true" outlineLevel="0" collapsed="false">
      <c r="A243" s="120" t="n">
        <f aca="false">EDATE(A242,1)</f>
        <v>44378</v>
      </c>
      <c r="B243" s="121" t="e">
        <f aca="false">VLOOKUP(A243,'Inputs-Summary'!$A$32:$E$41,3,FALSE())</f>
        <v>#N/A</v>
      </c>
      <c r="C243" s="122"/>
      <c r="D243" s="123" t="e">
        <f aca="false">B243+C243</f>
        <v>#N/A</v>
      </c>
      <c r="E243" s="111" t="n">
        <f aca="false">IF(Z243=0,0,IF(AND(Z243=1,$H$3=1),D243*U243,IF($H$3=2,D243,"N/A")))</f>
        <v>0</v>
      </c>
      <c r="F243" s="111" t="n">
        <f aca="false">E243*Y243</f>
        <v>0</v>
      </c>
      <c r="G243" s="124" t="n">
        <f aca="false">VLOOKUP($A243,Table,MATCH(G$4,Curves,0))</f>
        <v>3</v>
      </c>
      <c r="H243" s="125" t="n">
        <f aca="false">G243+$H$7</f>
        <v>3</v>
      </c>
      <c r="I243" s="124" t="n">
        <f aca="false">H243</f>
        <v>3</v>
      </c>
      <c r="J243" s="124" t="n">
        <f aca="false">VLOOKUP($A243,Table,MATCH(J$4,Curves,0))</f>
        <v>4</v>
      </c>
      <c r="K243" s="125" t="n">
        <f aca="false">J243+$K$7</f>
        <v>4</v>
      </c>
      <c r="L243" s="126" t="n">
        <f aca="false">K243</f>
        <v>4</v>
      </c>
      <c r="M243" s="124" t="n">
        <f aca="false">VLOOKUP($A243,Table,MATCH(M$4,Curves,0))</f>
        <v>4</v>
      </c>
      <c r="N243" s="125" t="n">
        <f aca="false">M243+$N$7</f>
        <v>4</v>
      </c>
      <c r="O243" s="126" t="n">
        <v>0.12</v>
      </c>
      <c r="P243" s="114"/>
      <c r="Q243" s="126" t="n">
        <f aca="false">M243+J243+G243</f>
        <v>11</v>
      </c>
      <c r="R243" s="126" t="n">
        <f aca="false">N243+K243+H243</f>
        <v>11</v>
      </c>
      <c r="S243" s="126" t="n">
        <f aca="false">O243+L243+I243</f>
        <v>7.12</v>
      </c>
      <c r="T243" s="127"/>
      <c r="U243" s="5" t="n">
        <f aca="false">A244-A243</f>
        <v>31</v>
      </c>
      <c r="V243" s="128" t="n">
        <f aca="false">CHOOSE(F$3,A244+24,A243)</f>
        <v>44378</v>
      </c>
      <c r="W243" s="5" t="n">
        <f aca="false">V243-C$3</f>
        <v>7147</v>
      </c>
      <c r="X243" s="124" t="n">
        <f aca="false">VLOOKUP($A243,Table,MATCH(X$4,Curves,0))</f>
        <v>2</v>
      </c>
      <c r="Y243" s="129" t="n">
        <f aca="false">1/(1+CHOOSE(F$3,(X244+($K$3/10000))/2,(X243+($K$3/10000))/2))^(2*W243/365.25)</f>
        <v>1.65668347383563E-012</v>
      </c>
      <c r="Z243" s="5" t="n">
        <f aca="false">IF(AND(mthbeg&lt;=A243,mthend&gt;=A243),1,0)</f>
        <v>0</v>
      </c>
      <c r="AA243" s="5" t="n">
        <f aca="false">U243*Z243</f>
        <v>0</v>
      </c>
      <c r="AC243" s="115" t="n">
        <f aca="false">IF(G236=2,F243*(S243-Q243),F243*(Q243-S243))</f>
        <v>0</v>
      </c>
      <c r="AE243" s="116" t="n">
        <f aca="false">IF($G$3=1,F243*(R243-Q243),F243*(Q243-R243))</f>
        <v>0</v>
      </c>
      <c r="AG243" s="116" t="n">
        <f aca="false">AC243+AE243</f>
        <v>0</v>
      </c>
    </row>
    <row r="244" customFormat="false" ht="12" hidden="false" customHeight="true" outlineLevel="0" collapsed="false">
      <c r="A244" s="120" t="n">
        <f aca="false">EDATE(A243,1)</f>
        <v>44409</v>
      </c>
      <c r="B244" s="121" t="e">
        <f aca="false">VLOOKUP(A244,'Inputs-Summary'!$A$32:$E$41,3,FALSE())</f>
        <v>#N/A</v>
      </c>
      <c r="C244" s="122"/>
      <c r="D244" s="123" t="e">
        <f aca="false">B244+C244</f>
        <v>#N/A</v>
      </c>
      <c r="E244" s="111" t="n">
        <f aca="false">IF(Z244=0,0,IF(AND(Z244=1,$H$3=1),D244*U244,IF($H$3=2,D244,"N/A")))</f>
        <v>0</v>
      </c>
      <c r="F244" s="111" t="n">
        <f aca="false">E244*Y244</f>
        <v>0</v>
      </c>
      <c r="G244" s="124" t="n">
        <f aca="false">VLOOKUP($A244,Table,MATCH(G$4,Curves,0))</f>
        <v>3</v>
      </c>
      <c r="H244" s="125" t="n">
        <f aca="false">G244+$H$7</f>
        <v>3</v>
      </c>
      <c r="I244" s="124" t="n">
        <f aca="false">H244</f>
        <v>3</v>
      </c>
      <c r="J244" s="124" t="n">
        <f aca="false">VLOOKUP($A244,Table,MATCH(J$4,Curves,0))</f>
        <v>4</v>
      </c>
      <c r="K244" s="125" t="n">
        <f aca="false">J244+$K$7</f>
        <v>4</v>
      </c>
      <c r="L244" s="126" t="n">
        <f aca="false">K244</f>
        <v>4</v>
      </c>
      <c r="M244" s="124" t="n">
        <f aca="false">VLOOKUP($A244,Table,MATCH(M$4,Curves,0))</f>
        <v>4</v>
      </c>
      <c r="N244" s="125" t="n">
        <f aca="false">M244+$N$7</f>
        <v>4</v>
      </c>
      <c r="O244" s="126" t="n">
        <v>0.12</v>
      </c>
      <c r="P244" s="114"/>
      <c r="Q244" s="126" t="n">
        <f aca="false">M244+J244+G244</f>
        <v>11</v>
      </c>
      <c r="R244" s="126" t="n">
        <f aca="false">N244+K244+H244</f>
        <v>11</v>
      </c>
      <c r="S244" s="126" t="n">
        <f aca="false">O244+L244+I244</f>
        <v>7.12</v>
      </c>
      <c r="T244" s="127"/>
      <c r="U244" s="5" t="n">
        <f aca="false">A245-A244</f>
        <v>31</v>
      </c>
      <c r="V244" s="128" t="n">
        <f aca="false">CHOOSE(F$3,A245+24,A244)</f>
        <v>44409</v>
      </c>
      <c r="W244" s="5" t="n">
        <f aca="false">V244-C$3</f>
        <v>7178</v>
      </c>
      <c r="X244" s="124" t="n">
        <f aca="false">VLOOKUP($A244,Table,MATCH(X$4,Curves,0))</f>
        <v>2</v>
      </c>
      <c r="Y244" s="129" t="n">
        <f aca="false">1/(1+CHOOSE(F$3,(X245+($K$3/10000))/2,(X244+($K$3/10000))/2))^(2*W244/365.25)</f>
        <v>1.47278949202657E-012</v>
      </c>
      <c r="Z244" s="5" t="n">
        <f aca="false">IF(AND(mthbeg&lt;=A244,mthend&gt;=A244),1,0)</f>
        <v>0</v>
      </c>
      <c r="AA244" s="5" t="n">
        <f aca="false">U244*Z244</f>
        <v>0</v>
      </c>
      <c r="AC244" s="115" t="n">
        <f aca="false">IF(G237=2,F244*(S244-Q244),F244*(Q244-S244))</f>
        <v>0</v>
      </c>
      <c r="AE244" s="116" t="n">
        <f aca="false">IF($G$3=1,F244*(R244-Q244),F244*(Q244-R244))</f>
        <v>0</v>
      </c>
      <c r="AG244" s="116" t="n">
        <f aca="false">AC244+AE244</f>
        <v>0</v>
      </c>
    </row>
    <row r="245" customFormat="false" ht="12" hidden="false" customHeight="true" outlineLevel="0" collapsed="false">
      <c r="A245" s="120" t="n">
        <f aca="false">EDATE(A244,1)</f>
        <v>44440</v>
      </c>
      <c r="B245" s="121" t="e">
        <f aca="false">VLOOKUP(A245,'Inputs-Summary'!$A$32:$E$41,3,FALSE())</f>
        <v>#N/A</v>
      </c>
      <c r="C245" s="122"/>
      <c r="D245" s="123" t="e">
        <f aca="false">B245+C245</f>
        <v>#N/A</v>
      </c>
      <c r="E245" s="111" t="n">
        <f aca="false">IF(Z245=0,0,IF(AND(Z245=1,$H$3=1),D245*U245,IF($H$3=2,D245,"N/A")))</f>
        <v>0</v>
      </c>
      <c r="F245" s="111" t="n">
        <f aca="false">E245*Y245</f>
        <v>0</v>
      </c>
      <c r="G245" s="124" t="n">
        <f aca="false">VLOOKUP($A245,Table,MATCH(G$4,Curves,0))</f>
        <v>3</v>
      </c>
      <c r="H245" s="125" t="n">
        <f aca="false">G245+$H$7</f>
        <v>3</v>
      </c>
      <c r="I245" s="124" t="n">
        <f aca="false">H245</f>
        <v>3</v>
      </c>
      <c r="J245" s="124" t="n">
        <f aca="false">VLOOKUP($A245,Table,MATCH(J$4,Curves,0))</f>
        <v>4</v>
      </c>
      <c r="K245" s="125" t="n">
        <f aca="false">J245+$K$7</f>
        <v>4</v>
      </c>
      <c r="L245" s="126" t="n">
        <f aca="false">K245</f>
        <v>4</v>
      </c>
      <c r="M245" s="124" t="n">
        <f aca="false">VLOOKUP($A245,Table,MATCH(M$4,Curves,0))</f>
        <v>4</v>
      </c>
      <c r="N245" s="125" t="n">
        <f aca="false">M245+$N$7</f>
        <v>4</v>
      </c>
      <c r="O245" s="126" t="n">
        <v>0.12</v>
      </c>
      <c r="P245" s="114"/>
      <c r="Q245" s="126" t="n">
        <f aca="false">M245+J245+G245</f>
        <v>11</v>
      </c>
      <c r="R245" s="126" t="n">
        <f aca="false">N245+K245+H245</f>
        <v>11</v>
      </c>
      <c r="S245" s="126" t="n">
        <f aca="false">O245+L245+I245</f>
        <v>7.12</v>
      </c>
      <c r="T245" s="127"/>
      <c r="U245" s="5" t="n">
        <f aca="false">A246-A245</f>
        <v>30</v>
      </c>
      <c r="V245" s="128" t="n">
        <f aca="false">CHOOSE(F$3,A246+24,A245)</f>
        <v>44440</v>
      </c>
      <c r="W245" s="5" t="n">
        <f aca="false">V245-C$3</f>
        <v>7209</v>
      </c>
      <c r="X245" s="124" t="n">
        <f aca="false">VLOOKUP($A245,Table,MATCH(X$4,Curves,0))</f>
        <v>2</v>
      </c>
      <c r="Y245" s="129" t="n">
        <f aca="false">1/(1+CHOOSE(F$3,(X246+($K$3/10000))/2,(X245+($K$3/10000))/2))^(2*W245/365.25)</f>
        <v>1.3093079771007E-012</v>
      </c>
      <c r="Z245" s="5" t="n">
        <f aca="false">IF(AND(mthbeg&lt;=A245,mthend&gt;=A245),1,0)</f>
        <v>0</v>
      </c>
      <c r="AA245" s="5" t="n">
        <f aca="false">U245*Z245</f>
        <v>0</v>
      </c>
      <c r="AC245" s="115" t="n">
        <f aca="false">IF(G238=2,F245*(S245-Q245),F245*(Q245-S245))</f>
        <v>0</v>
      </c>
      <c r="AE245" s="116" t="n">
        <f aca="false">IF($G$3=1,F245*(R245-Q245),F245*(Q245-R245))</f>
        <v>0</v>
      </c>
      <c r="AG245" s="116" t="n">
        <f aca="false">AC245+AE245</f>
        <v>0</v>
      </c>
    </row>
    <row r="246" customFormat="false" ht="12" hidden="false" customHeight="true" outlineLevel="0" collapsed="false">
      <c r="A246" s="120" t="n">
        <f aca="false">EDATE(A245,1)</f>
        <v>44470</v>
      </c>
      <c r="B246" s="121" t="e">
        <f aca="false">VLOOKUP(A246,'Inputs-Summary'!$A$32:$E$41,3,FALSE())</f>
        <v>#N/A</v>
      </c>
      <c r="C246" s="122"/>
      <c r="D246" s="123" t="e">
        <f aca="false">B246+C246</f>
        <v>#N/A</v>
      </c>
      <c r="E246" s="111" t="n">
        <f aca="false">IF(Z246=0,0,IF(AND(Z246=1,$H$3=1),D246*U246,IF($H$3=2,D246,"N/A")))</f>
        <v>0</v>
      </c>
      <c r="F246" s="111" t="n">
        <f aca="false">E246*Y246</f>
        <v>0</v>
      </c>
      <c r="G246" s="124" t="n">
        <f aca="false">VLOOKUP($A246,Table,MATCH(G$4,Curves,0))</f>
        <v>3</v>
      </c>
      <c r="H246" s="125" t="n">
        <f aca="false">G246+$H$7</f>
        <v>3</v>
      </c>
      <c r="I246" s="124" t="n">
        <f aca="false">H246</f>
        <v>3</v>
      </c>
      <c r="J246" s="124" t="n">
        <f aca="false">VLOOKUP($A246,Table,MATCH(J$4,Curves,0))</f>
        <v>4</v>
      </c>
      <c r="K246" s="125" t="n">
        <f aca="false">J246+$K$7</f>
        <v>4</v>
      </c>
      <c r="L246" s="126" t="n">
        <f aca="false">K246</f>
        <v>4</v>
      </c>
      <c r="M246" s="124" t="n">
        <f aca="false">VLOOKUP($A246,Table,MATCH(M$4,Curves,0))</f>
        <v>4</v>
      </c>
      <c r="N246" s="125" t="n">
        <f aca="false">M246+$N$7</f>
        <v>4</v>
      </c>
      <c r="O246" s="126" t="n">
        <v>0.12</v>
      </c>
      <c r="P246" s="114"/>
      <c r="Q246" s="126" t="n">
        <f aca="false">M246+J246+G246</f>
        <v>11</v>
      </c>
      <c r="R246" s="126" t="n">
        <f aca="false">N246+K246+H246</f>
        <v>11</v>
      </c>
      <c r="S246" s="126" t="n">
        <f aca="false">O246+L246+I246</f>
        <v>7.12</v>
      </c>
      <c r="T246" s="127"/>
      <c r="U246" s="5" t="n">
        <f aca="false">A247-A246</f>
        <v>31</v>
      </c>
      <c r="V246" s="128" t="n">
        <f aca="false">CHOOSE(F$3,A247+24,A246)</f>
        <v>44470</v>
      </c>
      <c r="W246" s="5" t="n">
        <f aca="false">V246-C$3</f>
        <v>7239</v>
      </c>
      <c r="X246" s="124" t="n">
        <f aca="false">VLOOKUP($A246,Table,MATCH(X$4,Curves,0))</f>
        <v>2</v>
      </c>
      <c r="Y246" s="129" t="n">
        <f aca="false">1/(1+CHOOSE(F$3,(X247+($K$3/10000))/2,(X246+($K$3/10000))/2))^(2*W246/365.25)</f>
        <v>1.16839933531303E-012</v>
      </c>
      <c r="Z246" s="5" t="n">
        <f aca="false">IF(AND(mthbeg&lt;=A246,mthend&gt;=A246),1,0)</f>
        <v>0</v>
      </c>
      <c r="AA246" s="5" t="n">
        <f aca="false">U246*Z246</f>
        <v>0</v>
      </c>
      <c r="AC246" s="115" t="n">
        <f aca="false">IF(G239=2,F246*(S246-Q246),F246*(Q246-S246))</f>
        <v>0</v>
      </c>
      <c r="AE246" s="116" t="n">
        <f aca="false">IF($G$3=1,F246*(R246-Q246),F246*(Q246-R246))</f>
        <v>0</v>
      </c>
      <c r="AG246" s="116" t="n">
        <f aca="false">AC246+AE246</f>
        <v>0</v>
      </c>
    </row>
    <row r="247" customFormat="false" ht="12" hidden="false" customHeight="true" outlineLevel="0" collapsed="false">
      <c r="A247" s="120" t="n">
        <f aca="false">EDATE(A246,1)</f>
        <v>44501</v>
      </c>
      <c r="B247" s="121" t="e">
        <f aca="false">VLOOKUP(A247,'Inputs-Summary'!$A$32:$E$41,3,FALSE())</f>
        <v>#N/A</v>
      </c>
      <c r="C247" s="122"/>
      <c r="D247" s="123" t="e">
        <f aca="false">B247+C247</f>
        <v>#N/A</v>
      </c>
      <c r="E247" s="111" t="n">
        <f aca="false">IF(Z247=0,0,IF(AND(Z247=1,$H$3=1),D247*U247,IF($H$3=2,D247,"N/A")))</f>
        <v>0</v>
      </c>
      <c r="F247" s="111" t="n">
        <f aca="false">E247*Y247</f>
        <v>0</v>
      </c>
      <c r="G247" s="124" t="n">
        <f aca="false">VLOOKUP($A247,Table,MATCH(G$4,Curves,0))</f>
        <v>3</v>
      </c>
      <c r="H247" s="125" t="n">
        <f aca="false">G247+$H$7</f>
        <v>3</v>
      </c>
      <c r="I247" s="124" t="n">
        <f aca="false">H247</f>
        <v>3</v>
      </c>
      <c r="J247" s="124" t="n">
        <f aca="false">VLOOKUP($A247,Table,MATCH(J$4,Curves,0))</f>
        <v>4</v>
      </c>
      <c r="K247" s="125" t="n">
        <f aca="false">J247+$K$7</f>
        <v>4</v>
      </c>
      <c r="L247" s="126" t="n">
        <f aca="false">K247</f>
        <v>4</v>
      </c>
      <c r="M247" s="124" t="n">
        <f aca="false">VLOOKUP($A247,Table,MATCH(M$4,Curves,0))</f>
        <v>4</v>
      </c>
      <c r="N247" s="125" t="n">
        <f aca="false">M247+$N$7</f>
        <v>4</v>
      </c>
      <c r="O247" s="126" t="n">
        <v>0.12</v>
      </c>
      <c r="P247" s="114"/>
      <c r="Q247" s="126" t="n">
        <f aca="false">M247+J247+G247</f>
        <v>11</v>
      </c>
      <c r="R247" s="126" t="n">
        <f aca="false">N247+K247+H247</f>
        <v>11</v>
      </c>
      <c r="S247" s="126" t="n">
        <f aca="false">O247+L247+I247</f>
        <v>7.12</v>
      </c>
      <c r="T247" s="127"/>
      <c r="U247" s="5" t="n">
        <f aca="false">A248-A247</f>
        <v>30</v>
      </c>
      <c r="V247" s="128" t="n">
        <f aca="false">CHOOSE(F$3,A248+24,A247)</f>
        <v>44501</v>
      </c>
      <c r="W247" s="5" t="n">
        <f aca="false">V247-C$3</f>
        <v>7270</v>
      </c>
      <c r="X247" s="124" t="n">
        <f aca="false">VLOOKUP($A247,Table,MATCH(X$4,Curves,0))</f>
        <v>2</v>
      </c>
      <c r="Y247" s="129" t="n">
        <f aca="false">1/(1+CHOOSE(F$3,(X248+($K$3/10000))/2,(X247+($K$3/10000))/2))^(2*W247/365.25)</f>
        <v>1.03870551660407E-012</v>
      </c>
      <c r="Z247" s="5" t="n">
        <f aca="false">IF(AND(mthbeg&lt;=A247,mthend&gt;=A247),1,0)</f>
        <v>0</v>
      </c>
      <c r="AA247" s="5" t="n">
        <f aca="false">U247*Z247</f>
        <v>0</v>
      </c>
      <c r="AC247" s="115" t="n">
        <f aca="false">IF(G240=2,F247*(S247-Q247),F247*(Q247-S247))</f>
        <v>0</v>
      </c>
      <c r="AE247" s="116" t="n">
        <f aca="false">IF($G$3=1,F247*(R247-Q247),F247*(Q247-R247))</f>
        <v>0</v>
      </c>
      <c r="AG247" s="116" t="n">
        <f aca="false">AC247+AE247</f>
        <v>0</v>
      </c>
    </row>
    <row r="248" customFormat="false" ht="12" hidden="false" customHeight="true" outlineLevel="0" collapsed="false">
      <c r="A248" s="120" t="n">
        <f aca="false">EDATE(A247,1)</f>
        <v>44531</v>
      </c>
      <c r="B248" s="121" t="e">
        <f aca="false">VLOOKUP(A248,'Inputs-Summary'!$A$32:$E$41,3,FALSE())</f>
        <v>#N/A</v>
      </c>
      <c r="C248" s="122"/>
      <c r="D248" s="123" t="e">
        <f aca="false">B248+C248</f>
        <v>#N/A</v>
      </c>
      <c r="E248" s="111" t="n">
        <f aca="false">IF(Z248=0,0,IF(AND(Z248=1,$H$3=1),D248*U248,IF($H$3=2,D248,"N/A")))</f>
        <v>0</v>
      </c>
      <c r="F248" s="111" t="n">
        <f aca="false">E248*Y248</f>
        <v>0</v>
      </c>
      <c r="G248" s="124" t="n">
        <f aca="false">VLOOKUP($A248,Table,MATCH(G$4,Curves,0))</f>
        <v>3</v>
      </c>
      <c r="H248" s="125" t="n">
        <f aca="false">G248+$H$7</f>
        <v>3</v>
      </c>
      <c r="I248" s="124" t="n">
        <f aca="false">H248</f>
        <v>3</v>
      </c>
      <c r="J248" s="124" t="n">
        <f aca="false">VLOOKUP($A248,Table,MATCH(J$4,Curves,0))</f>
        <v>4</v>
      </c>
      <c r="K248" s="125" t="n">
        <f aca="false">J248+$K$7</f>
        <v>4</v>
      </c>
      <c r="L248" s="126" t="n">
        <f aca="false">K248</f>
        <v>4</v>
      </c>
      <c r="M248" s="124" t="n">
        <f aca="false">VLOOKUP($A248,Table,MATCH(M$4,Curves,0))</f>
        <v>4</v>
      </c>
      <c r="N248" s="125" t="n">
        <f aca="false">M248+$N$7</f>
        <v>4</v>
      </c>
      <c r="O248" s="126" t="n">
        <v>0.12</v>
      </c>
      <c r="P248" s="114"/>
      <c r="Q248" s="126" t="n">
        <f aca="false">M248+J248+G248</f>
        <v>11</v>
      </c>
      <c r="R248" s="126" t="n">
        <f aca="false">N248+K248+H248</f>
        <v>11</v>
      </c>
      <c r="S248" s="126" t="n">
        <f aca="false">O248+L248+I248</f>
        <v>7.12</v>
      </c>
      <c r="T248" s="127"/>
      <c r="U248" s="5" t="n">
        <f aca="false">A249-A248</f>
        <v>31</v>
      </c>
      <c r="V248" s="128" t="n">
        <f aca="false">CHOOSE(F$3,A249+24,A248)</f>
        <v>44531</v>
      </c>
      <c r="W248" s="5" t="n">
        <f aca="false">V248-C$3</f>
        <v>7300</v>
      </c>
      <c r="X248" s="124" t="n">
        <f aca="false">VLOOKUP($A248,Table,MATCH(X$4,Curves,0))</f>
        <v>2</v>
      </c>
      <c r="Y248" s="129" t="n">
        <f aca="false">1/(1+CHOOSE(F$3,(X249+($K$3/10000))/2,(X248+($K$3/10000))/2))^(2*W248/365.25)</f>
        <v>9.26919301197255E-013</v>
      </c>
      <c r="Z248" s="5" t="n">
        <f aca="false">IF(AND(mthbeg&lt;=A248,mthend&gt;=A248),1,0)</f>
        <v>0</v>
      </c>
      <c r="AA248" s="5" t="n">
        <f aca="false">U248*Z248</f>
        <v>0</v>
      </c>
      <c r="AC248" s="115" t="n">
        <f aca="false">IF(G241=2,F248*(S248-Q248),F248*(Q248-S248))</f>
        <v>0</v>
      </c>
      <c r="AE248" s="116" t="n">
        <f aca="false">IF($G$3=1,F248*(R248-Q248),F248*(Q248-R248))</f>
        <v>0</v>
      </c>
      <c r="AG248" s="116" t="n">
        <f aca="false">AC248+AE248</f>
        <v>0</v>
      </c>
    </row>
    <row r="249" customFormat="false" ht="12" hidden="false" customHeight="true" outlineLevel="0" collapsed="false">
      <c r="A249" s="120" t="n">
        <f aca="false">EDATE(A248,1)</f>
        <v>44562</v>
      </c>
      <c r="B249" s="121" t="e">
        <f aca="false">VLOOKUP(A249,'Inputs-Summary'!$A$32:$E$41,3,FALSE())</f>
        <v>#N/A</v>
      </c>
      <c r="C249" s="122"/>
      <c r="D249" s="123" t="e">
        <f aca="false">B249+C249</f>
        <v>#N/A</v>
      </c>
      <c r="E249" s="111" t="n">
        <f aca="false">IF(Z249=0,0,IF(AND(Z249=1,$H$3=1),D249*U249,IF($H$3=2,D249,"N/A")))</f>
        <v>0</v>
      </c>
      <c r="F249" s="111" t="n">
        <f aca="false">E249*Y249</f>
        <v>0</v>
      </c>
      <c r="G249" s="124" t="n">
        <f aca="false">VLOOKUP($A249,Table,MATCH(G$4,Curves,0))</f>
        <v>3</v>
      </c>
      <c r="H249" s="125" t="n">
        <f aca="false">G249+$H$7</f>
        <v>3</v>
      </c>
      <c r="I249" s="124" t="n">
        <f aca="false">H249</f>
        <v>3</v>
      </c>
      <c r="J249" s="124" t="n">
        <f aca="false">VLOOKUP($A249,Table,MATCH(J$4,Curves,0))</f>
        <v>4</v>
      </c>
      <c r="K249" s="125" t="n">
        <f aca="false">J249+$K$7</f>
        <v>4</v>
      </c>
      <c r="L249" s="126" t="n">
        <f aca="false">K249</f>
        <v>4</v>
      </c>
      <c r="M249" s="124" t="n">
        <f aca="false">VLOOKUP($A249,Table,MATCH(M$4,Curves,0))</f>
        <v>4</v>
      </c>
      <c r="N249" s="125" t="n">
        <f aca="false">M249+$N$7</f>
        <v>4</v>
      </c>
      <c r="O249" s="126" t="n">
        <v>0.12</v>
      </c>
      <c r="P249" s="114"/>
      <c r="Q249" s="126" t="n">
        <f aca="false">M249+J249+G249</f>
        <v>11</v>
      </c>
      <c r="R249" s="126" t="n">
        <f aca="false">N249+K249+H249</f>
        <v>11</v>
      </c>
      <c r="S249" s="126" t="n">
        <f aca="false">O249+L249+I249</f>
        <v>7.12</v>
      </c>
      <c r="T249" s="127"/>
      <c r="U249" s="5" t="n">
        <f aca="false">A250-A249</f>
        <v>31</v>
      </c>
      <c r="V249" s="128" t="n">
        <f aca="false">CHOOSE(F$3,A250+24,A249)</f>
        <v>44562</v>
      </c>
      <c r="W249" s="5" t="n">
        <f aca="false">V249-C$3</f>
        <v>7331</v>
      </c>
      <c r="X249" s="124" t="n">
        <f aca="false">VLOOKUP($A249,Table,MATCH(X$4,Curves,0))</f>
        <v>2</v>
      </c>
      <c r="Y249" s="129" t="n">
        <f aca="false">1/(1+CHOOSE(F$3,(X250+($K$3/10000))/2,(X249+($K$3/10000))/2))^(2*W249/365.25)</f>
        <v>8.2403007473676E-013</v>
      </c>
      <c r="Z249" s="5" t="n">
        <f aca="false">IF(AND(mthbeg&lt;=A249,mthend&gt;=A249),1,0)</f>
        <v>0</v>
      </c>
      <c r="AA249" s="5" t="n">
        <f aca="false">U249*Z249</f>
        <v>0</v>
      </c>
      <c r="AC249" s="115" t="n">
        <f aca="false">IF(G242=2,F249*(S249-Q249),F249*(Q249-S249))</f>
        <v>0</v>
      </c>
      <c r="AE249" s="116" t="n">
        <f aca="false">IF($G$3=1,F249*(R249-Q249),F249*(Q249-R249))</f>
        <v>0</v>
      </c>
      <c r="AG249" s="116" t="n">
        <f aca="false">AC249+AE249</f>
        <v>0</v>
      </c>
    </row>
    <row r="250" customFormat="false" ht="12" hidden="false" customHeight="true" outlineLevel="0" collapsed="false">
      <c r="A250" s="120" t="n">
        <f aca="false">EDATE(A249,1)</f>
        <v>44593</v>
      </c>
      <c r="B250" s="121" t="e">
        <f aca="false">VLOOKUP(A250,'Inputs-Summary'!$A$32:$E$41,3,FALSE())</f>
        <v>#N/A</v>
      </c>
      <c r="C250" s="122"/>
      <c r="D250" s="123" t="e">
        <f aca="false">B250+C250</f>
        <v>#N/A</v>
      </c>
      <c r="E250" s="111" t="n">
        <f aca="false">IF(Z250=0,0,IF(AND(Z250=1,$H$3=1),D250*U250,IF($H$3=2,D250,"N/A")))</f>
        <v>0</v>
      </c>
      <c r="F250" s="111" t="n">
        <f aca="false">E250*Y250</f>
        <v>0</v>
      </c>
      <c r="G250" s="124" t="n">
        <f aca="false">VLOOKUP($A250,Table,MATCH(G$4,Curves,0))</f>
        <v>3</v>
      </c>
      <c r="H250" s="125" t="n">
        <f aca="false">G250+$H$7</f>
        <v>3</v>
      </c>
      <c r="I250" s="124" t="n">
        <f aca="false">H250</f>
        <v>3</v>
      </c>
      <c r="J250" s="124" t="n">
        <f aca="false">VLOOKUP($A250,Table,MATCH(J$4,Curves,0))</f>
        <v>4</v>
      </c>
      <c r="K250" s="125" t="n">
        <f aca="false">J250+$K$7</f>
        <v>4</v>
      </c>
      <c r="L250" s="126" t="n">
        <f aca="false">K250</f>
        <v>4</v>
      </c>
      <c r="M250" s="124" t="n">
        <f aca="false">VLOOKUP($A250,Table,MATCH(M$4,Curves,0))</f>
        <v>4</v>
      </c>
      <c r="N250" s="125" t="n">
        <f aca="false">M250+$N$7</f>
        <v>4</v>
      </c>
      <c r="O250" s="126" t="n">
        <v>0.12</v>
      </c>
      <c r="P250" s="114"/>
      <c r="Q250" s="126" t="n">
        <f aca="false">M250+J250+G250</f>
        <v>11</v>
      </c>
      <c r="R250" s="126" t="n">
        <f aca="false">N250+K250+H250</f>
        <v>11</v>
      </c>
      <c r="S250" s="126" t="n">
        <f aca="false">O250+L250+I250</f>
        <v>7.12</v>
      </c>
      <c r="T250" s="127"/>
      <c r="U250" s="5" t="n">
        <f aca="false">A251-A250</f>
        <v>28</v>
      </c>
      <c r="V250" s="128" t="n">
        <f aca="false">CHOOSE(F$3,A251+24,A250)</f>
        <v>44593</v>
      </c>
      <c r="W250" s="5" t="n">
        <f aca="false">V250-C$3</f>
        <v>7362</v>
      </c>
      <c r="X250" s="124" t="n">
        <f aca="false">VLOOKUP($A250,Table,MATCH(X$4,Curves,0))</f>
        <v>2</v>
      </c>
      <c r="Y250" s="129" t="n">
        <f aca="false">1/(1+CHOOSE(F$3,(X251+($K$3/10000))/2,(X250+($K$3/10000))/2))^(2*W250/365.25)</f>
        <v>7.32561683841956E-013</v>
      </c>
      <c r="Z250" s="5" t="n">
        <f aca="false">IF(AND(mthbeg&lt;=A250,mthend&gt;=A250),1,0)</f>
        <v>0</v>
      </c>
      <c r="AA250" s="5" t="n">
        <f aca="false">U250*Z250</f>
        <v>0</v>
      </c>
      <c r="AC250" s="115" t="n">
        <f aca="false">IF(G243=2,F250*(S250-Q250),F250*(Q250-S250))</f>
        <v>0</v>
      </c>
      <c r="AE250" s="116" t="n">
        <f aca="false">IF($G$3=1,F250*(R250-Q250),F250*(Q250-R250))</f>
        <v>0</v>
      </c>
      <c r="AG250" s="116" t="n">
        <f aca="false">AC250+AE250</f>
        <v>0</v>
      </c>
    </row>
    <row r="251" customFormat="false" ht="12" hidden="false" customHeight="true" outlineLevel="0" collapsed="false">
      <c r="A251" s="120" t="n">
        <f aca="false">EDATE(A250,1)</f>
        <v>44621</v>
      </c>
      <c r="B251" s="121" t="e">
        <f aca="false">VLOOKUP(A251,'Inputs-Summary'!$A$32:$E$41,3,FALSE())</f>
        <v>#N/A</v>
      </c>
      <c r="C251" s="122"/>
      <c r="D251" s="123" t="e">
        <f aca="false">B251+C251</f>
        <v>#N/A</v>
      </c>
      <c r="E251" s="111" t="n">
        <f aca="false">IF(Z251=0,0,IF(AND(Z251=1,$H$3=1),D251*U251,IF($H$3=2,D251,"N/A")))</f>
        <v>0</v>
      </c>
      <c r="F251" s="111" t="n">
        <f aca="false">E251*Y251</f>
        <v>0</v>
      </c>
      <c r="G251" s="124" t="n">
        <f aca="false">VLOOKUP($A251,Table,MATCH(G$4,Curves,0))</f>
        <v>3</v>
      </c>
      <c r="H251" s="125" t="n">
        <f aca="false">G251+$H$7</f>
        <v>3</v>
      </c>
      <c r="I251" s="124" t="n">
        <f aca="false">H251</f>
        <v>3</v>
      </c>
      <c r="J251" s="124" t="n">
        <f aca="false">VLOOKUP($A251,Table,MATCH(J$4,Curves,0))</f>
        <v>4</v>
      </c>
      <c r="K251" s="125" t="n">
        <f aca="false">J251+$K$7</f>
        <v>4</v>
      </c>
      <c r="L251" s="126" t="n">
        <f aca="false">K251</f>
        <v>4</v>
      </c>
      <c r="M251" s="124" t="n">
        <f aca="false">VLOOKUP($A251,Table,MATCH(M$4,Curves,0))</f>
        <v>4</v>
      </c>
      <c r="N251" s="125" t="n">
        <f aca="false">M251+$N$7</f>
        <v>4</v>
      </c>
      <c r="O251" s="126" t="n">
        <v>0.12</v>
      </c>
      <c r="P251" s="114"/>
      <c r="Q251" s="126" t="n">
        <f aca="false">M251+J251+G251</f>
        <v>11</v>
      </c>
      <c r="R251" s="126" t="n">
        <f aca="false">N251+K251+H251</f>
        <v>11</v>
      </c>
      <c r="S251" s="126" t="n">
        <f aca="false">O251+L251+I251</f>
        <v>7.12</v>
      </c>
      <c r="T251" s="127"/>
      <c r="U251" s="5" t="n">
        <f aca="false">A252-A251</f>
        <v>31</v>
      </c>
      <c r="V251" s="128" t="n">
        <f aca="false">CHOOSE(F$3,A252+24,A251)</f>
        <v>44621</v>
      </c>
      <c r="W251" s="5" t="n">
        <f aca="false">V251-C$3</f>
        <v>7390</v>
      </c>
      <c r="X251" s="124" t="n">
        <f aca="false">VLOOKUP($A251,Table,MATCH(X$4,Curves,0))</f>
        <v>2</v>
      </c>
      <c r="Y251" s="129" t="n">
        <f aca="false">1/(1+CHOOSE(F$3,(X252+($K$3/10000))/2,(X251+($K$3/10000))/2))^(2*W251/365.25)</f>
        <v>6.58704131843196E-013</v>
      </c>
      <c r="Z251" s="5" t="n">
        <f aca="false">IF(AND(mthbeg&lt;=A251,mthend&gt;=A251),1,0)</f>
        <v>0</v>
      </c>
      <c r="AA251" s="5" t="n">
        <f aca="false">U251*Z251</f>
        <v>0</v>
      </c>
      <c r="AC251" s="115" t="n">
        <f aca="false">IF(G244=2,F251*(S251-Q251),F251*(Q251-S251))</f>
        <v>0</v>
      </c>
      <c r="AE251" s="116" t="n">
        <f aca="false">IF($G$3=1,F251*(R251-Q251),F251*(Q251-R251))</f>
        <v>0</v>
      </c>
      <c r="AG251" s="116" t="n">
        <f aca="false">AC251+AE251</f>
        <v>0</v>
      </c>
    </row>
    <row r="252" customFormat="false" ht="12" hidden="false" customHeight="true" outlineLevel="0" collapsed="false">
      <c r="A252" s="120" t="n">
        <f aca="false">EDATE(A251,1)</f>
        <v>44652</v>
      </c>
      <c r="B252" s="121" t="e">
        <f aca="false">VLOOKUP(A252,'Inputs-Summary'!$A$32:$E$41,3,FALSE())</f>
        <v>#N/A</v>
      </c>
      <c r="C252" s="122"/>
      <c r="D252" s="123" t="e">
        <f aca="false">B252+C252</f>
        <v>#N/A</v>
      </c>
      <c r="E252" s="111" t="n">
        <f aca="false">IF(Z252=0,0,IF(AND(Z252=1,$H$3=1),D252*U252,IF($H$3=2,D252,"N/A")))</f>
        <v>0</v>
      </c>
      <c r="F252" s="111" t="n">
        <f aca="false">E252*Y252</f>
        <v>0</v>
      </c>
      <c r="G252" s="124" t="n">
        <f aca="false">VLOOKUP($A252,Table,MATCH(G$4,Curves,0))</f>
        <v>3</v>
      </c>
      <c r="H252" s="125" t="n">
        <f aca="false">G252+$H$7</f>
        <v>3</v>
      </c>
      <c r="I252" s="124" t="n">
        <f aca="false">H252</f>
        <v>3</v>
      </c>
      <c r="J252" s="124" t="n">
        <f aca="false">VLOOKUP($A252,Table,MATCH(J$4,Curves,0))</f>
        <v>4</v>
      </c>
      <c r="K252" s="125" t="n">
        <f aca="false">J252+$K$7</f>
        <v>4</v>
      </c>
      <c r="L252" s="126" t="n">
        <f aca="false">K252</f>
        <v>4</v>
      </c>
      <c r="M252" s="124" t="n">
        <f aca="false">VLOOKUP($A252,Table,MATCH(M$4,Curves,0))</f>
        <v>4</v>
      </c>
      <c r="N252" s="125" t="n">
        <f aca="false">M252+$N$7</f>
        <v>4</v>
      </c>
      <c r="O252" s="126" t="n">
        <v>0.12</v>
      </c>
      <c r="P252" s="114"/>
      <c r="Q252" s="126" t="n">
        <f aca="false">M252+J252+G252</f>
        <v>11</v>
      </c>
      <c r="R252" s="126" t="n">
        <f aca="false">N252+K252+H252</f>
        <v>11</v>
      </c>
      <c r="S252" s="126" t="n">
        <f aca="false">O252+L252+I252</f>
        <v>7.12</v>
      </c>
      <c r="T252" s="127"/>
      <c r="U252" s="5" t="n">
        <f aca="false">A253-A252</f>
        <v>30</v>
      </c>
      <c r="V252" s="128" t="n">
        <f aca="false">CHOOSE(F$3,A253+24,A252)</f>
        <v>44652</v>
      </c>
      <c r="W252" s="5" t="n">
        <f aca="false">V252-C$3</f>
        <v>7421</v>
      </c>
      <c r="X252" s="124" t="n">
        <f aca="false">VLOOKUP($A252,Table,MATCH(X$4,Curves,0))</f>
        <v>2</v>
      </c>
      <c r="Y252" s="129" t="n">
        <f aca="false">1/(1+CHOOSE(F$3,(X253+($K$3/10000))/2,(X252+($K$3/10000))/2))^(2*W252/365.25)</f>
        <v>5.85587131793527E-013</v>
      </c>
      <c r="Z252" s="5" t="n">
        <f aca="false">IF(AND(mthbeg&lt;=A252,mthend&gt;=A252),1,0)</f>
        <v>0</v>
      </c>
      <c r="AA252" s="5" t="n">
        <f aca="false">U252*Z252</f>
        <v>0</v>
      </c>
      <c r="AC252" s="115" t="n">
        <f aca="false">IF(G245=2,F252*(S252-Q252),F252*(Q252-S252))</f>
        <v>0</v>
      </c>
      <c r="AE252" s="116" t="n">
        <f aca="false">IF($G$3=1,F252*(R252-Q252),F252*(Q252-R252))</f>
        <v>0</v>
      </c>
      <c r="AG252" s="116" t="n">
        <f aca="false">AC252+AE252</f>
        <v>0</v>
      </c>
    </row>
    <row r="253" customFormat="false" ht="12" hidden="false" customHeight="true" outlineLevel="0" collapsed="false">
      <c r="A253" s="120" t="n">
        <f aca="false">EDATE(A252,1)</f>
        <v>44682</v>
      </c>
      <c r="B253" s="121" t="e">
        <f aca="false">VLOOKUP(A253,'Inputs-Summary'!$A$32:$E$41,3,FALSE())</f>
        <v>#N/A</v>
      </c>
      <c r="C253" s="122"/>
      <c r="D253" s="123" t="e">
        <f aca="false">B253+C253</f>
        <v>#N/A</v>
      </c>
      <c r="E253" s="111" t="n">
        <f aca="false">IF(Z253=0,0,IF(AND(Z253=1,$H$3=1),D253*U253,IF($H$3=2,D253,"N/A")))</f>
        <v>0</v>
      </c>
      <c r="F253" s="111" t="n">
        <f aca="false">E253*Y253</f>
        <v>0</v>
      </c>
      <c r="G253" s="124" t="n">
        <f aca="false">VLOOKUP($A253,Table,MATCH(G$4,Curves,0))</f>
        <v>3</v>
      </c>
      <c r="H253" s="125" t="n">
        <f aca="false">G253+$H$7</f>
        <v>3</v>
      </c>
      <c r="I253" s="124" t="n">
        <f aca="false">H253</f>
        <v>3</v>
      </c>
      <c r="J253" s="124" t="n">
        <f aca="false">VLOOKUP($A253,Table,MATCH(J$4,Curves,0))</f>
        <v>4</v>
      </c>
      <c r="K253" s="125" t="n">
        <f aca="false">J253+$K$7</f>
        <v>4</v>
      </c>
      <c r="L253" s="126" t="n">
        <f aca="false">K253</f>
        <v>4</v>
      </c>
      <c r="M253" s="124" t="n">
        <f aca="false">VLOOKUP($A253,Table,MATCH(M$4,Curves,0))</f>
        <v>4</v>
      </c>
      <c r="N253" s="125" t="n">
        <f aca="false">M253+$N$7</f>
        <v>4</v>
      </c>
      <c r="O253" s="126" t="n">
        <v>0.12</v>
      </c>
      <c r="P253" s="114"/>
      <c r="Q253" s="126" t="n">
        <f aca="false">M253+J253+G253</f>
        <v>11</v>
      </c>
      <c r="R253" s="126" t="n">
        <f aca="false">N253+K253+H253</f>
        <v>11</v>
      </c>
      <c r="S253" s="126" t="n">
        <f aca="false">O253+L253+I253</f>
        <v>7.12</v>
      </c>
      <c r="T253" s="127"/>
      <c r="U253" s="5" t="n">
        <f aca="false">A254-A253</f>
        <v>31</v>
      </c>
      <c r="V253" s="128" t="n">
        <f aca="false">CHOOSE(F$3,A254+24,A253)</f>
        <v>44682</v>
      </c>
      <c r="W253" s="5" t="n">
        <f aca="false">V253-C$3</f>
        <v>7451</v>
      </c>
      <c r="X253" s="124" t="n">
        <f aca="false">VLOOKUP($A253,Table,MATCH(X$4,Curves,0))</f>
        <v>2</v>
      </c>
      <c r="Y253" s="129" t="n">
        <f aca="false">1/(1+CHOOSE(F$3,(X254+($K$3/10000))/2,(X253+($K$3/10000))/2))^(2*W253/365.25)</f>
        <v>5.22565834411623E-013</v>
      </c>
      <c r="Z253" s="5" t="n">
        <f aca="false">IF(AND(mthbeg&lt;=A253,mthend&gt;=A253),1,0)</f>
        <v>0</v>
      </c>
      <c r="AA253" s="5" t="n">
        <f aca="false">U253*Z253</f>
        <v>0</v>
      </c>
      <c r="AC253" s="115" t="n">
        <f aca="false">IF(G246=2,F253*(S253-Q253),F253*(Q253-S253))</f>
        <v>0</v>
      </c>
      <c r="AE253" s="116" t="n">
        <f aca="false">IF($G$3=1,F253*(R253-Q253),F253*(Q253-R253))</f>
        <v>0</v>
      </c>
      <c r="AG253" s="116" t="n">
        <f aca="false">AC253+AE253</f>
        <v>0</v>
      </c>
    </row>
    <row r="254" customFormat="false" ht="12" hidden="false" customHeight="true" outlineLevel="0" collapsed="false">
      <c r="A254" s="120" t="n">
        <f aca="false">EDATE(A253,1)</f>
        <v>44713</v>
      </c>
      <c r="B254" s="121" t="e">
        <f aca="false">VLOOKUP(A254,'Inputs-Summary'!$A$32:$E$41,3,FALSE())</f>
        <v>#N/A</v>
      </c>
      <c r="C254" s="122"/>
      <c r="D254" s="123" t="e">
        <f aca="false">B254+C254</f>
        <v>#N/A</v>
      </c>
      <c r="E254" s="111" t="n">
        <f aca="false">IF(Z254=0,0,IF(AND(Z254=1,$H$3=1),D254*U254,IF($H$3=2,D254,"N/A")))</f>
        <v>0</v>
      </c>
      <c r="F254" s="111" t="n">
        <f aca="false">E254*Y254</f>
        <v>0</v>
      </c>
      <c r="G254" s="124" t="n">
        <f aca="false">VLOOKUP($A254,Table,MATCH(G$4,Curves,0))</f>
        <v>3</v>
      </c>
      <c r="H254" s="125" t="n">
        <f aca="false">G254+$H$7</f>
        <v>3</v>
      </c>
      <c r="I254" s="124" t="n">
        <f aca="false">H254</f>
        <v>3</v>
      </c>
      <c r="J254" s="124" t="n">
        <f aca="false">VLOOKUP($A254,Table,MATCH(J$4,Curves,0))</f>
        <v>4</v>
      </c>
      <c r="K254" s="125" t="n">
        <f aca="false">J254+$K$7</f>
        <v>4</v>
      </c>
      <c r="L254" s="126" t="n">
        <f aca="false">K254</f>
        <v>4</v>
      </c>
      <c r="M254" s="124" t="n">
        <f aca="false">VLOOKUP($A254,Table,MATCH(M$4,Curves,0))</f>
        <v>4</v>
      </c>
      <c r="N254" s="125" t="n">
        <f aca="false">M254+$N$7</f>
        <v>4</v>
      </c>
      <c r="O254" s="126" t="n">
        <v>0.12</v>
      </c>
      <c r="P254" s="114"/>
      <c r="Q254" s="126" t="n">
        <f aca="false">M254+J254+G254</f>
        <v>11</v>
      </c>
      <c r="R254" s="126" t="n">
        <f aca="false">N254+K254+H254</f>
        <v>11</v>
      </c>
      <c r="S254" s="126" t="n">
        <f aca="false">O254+L254+I254</f>
        <v>7.12</v>
      </c>
      <c r="T254" s="127"/>
      <c r="U254" s="5" t="n">
        <f aca="false">A255-A254</f>
        <v>30</v>
      </c>
      <c r="V254" s="128" t="n">
        <f aca="false">CHOOSE(F$3,A255+24,A254)</f>
        <v>44713</v>
      </c>
      <c r="W254" s="5" t="n">
        <f aca="false">V254-C$3</f>
        <v>7482</v>
      </c>
      <c r="X254" s="124" t="n">
        <f aca="false">VLOOKUP($A254,Table,MATCH(X$4,Curves,0))</f>
        <v>2</v>
      </c>
      <c r="Y254" s="129" t="n">
        <f aca="false">1/(1+CHOOSE(F$3,(X255+($K$3/10000))/2,(X254+($K$3/10000))/2))^(2*W254/365.25)</f>
        <v>4.64560359277113E-013</v>
      </c>
      <c r="Z254" s="5" t="n">
        <f aca="false">IF(AND(mthbeg&lt;=A254,mthend&gt;=A254),1,0)</f>
        <v>0</v>
      </c>
      <c r="AA254" s="5" t="n">
        <f aca="false">U254*Z254</f>
        <v>0</v>
      </c>
      <c r="AC254" s="115" t="n">
        <f aca="false">IF(G247=2,F254*(S254-Q254),F254*(Q254-S254))</f>
        <v>0</v>
      </c>
      <c r="AE254" s="116" t="n">
        <f aca="false">IF($G$3=1,F254*(R254-Q254),F254*(Q254-R254))</f>
        <v>0</v>
      </c>
      <c r="AG254" s="116" t="n">
        <f aca="false">AC254+AE254</f>
        <v>0</v>
      </c>
    </row>
    <row r="255" customFormat="false" ht="12" hidden="false" customHeight="true" outlineLevel="0" collapsed="false">
      <c r="A255" s="120" t="n">
        <f aca="false">EDATE(A254,1)</f>
        <v>44743</v>
      </c>
      <c r="B255" s="121" t="e">
        <f aca="false">VLOOKUP(A255,'Inputs-Summary'!$A$32:$E$41,3,FALSE())</f>
        <v>#N/A</v>
      </c>
      <c r="C255" s="122"/>
      <c r="D255" s="123" t="e">
        <f aca="false">B255+C255</f>
        <v>#N/A</v>
      </c>
      <c r="E255" s="111" t="n">
        <f aca="false">IF(Z255=0,0,IF(AND(Z255=1,$H$3=1),D255*U255,IF($H$3=2,D255,"N/A")))</f>
        <v>0</v>
      </c>
      <c r="F255" s="111" t="n">
        <f aca="false">E255*Y255</f>
        <v>0</v>
      </c>
      <c r="G255" s="124" t="n">
        <f aca="false">VLOOKUP($A255,Table,MATCH(G$4,Curves,0))</f>
        <v>3</v>
      </c>
      <c r="H255" s="125" t="n">
        <f aca="false">G255+$H$7</f>
        <v>3</v>
      </c>
      <c r="I255" s="124" t="n">
        <f aca="false">H255</f>
        <v>3</v>
      </c>
      <c r="J255" s="124" t="n">
        <f aca="false">VLOOKUP($A255,Table,MATCH(J$4,Curves,0))</f>
        <v>4</v>
      </c>
      <c r="K255" s="125" t="n">
        <f aca="false">J255+$K$7</f>
        <v>4</v>
      </c>
      <c r="L255" s="126" t="n">
        <f aca="false">K255</f>
        <v>4</v>
      </c>
      <c r="M255" s="124" t="n">
        <f aca="false">VLOOKUP($A255,Table,MATCH(M$4,Curves,0))</f>
        <v>4</v>
      </c>
      <c r="N255" s="125" t="n">
        <f aca="false">M255+$N$7</f>
        <v>4</v>
      </c>
      <c r="O255" s="126" t="n">
        <v>0.12</v>
      </c>
      <c r="P255" s="114"/>
      <c r="Q255" s="126" t="n">
        <f aca="false">M255+J255+G255</f>
        <v>11</v>
      </c>
      <c r="R255" s="126" t="n">
        <f aca="false">N255+K255+H255</f>
        <v>11</v>
      </c>
      <c r="S255" s="126" t="n">
        <f aca="false">O255+L255+I255</f>
        <v>7.12</v>
      </c>
      <c r="T255" s="127"/>
      <c r="U255" s="5" t="n">
        <f aca="false">A256-A255</f>
        <v>31</v>
      </c>
      <c r="V255" s="128" t="n">
        <f aca="false">CHOOSE(F$3,A256+24,A255)</f>
        <v>44743</v>
      </c>
      <c r="W255" s="5" t="n">
        <f aca="false">V255-C$3</f>
        <v>7512</v>
      </c>
      <c r="X255" s="124" t="n">
        <f aca="false">VLOOKUP($A255,Table,MATCH(X$4,Curves,0))</f>
        <v>2</v>
      </c>
      <c r="Y255" s="129" t="n">
        <f aca="false">1/(1+CHOOSE(F$3,(X256+($K$3/10000))/2,(X255+($K$3/10000))/2))^(2*W255/365.25)</f>
        <v>4.14564047943943E-013</v>
      </c>
      <c r="Z255" s="5" t="n">
        <f aca="false">IF(AND(mthbeg&lt;=A255,mthend&gt;=A255),1,0)</f>
        <v>0</v>
      </c>
      <c r="AA255" s="5" t="n">
        <f aca="false">U255*Z255</f>
        <v>0</v>
      </c>
      <c r="AC255" s="115" t="n">
        <f aca="false">IF(G248=2,F255*(S255-Q255),F255*(Q255-S255))</f>
        <v>0</v>
      </c>
      <c r="AE255" s="116" t="n">
        <f aca="false">IF($G$3=1,F255*(R255-Q255),F255*(Q255-R255))</f>
        <v>0</v>
      </c>
      <c r="AG255" s="116" t="n">
        <f aca="false">AC255+AE255</f>
        <v>0</v>
      </c>
    </row>
    <row r="256" customFormat="false" ht="12" hidden="false" customHeight="true" outlineLevel="0" collapsed="false">
      <c r="A256" s="120" t="n">
        <f aca="false">EDATE(A255,1)</f>
        <v>44774</v>
      </c>
      <c r="B256" s="121" t="e">
        <f aca="false">VLOOKUP(A256,'Inputs-Summary'!$A$32:$E$41,3,FALSE())</f>
        <v>#N/A</v>
      </c>
      <c r="C256" s="122"/>
      <c r="D256" s="123" t="e">
        <f aca="false">B256+C256</f>
        <v>#N/A</v>
      </c>
      <c r="E256" s="111" t="n">
        <f aca="false">IF(Z256=0,0,IF(AND(Z256=1,$H$3=1),D256*U256,IF($H$3=2,D256,"N/A")))</f>
        <v>0</v>
      </c>
      <c r="F256" s="111" t="n">
        <f aca="false">E256*Y256</f>
        <v>0</v>
      </c>
      <c r="G256" s="124" t="n">
        <f aca="false">VLOOKUP($A256,Table,MATCH(G$4,Curves,0))</f>
        <v>3</v>
      </c>
      <c r="H256" s="125" t="n">
        <f aca="false">G256+$H$7</f>
        <v>3</v>
      </c>
      <c r="I256" s="124" t="n">
        <f aca="false">H256</f>
        <v>3</v>
      </c>
      <c r="J256" s="124" t="n">
        <f aca="false">VLOOKUP($A256,Table,MATCH(J$4,Curves,0))</f>
        <v>4</v>
      </c>
      <c r="K256" s="125" t="n">
        <f aca="false">J256+$K$7</f>
        <v>4</v>
      </c>
      <c r="L256" s="126" t="n">
        <f aca="false">K256</f>
        <v>4</v>
      </c>
      <c r="M256" s="124" t="n">
        <f aca="false">VLOOKUP($A256,Table,MATCH(M$4,Curves,0))</f>
        <v>4</v>
      </c>
      <c r="N256" s="125" t="n">
        <f aca="false">M256+$N$7</f>
        <v>4</v>
      </c>
      <c r="O256" s="126" t="n">
        <v>0.12</v>
      </c>
      <c r="P256" s="114"/>
      <c r="Q256" s="126" t="n">
        <f aca="false">M256+J256+G256</f>
        <v>11</v>
      </c>
      <c r="R256" s="126" t="n">
        <f aca="false">N256+K256+H256</f>
        <v>11</v>
      </c>
      <c r="S256" s="126" t="n">
        <f aca="false">O256+L256+I256</f>
        <v>7.12</v>
      </c>
      <c r="T256" s="127"/>
      <c r="U256" s="5" t="n">
        <f aca="false">A257-A256</f>
        <v>31</v>
      </c>
      <c r="V256" s="128" t="n">
        <f aca="false">CHOOSE(F$3,A257+24,A256)</f>
        <v>44774</v>
      </c>
      <c r="W256" s="5" t="n">
        <f aca="false">V256-C$3</f>
        <v>7543</v>
      </c>
      <c r="X256" s="124" t="n">
        <f aca="false">VLOOKUP($A256,Table,MATCH(X$4,Curves,0))</f>
        <v>2</v>
      </c>
      <c r="Y256" s="129" t="n">
        <f aca="false">1/(1+CHOOSE(F$3,(X257+($K$3/10000))/2,(X256+($K$3/10000))/2))^(2*W256/365.25)</f>
        <v>3.685469090666E-013</v>
      </c>
      <c r="Z256" s="5" t="n">
        <f aca="false">IF(AND(mthbeg&lt;=A256,mthend&gt;=A256),1,0)</f>
        <v>0</v>
      </c>
      <c r="AA256" s="5" t="n">
        <f aca="false">U256*Z256</f>
        <v>0</v>
      </c>
      <c r="AC256" s="115" t="n">
        <f aca="false">IF(G249=2,F256*(S256-Q256),F256*(Q256-S256))</f>
        <v>0</v>
      </c>
      <c r="AE256" s="116" t="n">
        <f aca="false">IF($G$3=1,F256*(R256-Q256),F256*(Q256-R256))</f>
        <v>0</v>
      </c>
      <c r="AG256" s="116" t="n">
        <f aca="false">AC256+AE256</f>
        <v>0</v>
      </c>
    </row>
    <row r="257" customFormat="false" ht="12" hidden="false" customHeight="true" outlineLevel="0" collapsed="false">
      <c r="A257" s="120" t="n">
        <f aca="false">EDATE(A256,1)</f>
        <v>44805</v>
      </c>
      <c r="B257" s="121" t="e">
        <f aca="false">VLOOKUP(A257,'Inputs-Summary'!$A$32:$E$41,3,FALSE())</f>
        <v>#N/A</v>
      </c>
      <c r="C257" s="122"/>
      <c r="D257" s="123" t="e">
        <f aca="false">B257+C257</f>
        <v>#N/A</v>
      </c>
      <c r="E257" s="111" t="n">
        <f aca="false">IF(Z257=0,0,IF(AND(Z257=1,$H$3=1),D257*U257,IF($H$3=2,D257,"N/A")))</f>
        <v>0</v>
      </c>
      <c r="F257" s="111" t="n">
        <f aca="false">E257*Y257</f>
        <v>0</v>
      </c>
      <c r="G257" s="124" t="n">
        <f aca="false">VLOOKUP($A257,Table,MATCH(G$4,Curves,0))</f>
        <v>3</v>
      </c>
      <c r="H257" s="125" t="n">
        <f aca="false">G257+$H$7</f>
        <v>3</v>
      </c>
      <c r="I257" s="124" t="n">
        <f aca="false">H257</f>
        <v>3</v>
      </c>
      <c r="J257" s="124" t="n">
        <f aca="false">VLOOKUP($A257,Table,MATCH(J$4,Curves,0))</f>
        <v>4</v>
      </c>
      <c r="K257" s="125" t="n">
        <f aca="false">J257+$K$7</f>
        <v>4</v>
      </c>
      <c r="L257" s="126" t="n">
        <f aca="false">K257</f>
        <v>4</v>
      </c>
      <c r="M257" s="124" t="n">
        <f aca="false">VLOOKUP($A257,Table,MATCH(M$4,Curves,0))</f>
        <v>4</v>
      </c>
      <c r="N257" s="125" t="n">
        <f aca="false">M257+$N$7</f>
        <v>4</v>
      </c>
      <c r="O257" s="126" t="n">
        <v>0.12</v>
      </c>
      <c r="P257" s="114"/>
      <c r="Q257" s="126" t="n">
        <f aca="false">M257+J257+G257</f>
        <v>11</v>
      </c>
      <c r="R257" s="126" t="n">
        <f aca="false">N257+K257+H257</f>
        <v>11</v>
      </c>
      <c r="S257" s="126" t="n">
        <f aca="false">O257+L257+I257</f>
        <v>7.12</v>
      </c>
      <c r="T257" s="127"/>
      <c r="U257" s="5" t="n">
        <f aca="false">A258-A257</f>
        <v>30</v>
      </c>
      <c r="V257" s="128" t="n">
        <f aca="false">CHOOSE(F$3,A258+24,A257)</f>
        <v>44805</v>
      </c>
      <c r="W257" s="5" t="n">
        <f aca="false">V257-C$3</f>
        <v>7574</v>
      </c>
      <c r="X257" s="124" t="n">
        <f aca="false">VLOOKUP($A257,Table,MATCH(X$4,Curves,0))</f>
        <v>2</v>
      </c>
      <c r="Y257" s="129" t="n">
        <f aca="false">1/(1+CHOOSE(F$3,(X258+($K$3/10000))/2,(X257+($K$3/10000))/2))^(2*W257/365.25)</f>
        <v>3.27637731385986E-013</v>
      </c>
      <c r="Z257" s="5" t="n">
        <f aca="false">IF(AND(mthbeg&lt;=A257,mthend&gt;=A257),1,0)</f>
        <v>0</v>
      </c>
      <c r="AA257" s="5" t="n">
        <f aca="false">U257*Z257</f>
        <v>0</v>
      </c>
      <c r="AC257" s="115" t="n">
        <f aca="false">IF(G250=2,F257*(S257-Q257),F257*(Q257-S257))</f>
        <v>0</v>
      </c>
      <c r="AE257" s="116" t="n">
        <f aca="false">IF($G$3=1,F257*(R257-Q257),F257*(Q257-R257))</f>
        <v>0</v>
      </c>
      <c r="AG257" s="116" t="n">
        <f aca="false">AC257+AE257</f>
        <v>0</v>
      </c>
    </row>
    <row r="258" customFormat="false" ht="12" hidden="false" customHeight="true" outlineLevel="0" collapsed="false">
      <c r="A258" s="120" t="n">
        <f aca="false">EDATE(A257,1)</f>
        <v>44835</v>
      </c>
      <c r="B258" s="121" t="e">
        <f aca="false">VLOOKUP(A258,'Inputs-Summary'!$A$32:$E$41,3,FALSE())</f>
        <v>#N/A</v>
      </c>
      <c r="C258" s="122"/>
      <c r="D258" s="123" t="e">
        <f aca="false">B258+C258</f>
        <v>#N/A</v>
      </c>
      <c r="E258" s="111" t="n">
        <f aca="false">IF(Z258=0,0,IF(AND(Z258=1,$H$3=1),D258*U258,IF($H$3=2,D258,"N/A")))</f>
        <v>0</v>
      </c>
      <c r="F258" s="111" t="n">
        <f aca="false">E258*Y258</f>
        <v>0</v>
      </c>
      <c r="G258" s="124" t="n">
        <f aca="false">VLOOKUP($A258,Table,MATCH(G$4,Curves,0))</f>
        <v>3</v>
      </c>
      <c r="H258" s="125" t="n">
        <f aca="false">G258+$H$7</f>
        <v>3</v>
      </c>
      <c r="I258" s="124" t="n">
        <f aca="false">H258</f>
        <v>3</v>
      </c>
      <c r="J258" s="124" t="n">
        <f aca="false">VLOOKUP($A258,Table,MATCH(J$4,Curves,0))</f>
        <v>4</v>
      </c>
      <c r="K258" s="125" t="n">
        <f aca="false">J258+$K$7</f>
        <v>4</v>
      </c>
      <c r="L258" s="126" t="n">
        <f aca="false">K258</f>
        <v>4</v>
      </c>
      <c r="M258" s="124" t="n">
        <f aca="false">VLOOKUP($A258,Table,MATCH(M$4,Curves,0))</f>
        <v>4</v>
      </c>
      <c r="N258" s="125" t="n">
        <f aca="false">M258+$N$7</f>
        <v>4</v>
      </c>
      <c r="O258" s="126" t="n">
        <v>0.12</v>
      </c>
      <c r="P258" s="114"/>
      <c r="Q258" s="126" t="n">
        <f aca="false">M258+J258+G258</f>
        <v>11</v>
      </c>
      <c r="R258" s="126" t="n">
        <f aca="false">N258+K258+H258</f>
        <v>11</v>
      </c>
      <c r="S258" s="126" t="n">
        <f aca="false">O258+L258+I258</f>
        <v>7.12</v>
      </c>
      <c r="T258" s="127"/>
      <c r="U258" s="5" t="n">
        <f aca="false">A259-A258</f>
        <v>31</v>
      </c>
      <c r="V258" s="128" t="n">
        <f aca="false">CHOOSE(F$3,A259+24,A258)</f>
        <v>44835</v>
      </c>
      <c r="W258" s="5" t="n">
        <f aca="false">V258-C$3</f>
        <v>7604</v>
      </c>
      <c r="X258" s="124" t="n">
        <f aca="false">VLOOKUP($A258,Table,MATCH(X$4,Curves,0))</f>
        <v>2</v>
      </c>
      <c r="Y258" s="129" t="n">
        <f aca="false">1/(1+CHOOSE(F$3,(X259+($K$3/10000))/2,(X258+($K$3/10000))/2))^(2*W258/365.25)</f>
        <v>2.92377129193503E-013</v>
      </c>
      <c r="Z258" s="5" t="n">
        <f aca="false">IF(AND(mthbeg&lt;=A258,mthend&gt;=A258),1,0)</f>
        <v>0</v>
      </c>
      <c r="AA258" s="5" t="n">
        <f aca="false">U258*Z258</f>
        <v>0</v>
      </c>
      <c r="AC258" s="115" t="n">
        <f aca="false">IF(G251=2,F258*(S258-Q258),F258*(Q258-S258))</f>
        <v>0</v>
      </c>
      <c r="AE258" s="116" t="n">
        <f aca="false">IF($G$3=1,F258*(R258-Q258),F258*(Q258-R258))</f>
        <v>0</v>
      </c>
      <c r="AG258" s="116" t="n">
        <f aca="false">AC258+AE258</f>
        <v>0</v>
      </c>
    </row>
    <row r="259" customFormat="false" ht="12" hidden="false" customHeight="true" outlineLevel="0" collapsed="false">
      <c r="A259" s="120" t="n">
        <f aca="false">EDATE(A258,1)</f>
        <v>44866</v>
      </c>
      <c r="B259" s="121" t="e">
        <f aca="false">VLOOKUP(A259,'Inputs-Summary'!$A$32:$E$41,3,FALSE())</f>
        <v>#N/A</v>
      </c>
      <c r="C259" s="122"/>
      <c r="D259" s="123" t="e">
        <f aca="false">B259+C259</f>
        <v>#N/A</v>
      </c>
      <c r="E259" s="111" t="n">
        <f aca="false">IF(Z259=0,0,IF(AND(Z259=1,$H$3=1),D259*U259,IF($H$3=2,D259,"N/A")))</f>
        <v>0</v>
      </c>
      <c r="F259" s="111" t="n">
        <f aca="false">E259*Y259</f>
        <v>0</v>
      </c>
      <c r="G259" s="124" t="n">
        <f aca="false">VLOOKUP($A259,Table,MATCH(G$4,Curves,0))</f>
        <v>3</v>
      </c>
      <c r="H259" s="125" t="n">
        <f aca="false">G259+$H$7</f>
        <v>3</v>
      </c>
      <c r="I259" s="124" t="n">
        <f aca="false">H259</f>
        <v>3</v>
      </c>
      <c r="J259" s="124" t="n">
        <f aca="false">VLOOKUP($A259,Table,MATCH(J$4,Curves,0))</f>
        <v>4</v>
      </c>
      <c r="K259" s="125" t="n">
        <f aca="false">J259+$K$7</f>
        <v>4</v>
      </c>
      <c r="L259" s="126" t="n">
        <f aca="false">K259</f>
        <v>4</v>
      </c>
      <c r="M259" s="124" t="n">
        <f aca="false">VLOOKUP($A259,Table,MATCH(M$4,Curves,0))</f>
        <v>4</v>
      </c>
      <c r="N259" s="125" t="n">
        <f aca="false">M259+$N$7</f>
        <v>4</v>
      </c>
      <c r="O259" s="126" t="n">
        <v>0.12</v>
      </c>
      <c r="P259" s="114"/>
      <c r="Q259" s="126" t="n">
        <f aca="false">M259+J259+G259</f>
        <v>11</v>
      </c>
      <c r="R259" s="126" t="n">
        <f aca="false">N259+K259+H259</f>
        <v>11</v>
      </c>
      <c r="S259" s="126" t="n">
        <f aca="false">O259+L259+I259</f>
        <v>7.12</v>
      </c>
      <c r="T259" s="127"/>
      <c r="U259" s="5" t="n">
        <f aca="false">A260-A259</f>
        <v>30</v>
      </c>
      <c r="V259" s="128" t="n">
        <f aca="false">CHOOSE(F$3,A260+24,A259)</f>
        <v>44866</v>
      </c>
      <c r="W259" s="5" t="n">
        <f aca="false">V259-C$3</f>
        <v>7635</v>
      </c>
      <c r="X259" s="124" t="n">
        <f aca="false">VLOOKUP($A259,Table,MATCH(X$4,Curves,0))</f>
        <v>2</v>
      </c>
      <c r="Y259" s="129" t="n">
        <f aca="false">1/(1+CHOOSE(F$3,(X260+($K$3/10000))/2,(X259+($K$3/10000))/2))^(2*W259/365.25)</f>
        <v>2.59922894376509E-013</v>
      </c>
      <c r="Z259" s="5" t="n">
        <f aca="false">IF(AND(mthbeg&lt;=A259,mthend&gt;=A259),1,0)</f>
        <v>0</v>
      </c>
      <c r="AA259" s="5" t="n">
        <f aca="false">U259*Z259</f>
        <v>0</v>
      </c>
      <c r="AC259" s="115" t="n">
        <f aca="false">IF(G252=2,F259*(S259-Q259),F259*(Q259-S259))</f>
        <v>0</v>
      </c>
      <c r="AE259" s="116" t="n">
        <f aca="false">IF($G$3=1,F259*(R259-Q259),F259*(Q259-R259))</f>
        <v>0</v>
      </c>
      <c r="AG259" s="116" t="n">
        <f aca="false">AC259+AE259</f>
        <v>0</v>
      </c>
    </row>
    <row r="260" customFormat="false" ht="12" hidden="false" customHeight="true" outlineLevel="0" collapsed="false">
      <c r="A260" s="120" t="n">
        <f aca="false">EDATE(A259,1)</f>
        <v>44896</v>
      </c>
      <c r="B260" s="121" t="e">
        <f aca="false">VLOOKUP(A260,'Inputs-Summary'!$A$32:$E$41,3,FALSE())</f>
        <v>#N/A</v>
      </c>
      <c r="C260" s="122"/>
      <c r="D260" s="123" t="e">
        <f aca="false">B260+C260</f>
        <v>#N/A</v>
      </c>
      <c r="E260" s="111" t="n">
        <f aca="false">IF(Z260=0,0,IF(AND(Z260=1,$H$3=1),D260*U260,IF($H$3=2,D260,"N/A")))</f>
        <v>0</v>
      </c>
      <c r="F260" s="111" t="n">
        <f aca="false">E260*Y260</f>
        <v>0</v>
      </c>
      <c r="G260" s="124" t="n">
        <f aca="false">VLOOKUP($A260,Table,MATCH(G$4,Curves,0))</f>
        <v>3</v>
      </c>
      <c r="H260" s="125" t="n">
        <f aca="false">G260+$H$7</f>
        <v>3</v>
      </c>
      <c r="I260" s="124" t="n">
        <f aca="false">H260</f>
        <v>3</v>
      </c>
      <c r="J260" s="124" t="n">
        <f aca="false">VLOOKUP($A260,Table,MATCH(J$4,Curves,0))</f>
        <v>4</v>
      </c>
      <c r="K260" s="125" t="n">
        <f aca="false">J260+$K$7</f>
        <v>4</v>
      </c>
      <c r="L260" s="126" t="n">
        <f aca="false">K260</f>
        <v>4</v>
      </c>
      <c r="M260" s="124" t="n">
        <f aca="false">VLOOKUP($A260,Table,MATCH(M$4,Curves,0))</f>
        <v>4</v>
      </c>
      <c r="N260" s="125" t="n">
        <f aca="false">M260+$N$7</f>
        <v>4</v>
      </c>
      <c r="O260" s="126" t="n">
        <v>0.12</v>
      </c>
      <c r="P260" s="114"/>
      <c r="Q260" s="126" t="n">
        <f aca="false">M260+J260+G260</f>
        <v>11</v>
      </c>
      <c r="R260" s="126" t="n">
        <f aca="false">N260+K260+H260</f>
        <v>11</v>
      </c>
      <c r="S260" s="126" t="n">
        <f aca="false">O260+L260+I260</f>
        <v>7.12</v>
      </c>
      <c r="T260" s="127"/>
      <c r="U260" s="5" t="n">
        <f aca="false">A261-A260</f>
        <v>31</v>
      </c>
      <c r="V260" s="128" t="n">
        <f aca="false">CHOOSE(F$3,A261+24,A260)</f>
        <v>44896</v>
      </c>
      <c r="W260" s="5" t="n">
        <f aca="false">V260-C$3</f>
        <v>7665</v>
      </c>
      <c r="X260" s="124" t="n">
        <f aca="false">VLOOKUP($A260,Table,MATCH(X$4,Curves,0))</f>
        <v>2</v>
      </c>
      <c r="Y260" s="129" t="n">
        <f aca="false">1/(1+CHOOSE(F$3,(X261+($K$3/10000))/2,(X260+($K$3/10000))/2))^(2*W260/365.25)</f>
        <v>2.31949810383533E-013</v>
      </c>
      <c r="Z260" s="5" t="n">
        <f aca="false">IF(AND(mthbeg&lt;=A260,mthend&gt;=A260),1,0)</f>
        <v>0</v>
      </c>
      <c r="AA260" s="5" t="n">
        <f aca="false">U260*Z260</f>
        <v>0</v>
      </c>
      <c r="AC260" s="115" t="n">
        <f aca="false">IF(G253=2,F260*(S260-Q260),F260*(Q260-S260))</f>
        <v>0</v>
      </c>
      <c r="AE260" s="116" t="n">
        <f aca="false">IF($G$3=1,F260*(R260-Q260),F260*(Q260-R260))</f>
        <v>0</v>
      </c>
      <c r="AG260" s="116" t="n">
        <f aca="false">AC260+AE260</f>
        <v>0</v>
      </c>
    </row>
    <row r="261" customFormat="false" ht="12" hidden="false" customHeight="true" outlineLevel="0" collapsed="false">
      <c r="A261" s="120" t="n">
        <f aca="false">EDATE(A260,1)</f>
        <v>44927</v>
      </c>
      <c r="B261" s="121" t="e">
        <f aca="false">VLOOKUP(A261,'Inputs-Summary'!$A$32:$E$41,3,FALSE())</f>
        <v>#N/A</v>
      </c>
      <c r="C261" s="122"/>
      <c r="D261" s="123" t="e">
        <f aca="false">B261+C261</f>
        <v>#N/A</v>
      </c>
      <c r="E261" s="111" t="n">
        <f aca="false">IF(Z261=0,0,IF(AND(Z261=1,$H$3=1),D261*U261,IF($H$3=2,D261,"N/A")))</f>
        <v>0</v>
      </c>
      <c r="F261" s="111" t="n">
        <f aca="false">E261*Y261</f>
        <v>0</v>
      </c>
      <c r="G261" s="124" t="n">
        <f aca="false">VLOOKUP($A261,Table,MATCH(G$4,Curves,0))</f>
        <v>3</v>
      </c>
      <c r="H261" s="125" t="n">
        <f aca="false">G261+$H$7</f>
        <v>3</v>
      </c>
      <c r="I261" s="124" t="n">
        <f aca="false">H261</f>
        <v>3</v>
      </c>
      <c r="J261" s="124" t="n">
        <f aca="false">VLOOKUP($A261,Table,MATCH(J$4,Curves,0))</f>
        <v>4</v>
      </c>
      <c r="K261" s="125" t="n">
        <f aca="false">J261+$K$7</f>
        <v>4</v>
      </c>
      <c r="L261" s="126" t="n">
        <f aca="false">K261</f>
        <v>4</v>
      </c>
      <c r="M261" s="124" t="n">
        <f aca="false">VLOOKUP($A261,Table,MATCH(M$4,Curves,0))</f>
        <v>4</v>
      </c>
      <c r="N261" s="125" t="n">
        <f aca="false">M261+$N$7</f>
        <v>4</v>
      </c>
      <c r="O261" s="126" t="n">
        <v>0.12</v>
      </c>
      <c r="P261" s="114"/>
      <c r="Q261" s="126" t="n">
        <f aca="false">M261+J261+G261</f>
        <v>11</v>
      </c>
      <c r="R261" s="126" t="n">
        <f aca="false">N261+K261+H261</f>
        <v>11</v>
      </c>
      <c r="S261" s="126" t="n">
        <f aca="false">O261+L261+I261</f>
        <v>7.12</v>
      </c>
      <c r="T261" s="127"/>
      <c r="U261" s="5" t="n">
        <f aca="false">A262-A261</f>
        <v>31</v>
      </c>
      <c r="V261" s="128" t="n">
        <f aca="false">CHOOSE(F$3,A262+24,A261)</f>
        <v>44927</v>
      </c>
      <c r="W261" s="5" t="n">
        <f aca="false">V261-C$3</f>
        <v>7696</v>
      </c>
      <c r="X261" s="124" t="n">
        <f aca="false">VLOOKUP($A261,Table,MATCH(X$4,Curves,0))</f>
        <v>2</v>
      </c>
      <c r="Y261" s="129" t="n">
        <f aca="false">1/(1+CHOOSE(F$3,(X262+($K$3/10000))/2,(X261+($K$3/10000))/2))^(2*W261/365.25)</f>
        <v>2.06203085143056E-013</v>
      </c>
      <c r="Z261" s="5" t="n">
        <f aca="false">IF(AND(mthbeg&lt;=A261,mthend&gt;=A261),1,0)</f>
        <v>0</v>
      </c>
      <c r="AA261" s="5" t="n">
        <f aca="false">U261*Z261</f>
        <v>0</v>
      </c>
      <c r="AC261" s="115" t="n">
        <f aca="false">IF(G254=2,F261*(S261-Q261),F261*(Q261-S261))</f>
        <v>0</v>
      </c>
      <c r="AE261" s="116" t="n">
        <f aca="false">IF($G$3=1,F261*(R261-Q261),F261*(Q261-R261))</f>
        <v>0</v>
      </c>
      <c r="AG261" s="116" t="n">
        <f aca="false">AC261+AE261</f>
        <v>0</v>
      </c>
    </row>
    <row r="262" customFormat="false" ht="12" hidden="false" customHeight="true" outlineLevel="0" collapsed="false">
      <c r="A262" s="120" t="n">
        <f aca="false">EDATE(A261,1)</f>
        <v>44958</v>
      </c>
      <c r="B262" s="121" t="e">
        <f aca="false">VLOOKUP(A262,'Inputs-Summary'!$A$32:$E$41,3,FALSE())</f>
        <v>#N/A</v>
      </c>
      <c r="C262" s="122"/>
      <c r="D262" s="123" t="e">
        <f aca="false">B262+C262</f>
        <v>#N/A</v>
      </c>
      <c r="E262" s="111" t="n">
        <f aca="false">IF(Z262=0,0,IF(AND(Z262=1,$H$3=1),D262*U262,IF($H$3=2,D262,"N/A")))</f>
        <v>0</v>
      </c>
      <c r="F262" s="111" t="n">
        <f aca="false">E262*Y262</f>
        <v>0</v>
      </c>
      <c r="G262" s="124" t="n">
        <f aca="false">VLOOKUP($A262,Table,MATCH(G$4,Curves,0))</f>
        <v>3</v>
      </c>
      <c r="H262" s="125" t="n">
        <f aca="false">G262+$H$7</f>
        <v>3</v>
      </c>
      <c r="I262" s="124" t="n">
        <f aca="false">H262</f>
        <v>3</v>
      </c>
      <c r="J262" s="124" t="n">
        <f aca="false">VLOOKUP($A262,Table,MATCH(J$4,Curves,0))</f>
        <v>4</v>
      </c>
      <c r="K262" s="125" t="n">
        <f aca="false">J262+$K$7</f>
        <v>4</v>
      </c>
      <c r="L262" s="126" t="n">
        <f aca="false">K262</f>
        <v>4</v>
      </c>
      <c r="M262" s="124" t="n">
        <f aca="false">VLOOKUP($A262,Table,MATCH(M$4,Curves,0))</f>
        <v>4</v>
      </c>
      <c r="N262" s="125" t="n">
        <f aca="false">M262+$N$7</f>
        <v>4</v>
      </c>
      <c r="O262" s="126" t="n">
        <v>0.12</v>
      </c>
      <c r="P262" s="114"/>
      <c r="Q262" s="126" t="n">
        <f aca="false">M262+J262+G262</f>
        <v>11</v>
      </c>
      <c r="R262" s="126" t="n">
        <f aca="false">N262+K262+H262</f>
        <v>11</v>
      </c>
      <c r="S262" s="126" t="n">
        <f aca="false">O262+L262+I262</f>
        <v>7.12</v>
      </c>
      <c r="T262" s="127"/>
      <c r="U262" s="5" t="n">
        <f aca="false">A263-A262</f>
        <v>28</v>
      </c>
      <c r="V262" s="128" t="n">
        <f aca="false">CHOOSE(F$3,A263+24,A262)</f>
        <v>44958</v>
      </c>
      <c r="W262" s="5" t="n">
        <f aca="false">V262-C$3</f>
        <v>7727</v>
      </c>
      <c r="X262" s="124" t="n">
        <f aca="false">VLOOKUP($A262,Table,MATCH(X$4,Curves,0))</f>
        <v>2</v>
      </c>
      <c r="Y262" s="129" t="n">
        <f aca="false">1/(1+CHOOSE(F$3,(X263+($K$3/10000))/2,(X262+($K$3/10000))/2))^(2*W262/365.25)</f>
        <v>1.83314279292608E-013</v>
      </c>
      <c r="Z262" s="5" t="n">
        <f aca="false">IF(AND(mthbeg&lt;=A262,mthend&gt;=A262),1,0)</f>
        <v>0</v>
      </c>
      <c r="AA262" s="5" t="n">
        <f aca="false">U262*Z262</f>
        <v>0</v>
      </c>
      <c r="AC262" s="115" t="n">
        <f aca="false">IF(G255=2,F262*(S262-Q262),F262*(Q262-S262))</f>
        <v>0</v>
      </c>
      <c r="AE262" s="116" t="n">
        <f aca="false">IF($G$3=1,F262*(R262-Q262),F262*(Q262-R262))</f>
        <v>0</v>
      </c>
      <c r="AG262" s="116" t="n">
        <f aca="false">AC262+AE262</f>
        <v>0</v>
      </c>
    </row>
    <row r="263" customFormat="false" ht="12" hidden="false" customHeight="true" outlineLevel="0" collapsed="false">
      <c r="A263" s="120" t="n">
        <f aca="false">EDATE(A262,1)</f>
        <v>44986</v>
      </c>
      <c r="B263" s="121" t="e">
        <f aca="false">VLOOKUP(A263,'Inputs-Summary'!$A$32:$E$41,3,FALSE())</f>
        <v>#N/A</v>
      </c>
      <c r="C263" s="122"/>
      <c r="D263" s="123" t="e">
        <f aca="false">B263+C263</f>
        <v>#N/A</v>
      </c>
      <c r="E263" s="111" t="n">
        <f aca="false">IF(Z263=0,0,IF(AND(Z263=1,$H$3=1),D263*U263,IF($H$3=2,D263,"N/A")))</f>
        <v>0</v>
      </c>
      <c r="F263" s="111" t="n">
        <f aca="false">E263*Y263</f>
        <v>0</v>
      </c>
      <c r="G263" s="124" t="n">
        <f aca="false">VLOOKUP($A263,Table,MATCH(G$4,Curves,0))</f>
        <v>3</v>
      </c>
      <c r="H263" s="125" t="n">
        <f aca="false">G263+$H$7</f>
        <v>3</v>
      </c>
      <c r="I263" s="124" t="n">
        <f aca="false">H263</f>
        <v>3</v>
      </c>
      <c r="J263" s="124" t="n">
        <f aca="false">VLOOKUP($A263,Table,MATCH(J$4,Curves,0))</f>
        <v>4</v>
      </c>
      <c r="K263" s="125" t="n">
        <f aca="false">J263+$K$7</f>
        <v>4</v>
      </c>
      <c r="L263" s="126" t="n">
        <f aca="false">K263</f>
        <v>4</v>
      </c>
      <c r="M263" s="124" t="n">
        <f aca="false">VLOOKUP($A263,Table,MATCH(M$4,Curves,0))</f>
        <v>4</v>
      </c>
      <c r="N263" s="125" t="n">
        <f aca="false">M263+$N$7</f>
        <v>4</v>
      </c>
      <c r="O263" s="126" t="n">
        <v>0.12</v>
      </c>
      <c r="P263" s="114"/>
      <c r="Q263" s="126" t="n">
        <f aca="false">M263+J263+G263</f>
        <v>11</v>
      </c>
      <c r="R263" s="126" t="n">
        <f aca="false">N263+K263+H263</f>
        <v>11</v>
      </c>
      <c r="S263" s="126" t="n">
        <f aca="false">O263+L263+I263</f>
        <v>7.12</v>
      </c>
      <c r="T263" s="127"/>
      <c r="U263" s="5" t="n">
        <f aca="false">A264-A263</f>
        <v>31</v>
      </c>
      <c r="V263" s="128" t="n">
        <f aca="false">CHOOSE(F$3,A264+24,A263)</f>
        <v>44986</v>
      </c>
      <c r="W263" s="5" t="n">
        <f aca="false">V263-C$3</f>
        <v>7755</v>
      </c>
      <c r="X263" s="124" t="n">
        <f aca="false">VLOOKUP($A263,Table,MATCH(X$4,Curves,0))</f>
        <v>2</v>
      </c>
      <c r="Y263" s="129" t="n">
        <f aca="false">1/(1+CHOOSE(F$3,(X264+($K$3/10000))/2,(X263+($K$3/10000))/2))^(2*W263/365.25)</f>
        <v>1.64832362733769E-013</v>
      </c>
      <c r="Z263" s="5" t="n">
        <f aca="false">IF(AND(mthbeg&lt;=A263,mthend&gt;=A263),1,0)</f>
        <v>0</v>
      </c>
      <c r="AA263" s="5" t="n">
        <f aca="false">U263*Z263</f>
        <v>0</v>
      </c>
      <c r="AC263" s="115" t="n">
        <f aca="false">IF(G256=2,F263*(S263-Q263),F263*(Q263-S263))</f>
        <v>0</v>
      </c>
      <c r="AE263" s="116" t="n">
        <f aca="false">IF($G$3=1,F263*(R263-Q263),F263*(Q263-R263))</f>
        <v>0</v>
      </c>
      <c r="AG263" s="116" t="n">
        <f aca="false">AC263+AE263</f>
        <v>0</v>
      </c>
    </row>
    <row r="264" customFormat="false" ht="12" hidden="false" customHeight="true" outlineLevel="0" collapsed="false">
      <c r="A264" s="120" t="n">
        <f aca="false">EDATE(A263,1)</f>
        <v>45017</v>
      </c>
      <c r="B264" s="121" t="e">
        <f aca="false">VLOOKUP(A264,'Inputs-Summary'!$A$32:$E$41,3,FALSE())</f>
        <v>#N/A</v>
      </c>
      <c r="C264" s="122"/>
      <c r="D264" s="123" t="e">
        <f aca="false">B264+C264</f>
        <v>#N/A</v>
      </c>
      <c r="E264" s="111" t="n">
        <f aca="false">IF(Z264=0,0,IF(AND(Z264=1,$H$3=1),D264*U264,IF($H$3=2,D264,"N/A")))</f>
        <v>0</v>
      </c>
      <c r="F264" s="111" t="n">
        <f aca="false">E264*Y264</f>
        <v>0</v>
      </c>
      <c r="G264" s="124" t="n">
        <f aca="false">VLOOKUP($A264,Table,MATCH(G$4,Curves,0))</f>
        <v>3</v>
      </c>
      <c r="H264" s="125" t="n">
        <f aca="false">G264+$H$7</f>
        <v>3</v>
      </c>
      <c r="I264" s="124" t="n">
        <f aca="false">H264</f>
        <v>3</v>
      </c>
      <c r="J264" s="124" t="n">
        <f aca="false">VLOOKUP($A264,Table,MATCH(J$4,Curves,0))</f>
        <v>4</v>
      </c>
      <c r="K264" s="125" t="n">
        <f aca="false">J264+$K$7</f>
        <v>4</v>
      </c>
      <c r="L264" s="126" t="n">
        <f aca="false">K264</f>
        <v>4</v>
      </c>
      <c r="M264" s="124" t="n">
        <f aca="false">VLOOKUP($A264,Table,MATCH(M$4,Curves,0))</f>
        <v>4</v>
      </c>
      <c r="N264" s="125" t="n">
        <f aca="false">M264+$N$7</f>
        <v>4</v>
      </c>
      <c r="O264" s="126" t="n">
        <v>0.12</v>
      </c>
      <c r="P264" s="114"/>
      <c r="Q264" s="126" t="n">
        <f aca="false">M264+J264+G264</f>
        <v>11</v>
      </c>
      <c r="R264" s="126" t="n">
        <f aca="false">N264+K264+H264</f>
        <v>11</v>
      </c>
      <c r="S264" s="126" t="n">
        <f aca="false">O264+L264+I264</f>
        <v>7.12</v>
      </c>
      <c r="T264" s="127"/>
      <c r="U264" s="5" t="n">
        <f aca="false">A265-A264</f>
        <v>30</v>
      </c>
      <c r="V264" s="128" t="n">
        <f aca="false">CHOOSE(F$3,A265+24,A264)</f>
        <v>45017</v>
      </c>
      <c r="W264" s="5" t="n">
        <f aca="false">V264-C$3</f>
        <v>7786</v>
      </c>
      <c r="X264" s="124" t="n">
        <f aca="false">VLOOKUP($A264,Table,MATCH(X$4,Curves,0))</f>
        <v>2</v>
      </c>
      <c r="Y264" s="129" t="n">
        <f aca="false">1/(1+CHOOSE(F$3,(X265+($K$3/10000))/2,(X264+($K$3/10000))/2))^(2*W264/365.25)</f>
        <v>1.4653575991686E-013</v>
      </c>
      <c r="Z264" s="5" t="n">
        <f aca="false">IF(AND(mthbeg&lt;=A264,mthend&gt;=A264),1,0)</f>
        <v>0</v>
      </c>
      <c r="AA264" s="5" t="n">
        <f aca="false">U264*Z264</f>
        <v>0</v>
      </c>
      <c r="AC264" s="115" t="n">
        <f aca="false">IF(G257=2,F264*(S264-Q264),F264*(Q264-S264))</f>
        <v>0</v>
      </c>
      <c r="AE264" s="116" t="n">
        <f aca="false">IF($G$3=1,F264*(R264-Q264),F264*(Q264-R264))</f>
        <v>0</v>
      </c>
      <c r="AG264" s="116" t="n">
        <f aca="false">AC264+AE264</f>
        <v>0</v>
      </c>
    </row>
    <row r="265" customFormat="false" ht="12" hidden="false" customHeight="true" outlineLevel="0" collapsed="false">
      <c r="A265" s="120" t="n">
        <f aca="false">EDATE(A264,1)</f>
        <v>45047</v>
      </c>
      <c r="B265" s="121" t="e">
        <f aca="false">VLOOKUP(A265,'Inputs-Summary'!$A$32:$E$41,3,FALSE())</f>
        <v>#N/A</v>
      </c>
      <c r="C265" s="122"/>
      <c r="D265" s="123" t="e">
        <f aca="false">B265+C265</f>
        <v>#N/A</v>
      </c>
      <c r="E265" s="111" t="n">
        <f aca="false">IF(Z265=0,0,IF(AND(Z265=1,$H$3=1),D265*U265,IF($H$3=2,D265,"N/A")))</f>
        <v>0</v>
      </c>
      <c r="F265" s="111" t="n">
        <f aca="false">E265*Y265</f>
        <v>0</v>
      </c>
      <c r="G265" s="124" t="n">
        <f aca="false">VLOOKUP($A265,Table,MATCH(G$4,Curves,0))</f>
        <v>3</v>
      </c>
      <c r="H265" s="125" t="n">
        <f aca="false">G265+$H$7</f>
        <v>3</v>
      </c>
      <c r="I265" s="124" t="n">
        <f aca="false">H265</f>
        <v>3</v>
      </c>
      <c r="J265" s="124" t="n">
        <f aca="false">VLOOKUP($A265,Table,MATCH(J$4,Curves,0))</f>
        <v>4</v>
      </c>
      <c r="K265" s="125" t="n">
        <f aca="false">J265+$K$7</f>
        <v>4</v>
      </c>
      <c r="L265" s="126" t="n">
        <f aca="false">K265</f>
        <v>4</v>
      </c>
      <c r="M265" s="124" t="n">
        <f aca="false">VLOOKUP($A265,Table,MATCH(M$4,Curves,0))</f>
        <v>4</v>
      </c>
      <c r="N265" s="125" t="n">
        <f aca="false">M265+$N$7</f>
        <v>4</v>
      </c>
      <c r="O265" s="126" t="n">
        <v>0.12</v>
      </c>
      <c r="P265" s="114"/>
      <c r="Q265" s="126" t="n">
        <f aca="false">M265+J265+G265</f>
        <v>11</v>
      </c>
      <c r="R265" s="126" t="n">
        <f aca="false">N265+K265+H265</f>
        <v>11</v>
      </c>
      <c r="S265" s="126" t="n">
        <f aca="false">O265+L265+I265</f>
        <v>7.12</v>
      </c>
      <c r="T265" s="127"/>
      <c r="U265" s="5" t="n">
        <f aca="false">A266-A265</f>
        <v>31</v>
      </c>
      <c r="V265" s="128" t="n">
        <f aca="false">CHOOSE(F$3,A266+24,A265)</f>
        <v>45047</v>
      </c>
      <c r="W265" s="5" t="n">
        <f aca="false">V265-C$3</f>
        <v>7816</v>
      </c>
      <c r="X265" s="124" t="n">
        <f aca="false">VLOOKUP($A265,Table,MATCH(X$4,Curves,0))</f>
        <v>2</v>
      </c>
      <c r="Y265" s="129" t="n">
        <f aca="false">1/(1+CHOOSE(F$3,(X266+($K$3/10000))/2,(X265+($K$3/10000))/2))^(2*W265/365.25)</f>
        <v>1.3076547877267E-013</v>
      </c>
      <c r="Z265" s="5" t="n">
        <f aca="false">IF(AND(mthbeg&lt;=A265,mthend&gt;=A265),1,0)</f>
        <v>0</v>
      </c>
      <c r="AA265" s="5" t="n">
        <f aca="false">U265*Z265</f>
        <v>0</v>
      </c>
      <c r="AC265" s="115" t="n">
        <f aca="false">IF(G258=2,F265*(S265-Q265),F265*(Q265-S265))</f>
        <v>0</v>
      </c>
      <c r="AE265" s="116" t="n">
        <f aca="false">IF($G$3=1,F265*(R265-Q265),F265*(Q265-R265))</f>
        <v>0</v>
      </c>
      <c r="AG265" s="116" t="n">
        <f aca="false">AC265+AE265</f>
        <v>0</v>
      </c>
    </row>
    <row r="266" customFormat="false" ht="12" hidden="false" customHeight="true" outlineLevel="0" collapsed="false">
      <c r="A266" s="120" t="n">
        <f aca="false">EDATE(A265,1)</f>
        <v>45078</v>
      </c>
      <c r="B266" s="121" t="e">
        <f aca="false">VLOOKUP(A266,'Inputs-Summary'!$A$32:$E$41,3,FALSE())</f>
        <v>#N/A</v>
      </c>
      <c r="C266" s="122"/>
      <c r="D266" s="123" t="e">
        <f aca="false">B266+C266</f>
        <v>#N/A</v>
      </c>
      <c r="E266" s="111" t="n">
        <f aca="false">IF(Z266=0,0,IF(AND(Z266=1,$H$3=1),D266*U266,IF($H$3=2,D266,"N/A")))</f>
        <v>0</v>
      </c>
      <c r="F266" s="111" t="n">
        <f aca="false">E266*Y266</f>
        <v>0</v>
      </c>
      <c r="G266" s="124" t="n">
        <f aca="false">VLOOKUP($A266,Table,MATCH(G$4,Curves,0))</f>
        <v>3</v>
      </c>
      <c r="H266" s="125" t="n">
        <f aca="false">G266+$H$7</f>
        <v>3</v>
      </c>
      <c r="I266" s="124" t="n">
        <f aca="false">H266</f>
        <v>3</v>
      </c>
      <c r="J266" s="124" t="n">
        <f aca="false">VLOOKUP($A266,Table,MATCH(J$4,Curves,0))</f>
        <v>4</v>
      </c>
      <c r="K266" s="125" t="n">
        <f aca="false">J266+$K$7</f>
        <v>4</v>
      </c>
      <c r="L266" s="126" t="n">
        <f aca="false">K266</f>
        <v>4</v>
      </c>
      <c r="M266" s="124" t="n">
        <f aca="false">VLOOKUP($A266,Table,MATCH(M$4,Curves,0))</f>
        <v>4</v>
      </c>
      <c r="N266" s="125" t="n">
        <f aca="false">M266+$N$7</f>
        <v>4</v>
      </c>
      <c r="O266" s="126" t="n">
        <v>0.12</v>
      </c>
      <c r="P266" s="114"/>
      <c r="Q266" s="126" t="n">
        <f aca="false">M266+J266+G266</f>
        <v>11</v>
      </c>
      <c r="R266" s="126" t="n">
        <f aca="false">N266+K266+H266</f>
        <v>11</v>
      </c>
      <c r="S266" s="126" t="n">
        <f aca="false">O266+L266+I266</f>
        <v>7.12</v>
      </c>
      <c r="T266" s="127"/>
      <c r="U266" s="5" t="n">
        <f aca="false">A267-A266</f>
        <v>30</v>
      </c>
      <c r="V266" s="128" t="n">
        <f aca="false">CHOOSE(F$3,A267+24,A266)</f>
        <v>45078</v>
      </c>
      <c r="W266" s="5" t="n">
        <f aca="false">V266-C$3</f>
        <v>7847</v>
      </c>
      <c r="X266" s="124" t="n">
        <f aca="false">VLOOKUP($A266,Table,MATCH(X$4,Curves,0))</f>
        <v>2</v>
      </c>
      <c r="Y266" s="129" t="n">
        <f aca="false">1/(1+CHOOSE(F$3,(X267+($K$3/10000))/2,(X266+($K$3/10000))/2))^(2*W266/365.25)</f>
        <v>1.16250343591778E-013</v>
      </c>
      <c r="Z266" s="5" t="n">
        <f aca="false">IF(AND(mthbeg&lt;=A266,mthend&gt;=A266),1,0)</f>
        <v>0</v>
      </c>
      <c r="AA266" s="5" t="n">
        <f aca="false">U266*Z266</f>
        <v>0</v>
      </c>
      <c r="AC266" s="115" t="n">
        <f aca="false">IF(G259=2,F266*(S266-Q266),F266*(Q266-S266))</f>
        <v>0</v>
      </c>
      <c r="AE266" s="116" t="n">
        <f aca="false">IF($G$3=1,F266*(R266-Q266),F266*(Q266-R266))</f>
        <v>0</v>
      </c>
      <c r="AG266" s="116" t="n">
        <f aca="false">AC266+AE266</f>
        <v>0</v>
      </c>
    </row>
    <row r="267" customFormat="false" ht="12" hidden="false" customHeight="true" outlineLevel="0" collapsed="false">
      <c r="A267" s="120" t="n">
        <f aca="false">EDATE(A266,1)</f>
        <v>45108</v>
      </c>
      <c r="B267" s="121" t="e">
        <f aca="false">VLOOKUP(A267,'Inputs-Summary'!$A$32:$E$41,3,FALSE())</f>
        <v>#N/A</v>
      </c>
      <c r="C267" s="122"/>
      <c r="D267" s="123" t="e">
        <f aca="false">B267+C267</f>
        <v>#N/A</v>
      </c>
      <c r="E267" s="111" t="n">
        <f aca="false">IF(Z267=0,0,IF(AND(Z267=1,$H$3=1),D267*U267,IF($H$3=2,D267,"N/A")))</f>
        <v>0</v>
      </c>
      <c r="F267" s="111" t="n">
        <f aca="false">E267*Y267</f>
        <v>0</v>
      </c>
      <c r="G267" s="124" t="n">
        <f aca="false">VLOOKUP($A267,Table,MATCH(G$4,Curves,0))</f>
        <v>3</v>
      </c>
      <c r="H267" s="125" t="n">
        <f aca="false">G267+$H$7</f>
        <v>3</v>
      </c>
      <c r="I267" s="124" t="n">
        <f aca="false">H267</f>
        <v>3</v>
      </c>
      <c r="J267" s="124" t="n">
        <f aca="false">VLOOKUP($A267,Table,MATCH(J$4,Curves,0))</f>
        <v>4</v>
      </c>
      <c r="K267" s="125" t="n">
        <f aca="false">J267+$K$7</f>
        <v>4</v>
      </c>
      <c r="L267" s="126" t="n">
        <f aca="false">K267</f>
        <v>4</v>
      </c>
      <c r="M267" s="124" t="n">
        <f aca="false">VLOOKUP($A267,Table,MATCH(M$4,Curves,0))</f>
        <v>4</v>
      </c>
      <c r="N267" s="125" t="n">
        <f aca="false">M267+$N$7</f>
        <v>4</v>
      </c>
      <c r="O267" s="126" t="n">
        <v>0.12</v>
      </c>
      <c r="P267" s="114"/>
      <c r="Q267" s="126" t="n">
        <f aca="false">M267+J267+G267</f>
        <v>11</v>
      </c>
      <c r="R267" s="126" t="n">
        <f aca="false">N267+K267+H267</f>
        <v>11</v>
      </c>
      <c r="S267" s="126" t="n">
        <f aca="false">O267+L267+I267</f>
        <v>7.12</v>
      </c>
      <c r="T267" s="127"/>
      <c r="U267" s="5" t="n">
        <f aca="false">A268-A267</f>
        <v>31</v>
      </c>
      <c r="V267" s="128" t="n">
        <f aca="false">CHOOSE(F$3,A268+24,A267)</f>
        <v>45108</v>
      </c>
      <c r="W267" s="5" t="n">
        <f aca="false">V267-C$3</f>
        <v>7877</v>
      </c>
      <c r="X267" s="124" t="n">
        <f aca="false">VLOOKUP($A267,Table,MATCH(X$4,Curves,0))</f>
        <v>2</v>
      </c>
      <c r="Y267" s="129" t="n">
        <f aca="false">1/(1+CHOOSE(F$3,(X268+($K$3/10000))/2,(X267+($K$3/10000))/2))^(2*W267/365.25)</f>
        <v>1.03739400170246E-013</v>
      </c>
      <c r="Z267" s="5" t="n">
        <f aca="false">IF(AND(mthbeg&lt;=A267,mthend&gt;=A267),1,0)</f>
        <v>0</v>
      </c>
      <c r="AA267" s="5" t="n">
        <f aca="false">U267*Z267</f>
        <v>0</v>
      </c>
      <c r="AC267" s="115" t="n">
        <f aca="false">IF(G260=2,F267*(S267-Q267),F267*(Q267-S267))</f>
        <v>0</v>
      </c>
      <c r="AE267" s="116" t="n">
        <f aca="false">IF($G$3=1,F267*(R267-Q267),F267*(Q267-R267))</f>
        <v>0</v>
      </c>
      <c r="AG267" s="116" t="n">
        <f aca="false">AC267+AE267</f>
        <v>0</v>
      </c>
    </row>
    <row r="268" customFormat="false" ht="12" hidden="false" customHeight="true" outlineLevel="0" collapsed="false">
      <c r="A268" s="120" t="n">
        <f aca="false">EDATE(A267,1)</f>
        <v>45139</v>
      </c>
      <c r="B268" s="121" t="e">
        <f aca="false">VLOOKUP(A268,'Inputs-Summary'!$A$32:$E$41,3,FALSE())</f>
        <v>#N/A</v>
      </c>
      <c r="C268" s="122"/>
      <c r="D268" s="123" t="e">
        <f aca="false">B268+C268</f>
        <v>#N/A</v>
      </c>
      <c r="E268" s="111" t="n">
        <f aca="false">IF(Z268=0,0,IF(AND(Z268=1,$H$3=1),D268*U268,IF($H$3=2,D268,"N/A")))</f>
        <v>0</v>
      </c>
      <c r="F268" s="111" t="n">
        <f aca="false">E268*Y268</f>
        <v>0</v>
      </c>
      <c r="G268" s="124" t="n">
        <f aca="false">VLOOKUP($A268,Table,MATCH(G$4,Curves,0))</f>
        <v>3</v>
      </c>
      <c r="H268" s="125" t="n">
        <f aca="false">G268+$H$7</f>
        <v>3</v>
      </c>
      <c r="I268" s="124" t="n">
        <f aca="false">H268</f>
        <v>3</v>
      </c>
      <c r="J268" s="124" t="n">
        <f aca="false">VLOOKUP($A268,Table,MATCH(J$4,Curves,0))</f>
        <v>4</v>
      </c>
      <c r="K268" s="125" t="n">
        <f aca="false">J268+$K$7</f>
        <v>4</v>
      </c>
      <c r="L268" s="126" t="n">
        <f aca="false">K268</f>
        <v>4</v>
      </c>
      <c r="M268" s="124" t="n">
        <f aca="false">VLOOKUP($A268,Table,MATCH(M$4,Curves,0))</f>
        <v>4</v>
      </c>
      <c r="N268" s="125" t="n">
        <f aca="false">M268+$N$7</f>
        <v>4</v>
      </c>
      <c r="O268" s="126" t="n">
        <v>0.12</v>
      </c>
      <c r="P268" s="114"/>
      <c r="Q268" s="126" t="n">
        <f aca="false">M268+J268+G268</f>
        <v>11</v>
      </c>
      <c r="R268" s="126" t="n">
        <f aca="false">N268+K268+H268</f>
        <v>11</v>
      </c>
      <c r="S268" s="126" t="n">
        <f aca="false">O268+L268+I268</f>
        <v>7.12</v>
      </c>
      <c r="T268" s="127"/>
      <c r="U268" s="5" t="n">
        <f aca="false">A269-A268</f>
        <v>31</v>
      </c>
      <c r="V268" s="128" t="n">
        <f aca="false">CHOOSE(F$3,A269+24,A268)</f>
        <v>45139</v>
      </c>
      <c r="W268" s="5" t="n">
        <f aca="false">V268-C$3</f>
        <v>7908</v>
      </c>
      <c r="X268" s="124" t="n">
        <f aca="false">VLOOKUP($A268,Table,MATCH(X$4,Curves,0))</f>
        <v>2</v>
      </c>
      <c r="Y268" s="129" t="n">
        <f aca="false">1/(1+CHOOSE(F$3,(X269+($K$3/10000))/2,(X268+($K$3/10000))/2))^(2*W268/365.25)</f>
        <v>9.22241942367787E-014</v>
      </c>
      <c r="Z268" s="5" t="n">
        <f aca="false">IF(AND(mthbeg&lt;=A268,mthend&gt;=A268),1,0)</f>
        <v>0</v>
      </c>
      <c r="AA268" s="5" t="n">
        <f aca="false">U268*Z268</f>
        <v>0</v>
      </c>
      <c r="AC268" s="115" t="n">
        <f aca="false">IF(G261=2,F268*(S268-Q268),F268*(Q268-S268))</f>
        <v>0</v>
      </c>
      <c r="AE268" s="116" t="n">
        <f aca="false">IF($G$3=1,F268*(R268-Q268),F268*(Q268-R268))</f>
        <v>0</v>
      </c>
      <c r="AG268" s="116" t="n">
        <f aca="false">AC268+AE268</f>
        <v>0</v>
      </c>
    </row>
    <row r="269" customFormat="false" ht="12" hidden="false" customHeight="true" outlineLevel="0" collapsed="false">
      <c r="A269" s="120" t="n">
        <f aca="false">EDATE(A268,1)</f>
        <v>45170</v>
      </c>
      <c r="B269" s="121" t="e">
        <f aca="false">VLOOKUP(A269,'Inputs-Summary'!$A$32:$E$41,3,FALSE())</f>
        <v>#N/A</v>
      </c>
      <c r="C269" s="122"/>
      <c r="D269" s="123" t="e">
        <f aca="false">B269+C269</f>
        <v>#N/A</v>
      </c>
      <c r="E269" s="111" t="n">
        <f aca="false">IF(Z269=0,0,IF(AND(Z269=1,$H$3=1),D269*U269,IF($H$3=2,D269,"N/A")))</f>
        <v>0</v>
      </c>
      <c r="F269" s="111" t="n">
        <f aca="false">E269*Y269</f>
        <v>0</v>
      </c>
      <c r="G269" s="124" t="n">
        <f aca="false">VLOOKUP($A269,Table,MATCH(G$4,Curves,0))</f>
        <v>3</v>
      </c>
      <c r="H269" s="125" t="n">
        <f aca="false">G269+$H$7</f>
        <v>3</v>
      </c>
      <c r="I269" s="124" t="n">
        <f aca="false">H269</f>
        <v>3</v>
      </c>
      <c r="J269" s="124" t="n">
        <f aca="false">VLOOKUP($A269,Table,MATCH(J$4,Curves,0))</f>
        <v>4</v>
      </c>
      <c r="K269" s="125" t="n">
        <f aca="false">J269+$K$7</f>
        <v>4</v>
      </c>
      <c r="L269" s="126" t="n">
        <f aca="false">K269</f>
        <v>4</v>
      </c>
      <c r="M269" s="124" t="n">
        <f aca="false">VLOOKUP($A269,Table,MATCH(M$4,Curves,0))</f>
        <v>4</v>
      </c>
      <c r="N269" s="125" t="n">
        <f aca="false">M269+$N$7</f>
        <v>4</v>
      </c>
      <c r="O269" s="126" t="n">
        <v>0.12</v>
      </c>
      <c r="P269" s="114"/>
      <c r="Q269" s="126" t="n">
        <f aca="false">M269+J269+G269</f>
        <v>11</v>
      </c>
      <c r="R269" s="126" t="n">
        <f aca="false">N269+K269+H269</f>
        <v>11</v>
      </c>
      <c r="S269" s="126" t="n">
        <f aca="false">O269+L269+I269</f>
        <v>7.12</v>
      </c>
      <c r="T269" s="127"/>
      <c r="U269" s="5" t="n">
        <f aca="false">A270-A269</f>
        <v>30</v>
      </c>
      <c r="V269" s="128" t="n">
        <f aca="false">CHOOSE(F$3,A270+24,A269)</f>
        <v>45170</v>
      </c>
      <c r="W269" s="5" t="n">
        <f aca="false">V269-C$3</f>
        <v>7939</v>
      </c>
      <c r="X269" s="124" t="n">
        <f aca="false">VLOOKUP($A269,Table,MATCH(X$4,Curves,0))</f>
        <v>2</v>
      </c>
      <c r="Y269" s="129" t="n">
        <f aca="false">1/(1+CHOOSE(F$3,(X270+($K$3/10000))/2,(X269+($K$3/10000))/2))^(2*W269/365.25)</f>
        <v>8.19871908712125E-014</v>
      </c>
      <c r="Z269" s="5" t="n">
        <f aca="false">IF(AND(mthbeg&lt;=A269,mthend&gt;=A269),1,0)</f>
        <v>0</v>
      </c>
      <c r="AA269" s="5" t="n">
        <f aca="false">U269*Z269</f>
        <v>0</v>
      </c>
      <c r="AC269" s="115" t="n">
        <f aca="false">IF(G262=2,F269*(S269-Q269),F269*(Q269-S269))</f>
        <v>0</v>
      </c>
      <c r="AE269" s="116" t="n">
        <f aca="false">IF($G$3=1,F269*(R269-Q269),F269*(Q269-R269))</f>
        <v>0</v>
      </c>
      <c r="AG269" s="116" t="n">
        <f aca="false">AC269+AE269</f>
        <v>0</v>
      </c>
    </row>
    <row r="270" customFormat="false" ht="12" hidden="false" customHeight="true" outlineLevel="0" collapsed="false">
      <c r="A270" s="120" t="n">
        <f aca="false">EDATE(A269,1)</f>
        <v>45200</v>
      </c>
      <c r="B270" s="121" t="e">
        <f aca="false">VLOOKUP(A270,'Inputs-Summary'!$A$32:$E$41,3,FALSE())</f>
        <v>#N/A</v>
      </c>
      <c r="C270" s="122"/>
      <c r="D270" s="123" t="e">
        <f aca="false">B270+C270</f>
        <v>#N/A</v>
      </c>
      <c r="E270" s="111" t="n">
        <f aca="false">IF(Z270=0,0,IF(AND(Z270=1,$H$3=1),D270*U270,IF($H$3=2,D270,"N/A")))</f>
        <v>0</v>
      </c>
      <c r="F270" s="111" t="n">
        <f aca="false">E270*Y270</f>
        <v>0</v>
      </c>
      <c r="G270" s="124" t="n">
        <f aca="false">VLOOKUP($A270,Table,MATCH(G$4,Curves,0))</f>
        <v>3</v>
      </c>
      <c r="H270" s="125" t="n">
        <f aca="false">G270+$H$7</f>
        <v>3</v>
      </c>
      <c r="I270" s="124" t="n">
        <f aca="false">H270</f>
        <v>3</v>
      </c>
      <c r="J270" s="124" t="n">
        <f aca="false">VLOOKUP($A270,Table,MATCH(J$4,Curves,0))</f>
        <v>4</v>
      </c>
      <c r="K270" s="125" t="n">
        <f aca="false">J270+$K$7</f>
        <v>4</v>
      </c>
      <c r="L270" s="126" t="n">
        <f aca="false">K270</f>
        <v>4</v>
      </c>
      <c r="M270" s="124" t="n">
        <f aca="false">VLOOKUP($A270,Table,MATCH(M$4,Curves,0))</f>
        <v>4</v>
      </c>
      <c r="N270" s="125" t="n">
        <f aca="false">M270+$N$7</f>
        <v>4</v>
      </c>
      <c r="O270" s="126" t="n">
        <v>0.12</v>
      </c>
      <c r="P270" s="114"/>
      <c r="Q270" s="126" t="n">
        <f aca="false">M270+J270+G270</f>
        <v>11</v>
      </c>
      <c r="R270" s="126" t="n">
        <f aca="false">N270+K270+H270</f>
        <v>11</v>
      </c>
      <c r="S270" s="126" t="n">
        <f aca="false">O270+L270+I270</f>
        <v>7.12</v>
      </c>
      <c r="T270" s="127"/>
      <c r="U270" s="5" t="n">
        <f aca="false">A271-A270</f>
        <v>31</v>
      </c>
      <c r="V270" s="128" t="n">
        <f aca="false">CHOOSE(F$3,A271+24,A270)</f>
        <v>45200</v>
      </c>
      <c r="W270" s="5" t="n">
        <f aca="false">V270-C$3</f>
        <v>7969</v>
      </c>
      <c r="X270" s="124" t="n">
        <f aca="false">VLOOKUP($A270,Table,MATCH(X$4,Curves,0))</f>
        <v>2</v>
      </c>
      <c r="Y270" s="129" t="n">
        <f aca="false">1/(1+CHOOSE(F$3,(X271+($K$3/10000))/2,(X270+($K$3/10000))/2))^(2*W270/365.25)</f>
        <v>7.31636719499951E-014</v>
      </c>
      <c r="Z270" s="5" t="n">
        <f aca="false">IF(AND(mthbeg&lt;=A270,mthend&gt;=A270),1,0)</f>
        <v>0</v>
      </c>
      <c r="AA270" s="5" t="n">
        <f aca="false">U270*Z270</f>
        <v>0</v>
      </c>
      <c r="AC270" s="115" t="n">
        <f aca="false">IF(G263=2,F270*(S270-Q270),F270*(Q270-S270))</f>
        <v>0</v>
      </c>
      <c r="AE270" s="116" t="n">
        <f aca="false">IF($G$3=1,F270*(R270-Q270),F270*(Q270-R270))</f>
        <v>0</v>
      </c>
      <c r="AG270" s="116" t="n">
        <f aca="false">AC270+AE270</f>
        <v>0</v>
      </c>
    </row>
    <row r="271" customFormat="false" ht="12" hidden="false" customHeight="true" outlineLevel="0" collapsed="false">
      <c r="A271" s="120" t="n">
        <f aca="false">EDATE(A270,1)</f>
        <v>45231</v>
      </c>
      <c r="B271" s="121" t="e">
        <f aca="false">VLOOKUP(A271,'Inputs-Summary'!$A$32:$E$41,3,FALSE())</f>
        <v>#N/A</v>
      </c>
      <c r="C271" s="122"/>
      <c r="D271" s="123" t="e">
        <f aca="false">B271+C271</f>
        <v>#N/A</v>
      </c>
      <c r="E271" s="111" t="n">
        <f aca="false">IF(Z271=0,0,IF(AND(Z271=1,$H$3=1),D271*U271,IF($H$3=2,D271,"N/A")))</f>
        <v>0</v>
      </c>
      <c r="F271" s="111" t="n">
        <f aca="false">E271*Y271</f>
        <v>0</v>
      </c>
      <c r="G271" s="124" t="n">
        <f aca="false">VLOOKUP($A271,Table,MATCH(G$4,Curves,0))</f>
        <v>3</v>
      </c>
      <c r="H271" s="125" t="n">
        <f aca="false">G271+$H$7</f>
        <v>3</v>
      </c>
      <c r="I271" s="124" t="n">
        <f aca="false">H271</f>
        <v>3</v>
      </c>
      <c r="J271" s="124" t="n">
        <f aca="false">VLOOKUP($A271,Table,MATCH(J$4,Curves,0))</f>
        <v>4</v>
      </c>
      <c r="K271" s="125" t="n">
        <f aca="false">J271+$K$7</f>
        <v>4</v>
      </c>
      <c r="L271" s="126" t="n">
        <f aca="false">K271</f>
        <v>4</v>
      </c>
      <c r="M271" s="124" t="n">
        <f aca="false">VLOOKUP($A271,Table,MATCH(M$4,Curves,0))</f>
        <v>4</v>
      </c>
      <c r="N271" s="125" t="n">
        <f aca="false">M271+$N$7</f>
        <v>4</v>
      </c>
      <c r="O271" s="126" t="n">
        <v>0.12</v>
      </c>
      <c r="P271" s="114"/>
      <c r="Q271" s="126" t="n">
        <f aca="false">M271+J271+G271</f>
        <v>11</v>
      </c>
      <c r="R271" s="126" t="n">
        <f aca="false">N271+K271+H271</f>
        <v>11</v>
      </c>
      <c r="S271" s="126" t="n">
        <f aca="false">O271+L271+I271</f>
        <v>7.12</v>
      </c>
      <c r="T271" s="127"/>
      <c r="U271" s="5" t="n">
        <f aca="false">A272-A271</f>
        <v>30</v>
      </c>
      <c r="V271" s="128" t="n">
        <f aca="false">CHOOSE(F$3,A272+24,A271)</f>
        <v>45231</v>
      </c>
      <c r="W271" s="5" t="n">
        <f aca="false">V271-C$3</f>
        <v>8000</v>
      </c>
      <c r="X271" s="124" t="n">
        <f aca="false">VLOOKUP($A271,Table,MATCH(X$4,Curves,0))</f>
        <v>2</v>
      </c>
      <c r="Y271" s="129" t="n">
        <f aca="false">1/(1+CHOOSE(F$3,(X272+($K$3/10000))/2,(X271+($K$3/10000))/2))^(2*W271/365.25)</f>
        <v>6.50424109057799E-014</v>
      </c>
      <c r="Z271" s="5" t="n">
        <f aca="false">IF(AND(mthbeg&lt;=A271,mthend&gt;=A271),1,0)</f>
        <v>0</v>
      </c>
      <c r="AA271" s="5" t="n">
        <f aca="false">U271*Z271</f>
        <v>0</v>
      </c>
      <c r="AC271" s="115" t="n">
        <f aca="false">IF(G264=2,F271*(S271-Q271),F271*(Q271-S271))</f>
        <v>0</v>
      </c>
      <c r="AE271" s="116" t="n">
        <f aca="false">IF($G$3=1,F271*(R271-Q271),F271*(Q271-R271))</f>
        <v>0</v>
      </c>
      <c r="AG271" s="116" t="n">
        <f aca="false">AC271+AE271</f>
        <v>0</v>
      </c>
    </row>
    <row r="272" customFormat="false" ht="12" hidden="false" customHeight="true" outlineLevel="0" collapsed="false">
      <c r="A272" s="120" t="n">
        <f aca="false">EDATE(A271,1)</f>
        <v>45261</v>
      </c>
      <c r="B272" s="121" t="e">
        <f aca="false">VLOOKUP(A272,'Inputs-Summary'!$A$32:$E$41,3,FALSE())</f>
        <v>#N/A</v>
      </c>
      <c r="C272" s="122"/>
      <c r="D272" s="123" t="e">
        <f aca="false">B272+C272</f>
        <v>#N/A</v>
      </c>
      <c r="E272" s="111" t="n">
        <f aca="false">IF(Z272=0,0,IF(AND(Z272=1,$H$3=1),D272*U272,IF($H$3=2,D272,"N/A")))</f>
        <v>0</v>
      </c>
      <c r="F272" s="111" t="n">
        <f aca="false">E272*Y272</f>
        <v>0</v>
      </c>
      <c r="G272" s="124" t="n">
        <f aca="false">VLOOKUP($A272,Table,MATCH(G$4,Curves,0))</f>
        <v>3</v>
      </c>
      <c r="H272" s="125" t="n">
        <f aca="false">G272+$H$7</f>
        <v>3</v>
      </c>
      <c r="I272" s="124" t="n">
        <f aca="false">H272</f>
        <v>3</v>
      </c>
      <c r="J272" s="124" t="n">
        <f aca="false">VLOOKUP($A272,Table,MATCH(J$4,Curves,0))</f>
        <v>4</v>
      </c>
      <c r="K272" s="125" t="n">
        <f aca="false">J272+$K$7</f>
        <v>4</v>
      </c>
      <c r="L272" s="126" t="n">
        <f aca="false">K272</f>
        <v>4</v>
      </c>
      <c r="M272" s="124" t="n">
        <f aca="false">VLOOKUP($A272,Table,MATCH(M$4,Curves,0))</f>
        <v>4</v>
      </c>
      <c r="N272" s="125" t="n">
        <f aca="false">M272+$N$7</f>
        <v>4</v>
      </c>
      <c r="O272" s="126" t="n">
        <v>0.12</v>
      </c>
      <c r="P272" s="114"/>
      <c r="Q272" s="126" t="n">
        <f aca="false">M272+J272+G272</f>
        <v>11</v>
      </c>
      <c r="R272" s="126" t="n">
        <f aca="false">N272+K272+H272</f>
        <v>11</v>
      </c>
      <c r="S272" s="126" t="n">
        <f aca="false">O272+L272+I272</f>
        <v>7.12</v>
      </c>
      <c r="T272" s="127"/>
      <c r="U272" s="5" t="n">
        <f aca="false">A273-A272</f>
        <v>31</v>
      </c>
      <c r="V272" s="128" t="n">
        <f aca="false">CHOOSE(F$3,A273+24,A272)</f>
        <v>45261</v>
      </c>
      <c r="W272" s="5" t="n">
        <f aca="false">V272-C$3</f>
        <v>8030</v>
      </c>
      <c r="X272" s="124" t="n">
        <f aca="false">VLOOKUP($A272,Table,MATCH(X$4,Curves,0))</f>
        <v>2</v>
      </c>
      <c r="Y272" s="129" t="n">
        <f aca="false">1/(1+CHOOSE(F$3,(X273+($K$3/10000))/2,(X272+($K$3/10000))/2))^(2*W272/365.25)</f>
        <v>5.80425010758377E-014</v>
      </c>
      <c r="Z272" s="5" t="n">
        <f aca="false">IF(AND(mthbeg&lt;=A272,mthend&gt;=A272),1,0)</f>
        <v>0</v>
      </c>
      <c r="AA272" s="5" t="n">
        <f aca="false">U272*Z272</f>
        <v>0</v>
      </c>
      <c r="AC272" s="115" t="n">
        <f aca="false">IF(G265=2,F272*(S272-Q272),F272*(Q272-S272))</f>
        <v>0</v>
      </c>
      <c r="AE272" s="116" t="n">
        <f aca="false">IF($G$3=1,F272*(R272-Q272),F272*(Q272-R272))</f>
        <v>0</v>
      </c>
      <c r="AG272" s="116" t="n">
        <f aca="false">AC272+AE272</f>
        <v>0</v>
      </c>
    </row>
    <row r="273" customFormat="false" ht="12" hidden="false" customHeight="true" outlineLevel="0" collapsed="false">
      <c r="A273" s="120" t="n">
        <f aca="false">EDATE(A272,1)</f>
        <v>45292</v>
      </c>
      <c r="B273" s="121" t="e">
        <f aca="false">VLOOKUP(A273,'Inputs-Summary'!$A$32:$E$41,3,FALSE())</f>
        <v>#N/A</v>
      </c>
      <c r="C273" s="122"/>
      <c r="D273" s="123" t="e">
        <f aca="false">B273+C273</f>
        <v>#N/A</v>
      </c>
      <c r="E273" s="111" t="n">
        <f aca="false">IF(Z273=0,0,IF(AND(Z273=1,$H$3=1),D273*U273,IF($H$3=2,D273,"N/A")))</f>
        <v>0</v>
      </c>
      <c r="F273" s="111" t="n">
        <f aca="false">E273*Y273</f>
        <v>0</v>
      </c>
      <c r="G273" s="124" t="n">
        <f aca="false">VLOOKUP($A273,Table,MATCH(G$4,Curves,0))</f>
        <v>3</v>
      </c>
      <c r="H273" s="125" t="n">
        <f aca="false">G273+$H$7</f>
        <v>3</v>
      </c>
      <c r="I273" s="124" t="n">
        <f aca="false">H273</f>
        <v>3</v>
      </c>
      <c r="J273" s="124" t="n">
        <f aca="false">VLOOKUP($A273,Table,MATCH(J$4,Curves,0))</f>
        <v>4</v>
      </c>
      <c r="K273" s="125" t="n">
        <f aca="false">J273+$K$7</f>
        <v>4</v>
      </c>
      <c r="L273" s="126" t="n">
        <f aca="false">K273</f>
        <v>4</v>
      </c>
      <c r="M273" s="124" t="n">
        <f aca="false">VLOOKUP($A273,Table,MATCH(M$4,Curves,0))</f>
        <v>4</v>
      </c>
      <c r="N273" s="125" t="n">
        <f aca="false">M273+$N$7</f>
        <v>4</v>
      </c>
      <c r="O273" s="126" t="n">
        <v>0.12</v>
      </c>
      <c r="P273" s="114"/>
      <c r="Q273" s="126" t="n">
        <f aca="false">M273+J273+G273</f>
        <v>11</v>
      </c>
      <c r="R273" s="126" t="n">
        <f aca="false">N273+K273+H273</f>
        <v>11</v>
      </c>
      <c r="S273" s="126" t="n">
        <f aca="false">O273+L273+I273</f>
        <v>7.12</v>
      </c>
      <c r="T273" s="127"/>
      <c r="U273" s="5" t="n">
        <f aca="false">A274-A273</f>
        <v>31</v>
      </c>
      <c r="V273" s="128" t="n">
        <f aca="false">CHOOSE(F$3,A274+24,A273)</f>
        <v>45292</v>
      </c>
      <c r="W273" s="5" t="n">
        <f aca="false">V273-C$3</f>
        <v>8061</v>
      </c>
      <c r="X273" s="124" t="n">
        <f aca="false">VLOOKUP($A273,Table,MATCH(X$4,Curves,0))</f>
        <v>2</v>
      </c>
      <c r="Y273" s="129" t="n">
        <f aca="false">1/(1+CHOOSE(F$3,(X274+($K$3/10000))/2,(X273+($K$3/10000))/2))^(2*W273/365.25)</f>
        <v>5.15997093141258E-014</v>
      </c>
      <c r="Z273" s="5" t="n">
        <f aca="false">IF(AND(mthbeg&lt;=A273,mthend&gt;=A273),1,0)</f>
        <v>0</v>
      </c>
      <c r="AA273" s="5" t="n">
        <f aca="false">U273*Z273</f>
        <v>0</v>
      </c>
      <c r="AC273" s="115" t="n">
        <f aca="false">IF(G266=2,F273*(S273-Q273),F273*(Q273-S273))</f>
        <v>0</v>
      </c>
      <c r="AE273" s="116" t="n">
        <f aca="false">IF($G$3=1,F273*(R273-Q273),F273*(Q273-R273))</f>
        <v>0</v>
      </c>
      <c r="AG273" s="116" t="n">
        <f aca="false">AC273+AE273</f>
        <v>0</v>
      </c>
    </row>
    <row r="274" customFormat="false" ht="12" hidden="false" customHeight="true" outlineLevel="0" collapsed="false">
      <c r="A274" s="120" t="n">
        <f aca="false">EDATE(A273,1)</f>
        <v>45323</v>
      </c>
      <c r="B274" s="121" t="e">
        <f aca="false">VLOOKUP(A274,'Inputs-Summary'!$A$32:$E$41,3,FALSE())</f>
        <v>#N/A</v>
      </c>
      <c r="C274" s="122"/>
      <c r="D274" s="123" t="e">
        <f aca="false">B274+C274</f>
        <v>#N/A</v>
      </c>
      <c r="E274" s="111" t="n">
        <f aca="false">IF(Z274=0,0,IF(AND(Z274=1,$H$3=1),D274*U274,IF($H$3=2,D274,"N/A")))</f>
        <v>0</v>
      </c>
      <c r="F274" s="111" t="n">
        <f aca="false">E274*Y274</f>
        <v>0</v>
      </c>
      <c r="G274" s="124" t="n">
        <f aca="false">VLOOKUP($A274,Table,MATCH(G$4,Curves,0))</f>
        <v>3</v>
      </c>
      <c r="H274" s="125" t="n">
        <f aca="false">G274+$H$7</f>
        <v>3</v>
      </c>
      <c r="I274" s="124" t="n">
        <f aca="false">H274</f>
        <v>3</v>
      </c>
      <c r="J274" s="124" t="n">
        <f aca="false">VLOOKUP($A274,Table,MATCH(J$4,Curves,0))</f>
        <v>4</v>
      </c>
      <c r="K274" s="125" t="n">
        <f aca="false">J274+$K$7</f>
        <v>4</v>
      </c>
      <c r="L274" s="126" t="n">
        <f aca="false">K274</f>
        <v>4</v>
      </c>
      <c r="M274" s="124" t="n">
        <f aca="false">VLOOKUP($A274,Table,MATCH(M$4,Curves,0))</f>
        <v>4</v>
      </c>
      <c r="N274" s="125" t="n">
        <f aca="false">M274+$N$7</f>
        <v>4</v>
      </c>
      <c r="O274" s="126" t="n">
        <v>0.12</v>
      </c>
      <c r="P274" s="114"/>
      <c r="Q274" s="126" t="n">
        <f aca="false">M274+J274+G274</f>
        <v>11</v>
      </c>
      <c r="R274" s="126" t="n">
        <f aca="false">N274+K274+H274</f>
        <v>11</v>
      </c>
      <c r="S274" s="126" t="n">
        <f aca="false">O274+L274+I274</f>
        <v>7.12</v>
      </c>
      <c r="T274" s="127"/>
      <c r="U274" s="5" t="n">
        <f aca="false">A275-A274</f>
        <v>29</v>
      </c>
      <c r="V274" s="128" t="n">
        <f aca="false">CHOOSE(F$3,A275+24,A274)</f>
        <v>45323</v>
      </c>
      <c r="W274" s="5" t="n">
        <f aca="false">V274-C$3</f>
        <v>8092</v>
      </c>
      <c r="X274" s="124" t="n">
        <f aca="false">VLOOKUP($A274,Table,MATCH(X$4,Curves,0))</f>
        <v>2</v>
      </c>
      <c r="Y274" s="129" t="n">
        <f aca="false">1/(1+CHOOSE(F$3,(X275+($K$3/10000))/2,(X274+($K$3/10000))/2))^(2*W274/365.25)</f>
        <v>4.58720756678533E-014</v>
      </c>
      <c r="Z274" s="5" t="n">
        <f aca="false">IF(AND(mthbeg&lt;=A274,mthend&gt;=A274),1,0)</f>
        <v>0</v>
      </c>
      <c r="AA274" s="5" t="n">
        <f aca="false">U274*Z274</f>
        <v>0</v>
      </c>
      <c r="AC274" s="115" t="n">
        <f aca="false">IF(G267=2,F274*(S274-Q274),F274*(Q274-S274))</f>
        <v>0</v>
      </c>
      <c r="AE274" s="116" t="n">
        <f aca="false">IF($G$3=1,F274*(R274-Q274),F274*(Q274-R274))</f>
        <v>0</v>
      </c>
      <c r="AG274" s="116" t="n">
        <f aca="false">AC274+AE274</f>
        <v>0</v>
      </c>
    </row>
    <row r="275" customFormat="false" ht="12" hidden="false" customHeight="true" outlineLevel="0" collapsed="false">
      <c r="A275" s="120" t="n">
        <f aca="false">EDATE(A274,1)</f>
        <v>45352</v>
      </c>
      <c r="B275" s="121" t="e">
        <f aca="false">VLOOKUP(A275,'Inputs-Summary'!$A$32:$E$41,3,FALSE())</f>
        <v>#N/A</v>
      </c>
      <c r="C275" s="122"/>
      <c r="D275" s="123" t="e">
        <f aca="false">B275+C275</f>
        <v>#N/A</v>
      </c>
      <c r="E275" s="111" t="n">
        <f aca="false">IF(Z275=0,0,IF(AND(Z275=1,$H$3=1),D275*U275,IF($H$3=2,D275,"N/A")))</f>
        <v>0</v>
      </c>
      <c r="F275" s="111" t="n">
        <f aca="false">E275*Y275</f>
        <v>0</v>
      </c>
      <c r="G275" s="124" t="n">
        <f aca="false">VLOOKUP($A275,Table,MATCH(G$4,Curves,0))</f>
        <v>3</v>
      </c>
      <c r="H275" s="125" t="n">
        <f aca="false">G275+$H$7</f>
        <v>3</v>
      </c>
      <c r="I275" s="124" t="n">
        <f aca="false">H275</f>
        <v>3</v>
      </c>
      <c r="J275" s="124" t="n">
        <f aca="false">VLOOKUP($A275,Table,MATCH(J$4,Curves,0))</f>
        <v>4</v>
      </c>
      <c r="K275" s="125" t="n">
        <f aca="false">J275+$K$7</f>
        <v>4</v>
      </c>
      <c r="L275" s="126" t="n">
        <f aca="false">K275</f>
        <v>4</v>
      </c>
      <c r="M275" s="124" t="n">
        <f aca="false">VLOOKUP($A275,Table,MATCH(M$4,Curves,0))</f>
        <v>4</v>
      </c>
      <c r="N275" s="125" t="n">
        <f aca="false">M275+$N$7</f>
        <v>4</v>
      </c>
      <c r="O275" s="126" t="n">
        <v>0.12</v>
      </c>
      <c r="P275" s="114"/>
      <c r="Q275" s="126" t="n">
        <f aca="false">M275+J275+G275</f>
        <v>11</v>
      </c>
      <c r="R275" s="126" t="n">
        <f aca="false">N275+K275+H275</f>
        <v>11</v>
      </c>
      <c r="S275" s="126" t="n">
        <f aca="false">O275+L275+I275</f>
        <v>7.12</v>
      </c>
      <c r="T275" s="127"/>
      <c r="U275" s="5" t="n">
        <f aca="false">A276-A275</f>
        <v>31</v>
      </c>
      <c r="V275" s="128" t="n">
        <f aca="false">CHOOSE(F$3,A276+24,A275)</f>
        <v>45352</v>
      </c>
      <c r="W275" s="5" t="n">
        <f aca="false">V275-C$3</f>
        <v>8121</v>
      </c>
      <c r="X275" s="124" t="n">
        <f aca="false">VLOOKUP($A275,Table,MATCH(X$4,Curves,0))</f>
        <v>2</v>
      </c>
      <c r="Y275" s="129" t="n">
        <f aca="false">1/(1+CHOOSE(F$3,(X276+($K$3/10000))/2,(X275+($K$3/10000))/2))^(2*W275/365.25)</f>
        <v>4.10909545178908E-014</v>
      </c>
      <c r="Z275" s="5" t="n">
        <f aca="false">IF(AND(mthbeg&lt;=A275,mthend&gt;=A275),1,0)</f>
        <v>0</v>
      </c>
      <c r="AA275" s="5" t="n">
        <f aca="false">U275*Z275</f>
        <v>0</v>
      </c>
      <c r="AC275" s="115" t="n">
        <f aca="false">IF(G268=2,F275*(S275-Q275),F275*(Q275-S275))</f>
        <v>0</v>
      </c>
      <c r="AE275" s="116" t="n">
        <f aca="false">IF($G$3=1,F275*(R275-Q275),F275*(Q275-R275))</f>
        <v>0</v>
      </c>
      <c r="AG275" s="116" t="n">
        <f aca="false">AC275+AE275</f>
        <v>0</v>
      </c>
    </row>
    <row r="276" customFormat="false" ht="12" hidden="false" customHeight="true" outlineLevel="0" collapsed="false">
      <c r="A276" s="120" t="n">
        <f aca="false">EDATE(A275,1)</f>
        <v>45383</v>
      </c>
      <c r="B276" s="121" t="e">
        <f aca="false">VLOOKUP(A276,'Inputs-Summary'!$A$32:$E$41,3,FALSE())</f>
        <v>#N/A</v>
      </c>
      <c r="C276" s="122"/>
      <c r="D276" s="123" t="e">
        <f aca="false">B276+C276</f>
        <v>#N/A</v>
      </c>
      <c r="E276" s="111" t="n">
        <f aca="false">IF(Z276=0,0,IF(AND(Z276=1,$H$3=1),D276*U276,IF($H$3=2,D276,"N/A")))</f>
        <v>0</v>
      </c>
      <c r="F276" s="111" t="n">
        <f aca="false">E276*Y276</f>
        <v>0</v>
      </c>
      <c r="G276" s="124" t="n">
        <f aca="false">VLOOKUP($A276,Table,MATCH(G$4,Curves,0))</f>
        <v>3</v>
      </c>
      <c r="H276" s="125" t="n">
        <f aca="false">G276+$H$7</f>
        <v>3</v>
      </c>
      <c r="I276" s="124" t="n">
        <f aca="false">H276</f>
        <v>3</v>
      </c>
      <c r="J276" s="124" t="n">
        <f aca="false">VLOOKUP($A276,Table,MATCH(J$4,Curves,0))</f>
        <v>4</v>
      </c>
      <c r="K276" s="125" t="n">
        <f aca="false">J276+$K$7</f>
        <v>4</v>
      </c>
      <c r="L276" s="126" t="n">
        <f aca="false">K276</f>
        <v>4</v>
      </c>
      <c r="M276" s="124" t="n">
        <f aca="false">VLOOKUP($A276,Table,MATCH(M$4,Curves,0))</f>
        <v>4</v>
      </c>
      <c r="N276" s="125" t="n">
        <f aca="false">M276+$N$7</f>
        <v>4</v>
      </c>
      <c r="O276" s="126" t="n">
        <v>0.12</v>
      </c>
      <c r="P276" s="114"/>
      <c r="Q276" s="126" t="n">
        <f aca="false">M276+J276+G276</f>
        <v>11</v>
      </c>
      <c r="R276" s="126" t="n">
        <f aca="false">N276+K276+H276</f>
        <v>11</v>
      </c>
      <c r="S276" s="126" t="n">
        <f aca="false">O276+L276+I276</f>
        <v>7.12</v>
      </c>
      <c r="T276" s="127"/>
      <c r="U276" s="5" t="n">
        <f aca="false">A277-A276</f>
        <v>30</v>
      </c>
      <c r="V276" s="128" t="n">
        <f aca="false">CHOOSE(F$3,A277+24,A276)</f>
        <v>45383</v>
      </c>
      <c r="W276" s="5" t="n">
        <f aca="false">V276-C$3</f>
        <v>8152</v>
      </c>
      <c r="X276" s="124" t="n">
        <f aca="false">VLOOKUP($A276,Table,MATCH(X$4,Curves,0))</f>
        <v>2</v>
      </c>
      <c r="Y276" s="129" t="n">
        <f aca="false">1/(1+CHOOSE(F$3,(X277+($K$3/10000))/2,(X276+($K$3/10000))/2))^(2*W276/365.25)</f>
        <v>3.6529806077667E-014</v>
      </c>
      <c r="Z276" s="5" t="n">
        <f aca="false">IF(AND(mthbeg&lt;=A276,mthend&gt;=A276),1,0)</f>
        <v>0</v>
      </c>
      <c r="AA276" s="5" t="n">
        <f aca="false">U276*Z276</f>
        <v>0</v>
      </c>
      <c r="AC276" s="115" t="n">
        <f aca="false">IF(G269=2,F276*(S276-Q276),F276*(Q276-S276))</f>
        <v>0</v>
      </c>
      <c r="AE276" s="116" t="n">
        <f aca="false">IF($G$3=1,F276*(R276-Q276),F276*(Q276-R276))</f>
        <v>0</v>
      </c>
      <c r="AG276" s="116" t="n">
        <f aca="false">AC276+AE276</f>
        <v>0</v>
      </c>
    </row>
    <row r="277" customFormat="false" ht="12" hidden="false" customHeight="true" outlineLevel="0" collapsed="false">
      <c r="A277" s="120" t="n">
        <f aca="false">EDATE(A276,1)</f>
        <v>45413</v>
      </c>
      <c r="B277" s="121" t="e">
        <f aca="false">VLOOKUP(A277,'Inputs-Summary'!$A$32:$E$41,3,FALSE())</f>
        <v>#N/A</v>
      </c>
      <c r="C277" s="122"/>
      <c r="D277" s="123" t="e">
        <f aca="false">B277+C277</f>
        <v>#N/A</v>
      </c>
      <c r="E277" s="111" t="n">
        <f aca="false">IF(Z277=0,0,IF(AND(Z277=1,$H$3=1),D277*U277,IF($H$3=2,D277,"N/A")))</f>
        <v>0</v>
      </c>
      <c r="F277" s="111" t="n">
        <f aca="false">E277*Y277</f>
        <v>0</v>
      </c>
      <c r="G277" s="124" t="n">
        <f aca="false">VLOOKUP($A277,Table,MATCH(G$4,Curves,0))</f>
        <v>3</v>
      </c>
      <c r="H277" s="125" t="n">
        <f aca="false">G277+$H$7</f>
        <v>3</v>
      </c>
      <c r="I277" s="124" t="n">
        <f aca="false">H277</f>
        <v>3</v>
      </c>
      <c r="J277" s="124" t="n">
        <f aca="false">VLOOKUP($A277,Table,MATCH(J$4,Curves,0))</f>
        <v>4</v>
      </c>
      <c r="K277" s="125" t="n">
        <f aca="false">J277+$K$7</f>
        <v>4</v>
      </c>
      <c r="L277" s="126" t="n">
        <f aca="false">K277</f>
        <v>4</v>
      </c>
      <c r="M277" s="124" t="n">
        <f aca="false">VLOOKUP($A277,Table,MATCH(M$4,Curves,0))</f>
        <v>4</v>
      </c>
      <c r="N277" s="125" t="n">
        <f aca="false">M277+$N$7</f>
        <v>4</v>
      </c>
      <c r="O277" s="126" t="n">
        <v>0.12</v>
      </c>
      <c r="P277" s="114"/>
      <c r="Q277" s="126" t="n">
        <f aca="false">M277+J277+G277</f>
        <v>11</v>
      </c>
      <c r="R277" s="126" t="n">
        <f aca="false">N277+K277+H277</f>
        <v>11</v>
      </c>
      <c r="S277" s="126" t="n">
        <f aca="false">O277+L277+I277</f>
        <v>7.12</v>
      </c>
      <c r="T277" s="127"/>
      <c r="U277" s="5" t="n">
        <f aca="false">A278-A277</f>
        <v>31</v>
      </c>
      <c r="V277" s="128" t="n">
        <f aca="false">CHOOSE(F$3,A278+24,A277)</f>
        <v>45413</v>
      </c>
      <c r="W277" s="5" t="n">
        <f aca="false">V277-C$3</f>
        <v>8182</v>
      </c>
      <c r="X277" s="124" t="n">
        <f aca="false">VLOOKUP($A277,Table,MATCH(X$4,Curves,0))</f>
        <v>2</v>
      </c>
      <c r="Y277" s="129" t="n">
        <f aca="false">1/(1+CHOOSE(F$3,(X278+($K$3/10000))/2,(X277+($K$3/10000))/2))^(2*W277/365.25)</f>
        <v>3.25984427550596E-014</v>
      </c>
      <c r="Z277" s="5" t="n">
        <f aca="false">IF(AND(mthbeg&lt;=A277,mthend&gt;=A277),1,0)</f>
        <v>0</v>
      </c>
      <c r="AA277" s="5" t="n">
        <f aca="false">U277*Z277</f>
        <v>0</v>
      </c>
      <c r="AC277" s="115" t="n">
        <f aca="false">IF(G270=2,F277*(S277-Q277),F277*(Q277-S277))</f>
        <v>0</v>
      </c>
      <c r="AE277" s="116" t="n">
        <f aca="false">IF($G$3=1,F277*(R277-Q277),F277*(Q277-R277))</f>
        <v>0</v>
      </c>
      <c r="AG277" s="116" t="n">
        <f aca="false">AC277+AE277</f>
        <v>0</v>
      </c>
    </row>
    <row r="278" customFormat="false" ht="12" hidden="false" customHeight="true" outlineLevel="0" collapsed="false">
      <c r="A278" s="120" t="n">
        <f aca="false">EDATE(A277,1)</f>
        <v>45444</v>
      </c>
      <c r="B278" s="121" t="e">
        <f aca="false">VLOOKUP(A278,'Inputs-Summary'!$A$32:$E$41,3,FALSE())</f>
        <v>#N/A</v>
      </c>
      <c r="C278" s="122"/>
      <c r="D278" s="123" t="e">
        <f aca="false">B278+C278</f>
        <v>#N/A</v>
      </c>
      <c r="E278" s="111" t="n">
        <f aca="false">IF(Z278=0,0,IF(AND(Z278=1,$H$3=1),D278*U278,IF($H$3=2,D278,"N/A")))</f>
        <v>0</v>
      </c>
      <c r="F278" s="111" t="n">
        <f aca="false">E278*Y278</f>
        <v>0</v>
      </c>
      <c r="G278" s="124" t="n">
        <f aca="false">VLOOKUP($A278,Table,MATCH(G$4,Curves,0))</f>
        <v>3</v>
      </c>
      <c r="H278" s="125" t="n">
        <f aca="false">G278+$H$7</f>
        <v>3</v>
      </c>
      <c r="I278" s="124" t="n">
        <f aca="false">H278</f>
        <v>3</v>
      </c>
      <c r="J278" s="124" t="n">
        <f aca="false">VLOOKUP($A278,Table,MATCH(J$4,Curves,0))</f>
        <v>4</v>
      </c>
      <c r="K278" s="125" t="n">
        <f aca="false">J278+$K$7</f>
        <v>4</v>
      </c>
      <c r="L278" s="126" t="n">
        <f aca="false">K278</f>
        <v>4</v>
      </c>
      <c r="M278" s="124" t="n">
        <f aca="false">VLOOKUP($A278,Table,MATCH(M$4,Curves,0))</f>
        <v>4</v>
      </c>
      <c r="N278" s="125" t="n">
        <f aca="false">M278+$N$7</f>
        <v>4</v>
      </c>
      <c r="O278" s="126" t="n">
        <v>0.12</v>
      </c>
      <c r="P278" s="114"/>
      <c r="Q278" s="126" t="n">
        <f aca="false">M278+J278+G278</f>
        <v>11</v>
      </c>
      <c r="R278" s="126" t="n">
        <f aca="false">N278+K278+H278</f>
        <v>11</v>
      </c>
      <c r="S278" s="126" t="n">
        <f aca="false">O278+L278+I278</f>
        <v>7.12</v>
      </c>
      <c r="T278" s="127"/>
      <c r="U278" s="5" t="n">
        <f aca="false">A279-A278</f>
        <v>30</v>
      </c>
      <c r="V278" s="128" t="n">
        <f aca="false">CHOOSE(F$3,A279+24,A278)</f>
        <v>45444</v>
      </c>
      <c r="W278" s="5" t="n">
        <f aca="false">V278-C$3</f>
        <v>8213</v>
      </c>
      <c r="X278" s="124" t="n">
        <f aca="false">VLOOKUP($A278,Table,MATCH(X$4,Curves,0))</f>
        <v>2</v>
      </c>
      <c r="Y278" s="129" t="n">
        <f aca="false">1/(1+CHOOSE(F$3,(X279+($K$3/10000))/2,(X278+($K$3/10000))/2))^(2*W278/365.25)</f>
        <v>2.89799739686695E-014</v>
      </c>
      <c r="Z278" s="5" t="n">
        <f aca="false">IF(AND(mthbeg&lt;=A278,mthend&gt;=A278),1,0)</f>
        <v>0</v>
      </c>
      <c r="AA278" s="5" t="n">
        <f aca="false">U278*Z278</f>
        <v>0</v>
      </c>
      <c r="AC278" s="115" t="n">
        <f aca="false">IF(G271=2,F278*(S278-Q278),F278*(Q278-S278))</f>
        <v>0</v>
      </c>
      <c r="AE278" s="116" t="n">
        <f aca="false">IF($G$3=1,F278*(R278-Q278),F278*(Q278-R278))</f>
        <v>0</v>
      </c>
      <c r="AG278" s="116" t="n">
        <f aca="false">AC278+AE278</f>
        <v>0</v>
      </c>
    </row>
    <row r="279" customFormat="false" ht="12" hidden="false" customHeight="true" outlineLevel="0" collapsed="false">
      <c r="A279" s="120" t="n">
        <f aca="false">EDATE(A278,1)</f>
        <v>45474</v>
      </c>
      <c r="B279" s="121" t="e">
        <f aca="false">VLOOKUP(A279,'Inputs-Summary'!$A$32:$E$41,3,FALSE())</f>
        <v>#N/A</v>
      </c>
      <c r="C279" s="122"/>
      <c r="D279" s="123" t="e">
        <f aca="false">B279+C279</f>
        <v>#N/A</v>
      </c>
      <c r="E279" s="111" t="n">
        <f aca="false">IF(Z279=0,0,IF(AND(Z279=1,$H$3=1),D279*U279,IF($H$3=2,D279,"N/A")))</f>
        <v>0</v>
      </c>
      <c r="F279" s="111" t="n">
        <f aca="false">E279*Y279</f>
        <v>0</v>
      </c>
      <c r="G279" s="124" t="n">
        <f aca="false">VLOOKUP($A279,Table,MATCH(G$4,Curves,0))</f>
        <v>3</v>
      </c>
      <c r="H279" s="125" t="n">
        <f aca="false">G279+$H$7</f>
        <v>3</v>
      </c>
      <c r="I279" s="124" t="n">
        <f aca="false">H279</f>
        <v>3</v>
      </c>
      <c r="J279" s="124" t="n">
        <f aca="false">VLOOKUP($A279,Table,MATCH(J$4,Curves,0))</f>
        <v>4</v>
      </c>
      <c r="K279" s="125" t="n">
        <f aca="false">J279+$K$7</f>
        <v>4</v>
      </c>
      <c r="L279" s="126" t="n">
        <f aca="false">K279</f>
        <v>4</v>
      </c>
      <c r="M279" s="124" t="n">
        <f aca="false">VLOOKUP($A279,Table,MATCH(M$4,Curves,0))</f>
        <v>4</v>
      </c>
      <c r="N279" s="125" t="n">
        <f aca="false">M279+$N$7</f>
        <v>4</v>
      </c>
      <c r="O279" s="126" t="n">
        <v>0.12</v>
      </c>
      <c r="P279" s="114"/>
      <c r="Q279" s="126" t="n">
        <f aca="false">M279+J279+G279</f>
        <v>11</v>
      </c>
      <c r="R279" s="126" t="n">
        <f aca="false">N279+K279+H279</f>
        <v>11</v>
      </c>
      <c r="S279" s="126" t="n">
        <f aca="false">O279+L279+I279</f>
        <v>7.12</v>
      </c>
      <c r="T279" s="127"/>
      <c r="U279" s="5" t="n">
        <f aca="false">A280-A279</f>
        <v>31</v>
      </c>
      <c r="V279" s="128" t="n">
        <f aca="false">CHOOSE(F$3,A280+24,A279)</f>
        <v>45474</v>
      </c>
      <c r="W279" s="5" t="n">
        <f aca="false">V279-C$3</f>
        <v>8243</v>
      </c>
      <c r="X279" s="124" t="n">
        <f aca="false">VLOOKUP($A279,Table,MATCH(X$4,Curves,0))</f>
        <v>2</v>
      </c>
      <c r="Y279" s="129" t="n">
        <f aca="false">1/(1+CHOOSE(F$3,(X280+($K$3/10000))/2,(X279+($K$3/10000))/2))^(2*W279/365.25)</f>
        <v>2.58611288669926E-014</v>
      </c>
      <c r="Z279" s="5" t="n">
        <f aca="false">IF(AND(mthbeg&lt;=A279,mthend&gt;=A279),1,0)</f>
        <v>0</v>
      </c>
      <c r="AA279" s="5" t="n">
        <f aca="false">U279*Z279</f>
        <v>0</v>
      </c>
      <c r="AC279" s="115" t="n">
        <f aca="false">IF(G272=2,F279*(S279-Q279),F279*(Q279-S279))</f>
        <v>0</v>
      </c>
      <c r="AE279" s="116" t="n">
        <f aca="false">IF($G$3=1,F279*(R279-Q279),F279*(Q279-R279))</f>
        <v>0</v>
      </c>
      <c r="AG279" s="116" t="n">
        <f aca="false">AC279+AE279</f>
        <v>0</v>
      </c>
    </row>
    <row r="280" customFormat="false" ht="12" hidden="false" customHeight="true" outlineLevel="0" collapsed="false">
      <c r="A280" s="120" t="n">
        <f aca="false">EDATE(A279,1)</f>
        <v>45505</v>
      </c>
      <c r="B280" s="121" t="e">
        <f aca="false">VLOOKUP(A280,'Inputs-Summary'!$A$32:$E$41,3,FALSE())</f>
        <v>#N/A</v>
      </c>
      <c r="C280" s="122"/>
      <c r="D280" s="123" t="e">
        <f aca="false">B280+C280</f>
        <v>#N/A</v>
      </c>
      <c r="E280" s="111" t="n">
        <f aca="false">IF(Z280=0,0,IF(AND(Z280=1,$H$3=1),D280*U280,IF($H$3=2,D280,"N/A")))</f>
        <v>0</v>
      </c>
      <c r="F280" s="111" t="n">
        <f aca="false">E280*Y280</f>
        <v>0</v>
      </c>
      <c r="G280" s="124" t="n">
        <f aca="false">VLOOKUP($A280,Table,MATCH(G$4,Curves,0))</f>
        <v>3</v>
      </c>
      <c r="H280" s="125" t="n">
        <f aca="false">G280+$H$7</f>
        <v>3</v>
      </c>
      <c r="I280" s="124" t="n">
        <f aca="false">H280</f>
        <v>3</v>
      </c>
      <c r="J280" s="124" t="n">
        <f aca="false">VLOOKUP($A280,Table,MATCH(J$4,Curves,0))</f>
        <v>4</v>
      </c>
      <c r="K280" s="125" t="n">
        <f aca="false">J280+$K$7</f>
        <v>4</v>
      </c>
      <c r="L280" s="126" t="n">
        <f aca="false">K280</f>
        <v>4</v>
      </c>
      <c r="M280" s="124" t="n">
        <f aca="false">VLOOKUP($A280,Table,MATCH(M$4,Curves,0))</f>
        <v>4</v>
      </c>
      <c r="N280" s="125" t="n">
        <f aca="false">M280+$N$7</f>
        <v>4</v>
      </c>
      <c r="O280" s="126" t="n">
        <v>0.12</v>
      </c>
      <c r="P280" s="114"/>
      <c r="Q280" s="126" t="n">
        <f aca="false">M280+J280+G280</f>
        <v>11</v>
      </c>
      <c r="R280" s="126" t="n">
        <f aca="false">N280+K280+H280</f>
        <v>11</v>
      </c>
      <c r="S280" s="126" t="n">
        <f aca="false">O280+L280+I280</f>
        <v>7.12</v>
      </c>
      <c r="T280" s="127"/>
      <c r="U280" s="5" t="n">
        <f aca="false">A281-A280</f>
        <v>31</v>
      </c>
      <c r="V280" s="128" t="n">
        <f aca="false">CHOOSE(F$3,A281+24,A280)</f>
        <v>45505</v>
      </c>
      <c r="W280" s="5" t="n">
        <f aca="false">V280-C$3</f>
        <v>8274</v>
      </c>
      <c r="X280" s="124" t="n">
        <f aca="false">VLOOKUP($A280,Table,MATCH(X$4,Curves,0))</f>
        <v>2</v>
      </c>
      <c r="Y280" s="129" t="n">
        <f aca="false">1/(1+CHOOSE(F$3,(X281+($K$3/10000))/2,(X280+($K$3/10000))/2))^(2*W280/365.25)</f>
        <v>2.29905105282837E-014</v>
      </c>
      <c r="Z280" s="5" t="n">
        <f aca="false">IF(AND(mthbeg&lt;=A280,mthend&gt;=A280),1,0)</f>
        <v>0</v>
      </c>
      <c r="AA280" s="5" t="n">
        <f aca="false">U280*Z280</f>
        <v>0</v>
      </c>
      <c r="AC280" s="115" t="n">
        <f aca="false">IF(G273=2,F280*(S280-Q280),F280*(Q280-S280))</f>
        <v>0</v>
      </c>
      <c r="AE280" s="116" t="n">
        <f aca="false">IF($G$3=1,F280*(R280-Q280),F280*(Q280-R280))</f>
        <v>0</v>
      </c>
      <c r="AG280" s="116" t="n">
        <f aca="false">AC280+AE280</f>
        <v>0</v>
      </c>
    </row>
    <row r="281" customFormat="false" ht="12" hidden="false" customHeight="true" outlineLevel="0" collapsed="false">
      <c r="A281" s="120" t="n">
        <f aca="false">EDATE(A280,1)</f>
        <v>45536</v>
      </c>
      <c r="B281" s="121" t="e">
        <f aca="false">VLOOKUP(A281,'Inputs-Summary'!$A$32:$E$41,3,FALSE())</f>
        <v>#N/A</v>
      </c>
      <c r="C281" s="122"/>
      <c r="D281" s="123" t="e">
        <f aca="false">B281+C281</f>
        <v>#N/A</v>
      </c>
      <c r="E281" s="111" t="n">
        <f aca="false">IF(Z281=0,0,IF(AND(Z281=1,$H$3=1),D281*U281,IF($H$3=2,D281,"N/A")))</f>
        <v>0</v>
      </c>
      <c r="F281" s="111" t="n">
        <f aca="false">E281*Y281</f>
        <v>0</v>
      </c>
      <c r="G281" s="124" t="n">
        <f aca="false">VLOOKUP($A281,Table,MATCH(G$4,Curves,0))</f>
        <v>3</v>
      </c>
      <c r="H281" s="125" t="n">
        <f aca="false">G281+$H$7</f>
        <v>3</v>
      </c>
      <c r="I281" s="124" t="n">
        <f aca="false">H281</f>
        <v>3</v>
      </c>
      <c r="J281" s="124" t="n">
        <f aca="false">VLOOKUP($A281,Table,MATCH(J$4,Curves,0))</f>
        <v>4</v>
      </c>
      <c r="K281" s="125" t="n">
        <f aca="false">J281+$K$7</f>
        <v>4</v>
      </c>
      <c r="L281" s="126" t="n">
        <f aca="false">K281</f>
        <v>4</v>
      </c>
      <c r="M281" s="124" t="n">
        <f aca="false">VLOOKUP($A281,Table,MATCH(M$4,Curves,0))</f>
        <v>4</v>
      </c>
      <c r="N281" s="125" t="n">
        <f aca="false">M281+$N$7</f>
        <v>4</v>
      </c>
      <c r="O281" s="126" t="n">
        <v>0.12</v>
      </c>
      <c r="P281" s="114"/>
      <c r="Q281" s="126" t="n">
        <f aca="false">M281+J281+G281</f>
        <v>11</v>
      </c>
      <c r="R281" s="126" t="n">
        <f aca="false">N281+K281+H281</f>
        <v>11</v>
      </c>
      <c r="S281" s="126" t="n">
        <f aca="false">O281+L281+I281</f>
        <v>7.12</v>
      </c>
      <c r="T281" s="127"/>
      <c r="U281" s="5" t="n">
        <f aca="false">A282-A281</f>
        <v>30</v>
      </c>
      <c r="V281" s="128" t="n">
        <f aca="false">CHOOSE(F$3,A282+24,A281)</f>
        <v>45536</v>
      </c>
      <c r="W281" s="5" t="n">
        <f aca="false">V281-C$3</f>
        <v>8305</v>
      </c>
      <c r="X281" s="124" t="n">
        <f aca="false">VLOOKUP($A281,Table,MATCH(X$4,Curves,0))</f>
        <v>2</v>
      </c>
      <c r="Y281" s="129" t="n">
        <f aca="false">1/(1+CHOOSE(F$3,(X282+($K$3/10000))/2,(X281+($K$3/10000))/2))^(2*W281/365.25)</f>
        <v>2.04385344920402E-014</v>
      </c>
      <c r="Z281" s="5" t="n">
        <f aca="false">IF(AND(mthbeg&lt;=A281,mthend&gt;=A281),1,0)</f>
        <v>0</v>
      </c>
      <c r="AA281" s="5" t="n">
        <f aca="false">U281*Z281</f>
        <v>0</v>
      </c>
      <c r="AC281" s="115" t="n">
        <f aca="false">IF(G274=2,F281*(S281-Q281),F281*(Q281-S281))</f>
        <v>0</v>
      </c>
      <c r="AE281" s="116" t="n">
        <f aca="false">IF($G$3=1,F281*(R281-Q281),F281*(Q281-R281))</f>
        <v>0</v>
      </c>
      <c r="AG281" s="116" t="n">
        <f aca="false">AC281+AE281</f>
        <v>0</v>
      </c>
    </row>
    <row r="282" customFormat="false" ht="12" hidden="false" customHeight="true" outlineLevel="0" collapsed="false">
      <c r="A282" s="120" t="n">
        <f aca="false">EDATE(A281,1)</f>
        <v>45566</v>
      </c>
      <c r="B282" s="121" t="e">
        <f aca="false">VLOOKUP(A282,'Inputs-Summary'!$A$32:$E$41,3,FALSE())</f>
        <v>#N/A</v>
      </c>
      <c r="C282" s="122"/>
      <c r="D282" s="123" t="e">
        <f aca="false">B282+C282</f>
        <v>#N/A</v>
      </c>
      <c r="E282" s="111" t="n">
        <f aca="false">IF(Z282=0,0,IF(AND(Z282=1,$H$3=1),D282*U282,IF($H$3=2,D282,"N/A")))</f>
        <v>0</v>
      </c>
      <c r="F282" s="111" t="n">
        <f aca="false">E282*Y282</f>
        <v>0</v>
      </c>
      <c r="G282" s="124" t="n">
        <f aca="false">VLOOKUP($A282,Table,MATCH(G$4,Curves,0))</f>
        <v>3</v>
      </c>
      <c r="H282" s="125" t="n">
        <f aca="false">G282+$H$7</f>
        <v>3</v>
      </c>
      <c r="I282" s="124" t="n">
        <f aca="false">H282</f>
        <v>3</v>
      </c>
      <c r="J282" s="124" t="n">
        <f aca="false">VLOOKUP($A282,Table,MATCH(J$4,Curves,0))</f>
        <v>4</v>
      </c>
      <c r="K282" s="125" t="n">
        <f aca="false">J282+$K$7</f>
        <v>4</v>
      </c>
      <c r="L282" s="126" t="n">
        <f aca="false">K282</f>
        <v>4</v>
      </c>
      <c r="M282" s="124" t="n">
        <f aca="false">VLOOKUP($A282,Table,MATCH(M$4,Curves,0))</f>
        <v>4</v>
      </c>
      <c r="N282" s="125" t="n">
        <f aca="false">M282+$N$7</f>
        <v>4</v>
      </c>
      <c r="O282" s="126" t="n">
        <v>0.12</v>
      </c>
      <c r="P282" s="114"/>
      <c r="Q282" s="126" t="n">
        <f aca="false">M282+J282+G282</f>
        <v>11</v>
      </c>
      <c r="R282" s="126" t="n">
        <f aca="false">N282+K282+H282</f>
        <v>11</v>
      </c>
      <c r="S282" s="126" t="n">
        <f aca="false">O282+L282+I282</f>
        <v>7.12</v>
      </c>
      <c r="T282" s="127"/>
      <c r="U282" s="5" t="n">
        <f aca="false">A283-A282</f>
        <v>31</v>
      </c>
      <c r="V282" s="128" t="n">
        <f aca="false">CHOOSE(F$3,A283+24,A282)</f>
        <v>45566</v>
      </c>
      <c r="W282" s="5" t="n">
        <f aca="false">V282-C$3</f>
        <v>8335</v>
      </c>
      <c r="X282" s="124" t="n">
        <f aca="false">VLOOKUP($A282,Table,MATCH(X$4,Curves,0))</f>
        <v>2</v>
      </c>
      <c r="Y282" s="129" t="n">
        <f aca="false">1/(1+CHOOSE(F$3,(X283+($K$3/10000))/2,(X282+($K$3/10000))/2))^(2*W282/365.25)</f>
        <v>1.82389250909112E-014</v>
      </c>
      <c r="Z282" s="5" t="n">
        <f aca="false">IF(AND(mthbeg&lt;=A282,mthend&gt;=A282),1,0)</f>
        <v>0</v>
      </c>
      <c r="AA282" s="5" t="n">
        <f aca="false">U282*Z282</f>
        <v>0</v>
      </c>
      <c r="AC282" s="115" t="n">
        <f aca="false">IF(G275=2,F282*(S282-Q282),F282*(Q282-S282))</f>
        <v>0</v>
      </c>
      <c r="AE282" s="116" t="n">
        <f aca="false">IF($G$3=1,F282*(R282-Q282),F282*(Q282-R282))</f>
        <v>0</v>
      </c>
      <c r="AG282" s="116" t="n">
        <f aca="false">AC282+AE282</f>
        <v>0</v>
      </c>
    </row>
    <row r="283" customFormat="false" ht="12" hidden="false" customHeight="true" outlineLevel="0" collapsed="false">
      <c r="A283" s="120" t="n">
        <f aca="false">EDATE(A282,1)</f>
        <v>45597</v>
      </c>
      <c r="B283" s="121" t="e">
        <f aca="false">VLOOKUP(A283,'Inputs-Summary'!$A$32:$E$41,3,FALSE())</f>
        <v>#N/A</v>
      </c>
      <c r="C283" s="122"/>
      <c r="D283" s="123" t="e">
        <f aca="false">B283+C283</f>
        <v>#N/A</v>
      </c>
      <c r="E283" s="111" t="n">
        <f aca="false">IF(Z283=0,0,IF(AND(Z283=1,$H$3=1),D283*U283,IF($H$3=2,D283,"N/A")))</f>
        <v>0</v>
      </c>
      <c r="F283" s="111" t="n">
        <f aca="false">E283*Y283</f>
        <v>0</v>
      </c>
      <c r="G283" s="124" t="n">
        <f aca="false">VLOOKUP($A283,Table,MATCH(G$4,Curves,0))</f>
        <v>3</v>
      </c>
      <c r="H283" s="125" t="n">
        <f aca="false">G283+$H$7</f>
        <v>3</v>
      </c>
      <c r="I283" s="124" t="n">
        <f aca="false">H283</f>
        <v>3</v>
      </c>
      <c r="J283" s="124" t="n">
        <f aca="false">VLOOKUP($A283,Table,MATCH(J$4,Curves,0))</f>
        <v>4</v>
      </c>
      <c r="K283" s="125" t="n">
        <f aca="false">J283+$K$7</f>
        <v>4</v>
      </c>
      <c r="L283" s="126" t="n">
        <f aca="false">K283</f>
        <v>4</v>
      </c>
      <c r="M283" s="124" t="n">
        <f aca="false">VLOOKUP($A283,Table,MATCH(M$4,Curves,0))</f>
        <v>4</v>
      </c>
      <c r="N283" s="125" t="n">
        <f aca="false">M283+$N$7</f>
        <v>4</v>
      </c>
      <c r="O283" s="126" t="n">
        <v>0.12</v>
      </c>
      <c r="P283" s="114"/>
      <c r="Q283" s="126" t="n">
        <f aca="false">M283+J283+G283</f>
        <v>11</v>
      </c>
      <c r="R283" s="126" t="n">
        <f aca="false">N283+K283+H283</f>
        <v>11</v>
      </c>
      <c r="S283" s="126" t="n">
        <f aca="false">O283+L283+I283</f>
        <v>7.12</v>
      </c>
      <c r="T283" s="127"/>
      <c r="U283" s="5" t="n">
        <f aca="false">A284-A283</f>
        <v>30</v>
      </c>
      <c r="V283" s="128" t="n">
        <f aca="false">CHOOSE(F$3,A284+24,A283)</f>
        <v>45597</v>
      </c>
      <c r="W283" s="5" t="n">
        <f aca="false">V283-C$3</f>
        <v>8366</v>
      </c>
      <c r="X283" s="124" t="n">
        <f aca="false">VLOOKUP($A283,Table,MATCH(X$4,Curves,0))</f>
        <v>2</v>
      </c>
      <c r="Y283" s="129" t="n">
        <f aca="false">1/(1+CHOOSE(F$3,(X284+($K$3/10000))/2,(X283+($K$3/10000))/2))^(2*W283/365.25)</f>
        <v>1.62143811077933E-014</v>
      </c>
      <c r="Z283" s="5" t="n">
        <f aca="false">IF(AND(mthbeg&lt;=A283,mthend&gt;=A283),1,0)</f>
        <v>0</v>
      </c>
      <c r="AA283" s="5" t="n">
        <f aca="false">U283*Z283</f>
        <v>0</v>
      </c>
      <c r="AC283" s="115" t="n">
        <f aca="false">IF(G276=2,F283*(S283-Q283),F283*(Q283-S283))</f>
        <v>0</v>
      </c>
      <c r="AE283" s="116" t="n">
        <f aca="false">IF($G$3=1,F283*(R283-Q283),F283*(Q283-R283))</f>
        <v>0</v>
      </c>
      <c r="AG283" s="116" t="n">
        <f aca="false">AC283+AE283</f>
        <v>0</v>
      </c>
    </row>
    <row r="284" customFormat="false" ht="12" hidden="false" customHeight="true" outlineLevel="0" collapsed="false">
      <c r="A284" s="120" t="n">
        <f aca="false">EDATE(A283,1)</f>
        <v>45627</v>
      </c>
      <c r="B284" s="121" t="e">
        <f aca="false">VLOOKUP(A284,'Inputs-Summary'!$A$32:$E$41,3,FALSE())</f>
        <v>#N/A</v>
      </c>
      <c r="C284" s="122"/>
      <c r="D284" s="123" t="e">
        <f aca="false">B284+C284</f>
        <v>#N/A</v>
      </c>
      <c r="E284" s="111" t="n">
        <f aca="false">IF(Z284=0,0,IF(AND(Z284=1,$H$3=1),D284*U284,IF($H$3=2,D284,"N/A")))</f>
        <v>0</v>
      </c>
      <c r="F284" s="111" t="n">
        <f aca="false">E284*Y284</f>
        <v>0</v>
      </c>
      <c r="G284" s="124" t="n">
        <f aca="false">VLOOKUP($A284,Table,MATCH(G$4,Curves,0))</f>
        <v>3</v>
      </c>
      <c r="H284" s="125" t="n">
        <f aca="false">G284+$H$7</f>
        <v>3</v>
      </c>
      <c r="I284" s="124" t="n">
        <f aca="false">H284</f>
        <v>3</v>
      </c>
      <c r="J284" s="124" t="n">
        <f aca="false">VLOOKUP($A284,Table,MATCH(J$4,Curves,0))</f>
        <v>4</v>
      </c>
      <c r="K284" s="125" t="n">
        <f aca="false">J284+$K$7</f>
        <v>4</v>
      </c>
      <c r="L284" s="126" t="n">
        <f aca="false">K284</f>
        <v>4</v>
      </c>
      <c r="M284" s="124" t="n">
        <f aca="false">VLOOKUP($A284,Table,MATCH(M$4,Curves,0))</f>
        <v>4</v>
      </c>
      <c r="N284" s="125" t="n">
        <f aca="false">M284+$N$7</f>
        <v>4</v>
      </c>
      <c r="O284" s="126" t="n">
        <v>0.12</v>
      </c>
      <c r="P284" s="114"/>
      <c r="Q284" s="126" t="n">
        <f aca="false">M284+J284+G284</f>
        <v>11</v>
      </c>
      <c r="R284" s="126" t="n">
        <f aca="false">N284+K284+H284</f>
        <v>11</v>
      </c>
      <c r="S284" s="126" t="n">
        <f aca="false">O284+L284+I284</f>
        <v>7.12</v>
      </c>
      <c r="T284" s="127"/>
      <c r="U284" s="5" t="n">
        <f aca="false">A285-A284</f>
        <v>31</v>
      </c>
      <c r="V284" s="128" t="n">
        <f aca="false">CHOOSE(F$3,A285+24,A284)</f>
        <v>45627</v>
      </c>
      <c r="W284" s="5" t="n">
        <f aca="false">V284-C$3</f>
        <v>8396</v>
      </c>
      <c r="X284" s="124" t="n">
        <f aca="false">VLOOKUP($A284,Table,MATCH(X$4,Curves,0))</f>
        <v>2</v>
      </c>
      <c r="Y284" s="129" t="n">
        <f aca="false">1/(1+CHOOSE(F$3,(X285+($K$3/10000))/2,(X284+($K$3/10000))/2))^(2*W284/365.25)</f>
        <v>1.44693780532896E-014</v>
      </c>
      <c r="Z284" s="5" t="n">
        <f aca="false">IF(AND(mthbeg&lt;=A284,mthend&gt;=A284),1,0)</f>
        <v>0</v>
      </c>
      <c r="AA284" s="5" t="n">
        <f aca="false">U284*Z284</f>
        <v>0</v>
      </c>
      <c r="AC284" s="115" t="n">
        <f aca="false">IF(G277=2,F284*(S284-Q284),F284*(Q284-S284))</f>
        <v>0</v>
      </c>
      <c r="AE284" s="116" t="n">
        <f aca="false">IF($G$3=1,F284*(R284-Q284),F284*(Q284-R284))</f>
        <v>0</v>
      </c>
      <c r="AG284" s="116" t="n">
        <f aca="false">AC284+AE284</f>
        <v>0</v>
      </c>
    </row>
    <row r="285" customFormat="false" ht="12" hidden="false" customHeight="true" outlineLevel="0" collapsed="false">
      <c r="A285" s="120" t="n">
        <f aca="false">EDATE(A284,1)</f>
        <v>45658</v>
      </c>
      <c r="B285" s="121" t="e">
        <f aca="false">VLOOKUP(A285,'Inputs-Summary'!$A$32:$E$41,3,FALSE())</f>
        <v>#N/A</v>
      </c>
      <c r="C285" s="122"/>
      <c r="D285" s="123" t="e">
        <f aca="false">B285+C285</f>
        <v>#N/A</v>
      </c>
      <c r="E285" s="111" t="n">
        <f aca="false">IF(Z285=0,0,IF(AND(Z285=1,$H$3=1),D285*U285,IF($H$3=2,D285,"N/A")))</f>
        <v>0</v>
      </c>
      <c r="F285" s="111" t="n">
        <f aca="false">E285*Y285</f>
        <v>0</v>
      </c>
      <c r="G285" s="124" t="n">
        <f aca="false">VLOOKUP($A285,Table,MATCH(G$4,Curves,0))</f>
        <v>3</v>
      </c>
      <c r="H285" s="125" t="n">
        <f aca="false">G285+$H$7</f>
        <v>3</v>
      </c>
      <c r="I285" s="124" t="n">
        <f aca="false">H285</f>
        <v>3</v>
      </c>
      <c r="J285" s="124" t="n">
        <f aca="false">VLOOKUP($A285,Table,MATCH(J$4,Curves,0))</f>
        <v>4</v>
      </c>
      <c r="K285" s="125" t="n">
        <f aca="false">J285+$K$7</f>
        <v>4</v>
      </c>
      <c r="L285" s="126" t="n">
        <f aca="false">K285</f>
        <v>4</v>
      </c>
      <c r="M285" s="124" t="n">
        <f aca="false">VLOOKUP($A285,Table,MATCH(M$4,Curves,0))</f>
        <v>4</v>
      </c>
      <c r="N285" s="125" t="n">
        <f aca="false">M285+$N$7</f>
        <v>4</v>
      </c>
      <c r="O285" s="126" t="n">
        <v>0.12</v>
      </c>
      <c r="P285" s="114"/>
      <c r="Q285" s="126" t="n">
        <f aca="false">M285+J285+G285</f>
        <v>11</v>
      </c>
      <c r="R285" s="126" t="n">
        <f aca="false">N285+K285+H285</f>
        <v>11</v>
      </c>
      <c r="S285" s="126" t="n">
        <f aca="false">O285+L285+I285</f>
        <v>7.12</v>
      </c>
      <c r="T285" s="127"/>
      <c r="U285" s="5" t="n">
        <f aca="false">A286-A285</f>
        <v>31</v>
      </c>
      <c r="V285" s="128" t="n">
        <f aca="false">CHOOSE(F$3,A286+24,A285)</f>
        <v>45658</v>
      </c>
      <c r="W285" s="5" t="n">
        <f aca="false">V285-C$3</f>
        <v>8427</v>
      </c>
      <c r="X285" s="124" t="n">
        <f aca="false">VLOOKUP($A285,Table,MATCH(X$4,Curves,0))</f>
        <v>2</v>
      </c>
      <c r="Y285" s="129" t="n">
        <f aca="false">1/(1+CHOOSE(F$3,(X286+($K$3/10000))/2,(X285+($K$3/10000))/2))^(2*W285/365.25)</f>
        <v>1.28632586064893E-014</v>
      </c>
      <c r="Z285" s="5" t="n">
        <f aca="false">IF(AND(mthbeg&lt;=A285,mthend&gt;=A285),1,0)</f>
        <v>0</v>
      </c>
      <c r="AA285" s="5" t="n">
        <f aca="false">U285*Z285</f>
        <v>0</v>
      </c>
      <c r="AC285" s="115" t="n">
        <f aca="false">IF(G278=2,F285*(S285-Q285),F285*(Q285-S285))</f>
        <v>0</v>
      </c>
      <c r="AE285" s="116" t="n">
        <f aca="false">IF($G$3=1,F285*(R285-Q285),F285*(Q285-R285))</f>
        <v>0</v>
      </c>
      <c r="AG285" s="116" t="n">
        <f aca="false">AC285+AE285</f>
        <v>0</v>
      </c>
    </row>
    <row r="286" customFormat="false" ht="12" hidden="false" customHeight="true" outlineLevel="0" collapsed="false">
      <c r="A286" s="120" t="n">
        <f aca="false">EDATE(A285,1)</f>
        <v>45689</v>
      </c>
      <c r="B286" s="121" t="e">
        <f aca="false">VLOOKUP(A286,'Inputs-Summary'!$A$32:$E$41,3,FALSE())</f>
        <v>#N/A</v>
      </c>
      <c r="C286" s="122"/>
      <c r="D286" s="123" t="e">
        <f aca="false">B286+C286</f>
        <v>#N/A</v>
      </c>
      <c r="E286" s="111" t="n">
        <f aca="false">IF(Z286=0,0,IF(AND(Z286=1,$H$3=1),D286*U286,IF($H$3=2,D286,"N/A")))</f>
        <v>0</v>
      </c>
      <c r="F286" s="111" t="n">
        <f aca="false">E286*Y286</f>
        <v>0</v>
      </c>
      <c r="G286" s="124" t="n">
        <f aca="false">VLOOKUP($A286,Table,MATCH(G$4,Curves,0))</f>
        <v>3</v>
      </c>
      <c r="H286" s="125" t="n">
        <f aca="false">G286+$H$7</f>
        <v>3</v>
      </c>
      <c r="I286" s="124" t="n">
        <f aca="false">H286</f>
        <v>3</v>
      </c>
      <c r="J286" s="124" t="n">
        <f aca="false">VLOOKUP($A286,Table,MATCH(J$4,Curves,0))</f>
        <v>4</v>
      </c>
      <c r="K286" s="125" t="n">
        <f aca="false">J286+$K$7</f>
        <v>4</v>
      </c>
      <c r="L286" s="126" t="n">
        <f aca="false">K286</f>
        <v>4</v>
      </c>
      <c r="M286" s="124" t="n">
        <f aca="false">VLOOKUP($A286,Table,MATCH(M$4,Curves,0))</f>
        <v>4</v>
      </c>
      <c r="N286" s="125" t="n">
        <f aca="false">M286+$N$7</f>
        <v>4</v>
      </c>
      <c r="O286" s="126" t="n">
        <v>0.12</v>
      </c>
      <c r="P286" s="114"/>
      <c r="Q286" s="126" t="n">
        <f aca="false">M286+J286+G286</f>
        <v>11</v>
      </c>
      <c r="R286" s="126" t="n">
        <f aca="false">N286+K286+H286</f>
        <v>11</v>
      </c>
      <c r="S286" s="126" t="n">
        <f aca="false">O286+L286+I286</f>
        <v>7.12</v>
      </c>
      <c r="T286" s="127"/>
      <c r="U286" s="5" t="n">
        <f aca="false">A287-A286</f>
        <v>28</v>
      </c>
      <c r="V286" s="128" t="n">
        <f aca="false">CHOOSE(F$3,A287+24,A286)</f>
        <v>45689</v>
      </c>
      <c r="W286" s="5" t="n">
        <f aca="false">V286-C$3</f>
        <v>8458</v>
      </c>
      <c r="X286" s="124" t="n">
        <f aca="false">VLOOKUP($A286,Table,MATCH(X$4,Curves,0))</f>
        <v>2</v>
      </c>
      <c r="Y286" s="129" t="n">
        <f aca="false">1/(1+CHOOSE(F$3,(X287+($K$3/10000))/2,(X286+($K$3/10000))/2))^(2*W286/365.25)</f>
        <v>1.14354204699078E-014</v>
      </c>
      <c r="Z286" s="5" t="n">
        <f aca="false">IF(AND(mthbeg&lt;=A286,mthend&gt;=A286),1,0)</f>
        <v>0</v>
      </c>
      <c r="AA286" s="5" t="n">
        <f aca="false">U286*Z286</f>
        <v>0</v>
      </c>
      <c r="AC286" s="115" t="n">
        <f aca="false">IF(G279=2,F286*(S286-Q286),F286*(Q286-S286))</f>
        <v>0</v>
      </c>
      <c r="AE286" s="116" t="n">
        <f aca="false">IF($G$3=1,F286*(R286-Q286),F286*(Q286-R286))</f>
        <v>0</v>
      </c>
      <c r="AG286" s="116" t="n">
        <f aca="false">AC286+AE286</f>
        <v>0</v>
      </c>
    </row>
    <row r="287" customFormat="false" ht="12" hidden="false" customHeight="true" outlineLevel="0" collapsed="false">
      <c r="A287" s="120" t="n">
        <f aca="false">EDATE(A286,1)</f>
        <v>45717</v>
      </c>
      <c r="B287" s="121" t="e">
        <f aca="false">VLOOKUP(A287,'Inputs-Summary'!$A$32:$E$41,3,FALSE())</f>
        <v>#N/A</v>
      </c>
      <c r="C287" s="122"/>
      <c r="D287" s="123" t="e">
        <f aca="false">B287+C287</f>
        <v>#N/A</v>
      </c>
      <c r="E287" s="111" t="n">
        <f aca="false">IF(Z287=0,0,IF(AND(Z287=1,$H$3=1),D287*U287,IF($H$3=2,D287,"N/A")))</f>
        <v>0</v>
      </c>
      <c r="F287" s="111" t="n">
        <f aca="false">E287*Y287</f>
        <v>0</v>
      </c>
      <c r="G287" s="124" t="n">
        <f aca="false">VLOOKUP($A287,Table,MATCH(G$4,Curves,0))</f>
        <v>3</v>
      </c>
      <c r="H287" s="125" t="n">
        <f aca="false">G287+$H$7</f>
        <v>3</v>
      </c>
      <c r="I287" s="124" t="n">
        <f aca="false">H287</f>
        <v>3</v>
      </c>
      <c r="J287" s="124" t="n">
        <f aca="false">VLOOKUP($A287,Table,MATCH(J$4,Curves,0))</f>
        <v>4</v>
      </c>
      <c r="K287" s="125" t="n">
        <f aca="false">J287+$K$7</f>
        <v>4</v>
      </c>
      <c r="L287" s="126" t="n">
        <f aca="false">K287</f>
        <v>4</v>
      </c>
      <c r="M287" s="124" t="n">
        <f aca="false">VLOOKUP($A287,Table,MATCH(M$4,Curves,0))</f>
        <v>4</v>
      </c>
      <c r="N287" s="125" t="n">
        <f aca="false">M287+$N$7</f>
        <v>4</v>
      </c>
      <c r="O287" s="126" t="n">
        <v>0.12</v>
      </c>
      <c r="P287" s="114"/>
      <c r="Q287" s="126" t="n">
        <f aca="false">M287+J287+G287</f>
        <v>11</v>
      </c>
      <c r="R287" s="126" t="n">
        <f aca="false">N287+K287+H287</f>
        <v>11</v>
      </c>
      <c r="S287" s="126" t="n">
        <f aca="false">O287+L287+I287</f>
        <v>7.12</v>
      </c>
      <c r="T287" s="127"/>
      <c r="U287" s="5" t="n">
        <f aca="false">A288-A287</f>
        <v>31</v>
      </c>
      <c r="V287" s="128" t="n">
        <f aca="false">CHOOSE(F$3,A288+24,A287)</f>
        <v>45717</v>
      </c>
      <c r="W287" s="5" t="n">
        <f aca="false">V287-C$3</f>
        <v>8486</v>
      </c>
      <c r="X287" s="124" t="n">
        <f aca="false">VLOOKUP($A287,Table,MATCH(X$4,Curves,0))</f>
        <v>2</v>
      </c>
      <c r="Y287" s="129" t="n">
        <f aca="false">1/(1+CHOOSE(F$3,(X288+($K$3/10000))/2,(X287+($K$3/10000))/2))^(2*W287/365.25)</f>
        <v>1.02824907158502E-014</v>
      </c>
      <c r="Z287" s="5" t="n">
        <f aca="false">IF(AND(mthbeg&lt;=A287,mthend&gt;=A287),1,0)</f>
        <v>0</v>
      </c>
      <c r="AA287" s="5" t="n">
        <f aca="false">U287*Z287</f>
        <v>0</v>
      </c>
      <c r="AC287" s="115" t="n">
        <f aca="false">IF(G280=2,F287*(S287-Q287),F287*(Q287-S287))</f>
        <v>0</v>
      </c>
      <c r="AE287" s="116" t="n">
        <f aca="false">IF($G$3=1,F287*(R287-Q287),F287*(Q287-R287))</f>
        <v>0</v>
      </c>
      <c r="AG287" s="116" t="n">
        <f aca="false">AC287+AE287</f>
        <v>0</v>
      </c>
    </row>
    <row r="288" customFormat="false" ht="12" hidden="false" customHeight="true" outlineLevel="0" collapsed="false">
      <c r="A288" s="120" t="n">
        <f aca="false">EDATE(A287,1)</f>
        <v>45748</v>
      </c>
      <c r="B288" s="121" t="e">
        <f aca="false">VLOOKUP(A288,'Inputs-Summary'!$A$32:$E$41,3,FALSE())</f>
        <v>#N/A</v>
      </c>
      <c r="C288" s="122"/>
      <c r="D288" s="123" t="e">
        <f aca="false">B288+C288</f>
        <v>#N/A</v>
      </c>
      <c r="E288" s="111" t="n">
        <f aca="false">IF(Z288=0,0,IF(AND(Z288=1,$H$3=1),D288*U288,IF($H$3=2,D288,"N/A")))</f>
        <v>0</v>
      </c>
      <c r="F288" s="111" t="n">
        <f aca="false">E288*Y288</f>
        <v>0</v>
      </c>
      <c r="G288" s="124" t="n">
        <f aca="false">VLOOKUP($A288,Table,MATCH(G$4,Curves,0))</f>
        <v>3</v>
      </c>
      <c r="H288" s="125" t="n">
        <f aca="false">G288+$H$7</f>
        <v>3</v>
      </c>
      <c r="I288" s="124" t="n">
        <f aca="false">H288</f>
        <v>3</v>
      </c>
      <c r="J288" s="124" t="n">
        <f aca="false">VLOOKUP($A288,Table,MATCH(J$4,Curves,0))</f>
        <v>4</v>
      </c>
      <c r="K288" s="125" t="n">
        <f aca="false">J288+$K$7</f>
        <v>4</v>
      </c>
      <c r="L288" s="126" t="n">
        <f aca="false">K288</f>
        <v>4</v>
      </c>
      <c r="M288" s="124" t="n">
        <f aca="false">VLOOKUP($A288,Table,MATCH(M$4,Curves,0))</f>
        <v>4</v>
      </c>
      <c r="N288" s="125" t="n">
        <f aca="false">M288+$N$7</f>
        <v>4</v>
      </c>
      <c r="O288" s="126" t="n">
        <v>0.12</v>
      </c>
      <c r="P288" s="114"/>
      <c r="Q288" s="126" t="n">
        <f aca="false">M288+J288+G288</f>
        <v>11</v>
      </c>
      <c r="R288" s="126" t="n">
        <f aca="false">N288+K288+H288</f>
        <v>11</v>
      </c>
      <c r="S288" s="126" t="n">
        <f aca="false">O288+L288+I288</f>
        <v>7.12</v>
      </c>
      <c r="T288" s="127"/>
      <c r="U288" s="5" t="n">
        <f aca="false">A289-A288</f>
        <v>30</v>
      </c>
      <c r="V288" s="128" t="n">
        <f aca="false">CHOOSE(F$3,A289+24,A288)</f>
        <v>45748</v>
      </c>
      <c r="W288" s="5" t="n">
        <f aca="false">V288-C$3</f>
        <v>8517</v>
      </c>
      <c r="X288" s="124" t="n">
        <f aca="false">VLOOKUP($A288,Table,MATCH(X$4,Curves,0))</f>
        <v>2</v>
      </c>
      <c r="Y288" s="129" t="n">
        <f aca="false">1/(1+CHOOSE(F$3,(X289+($K$3/10000))/2,(X288+($K$3/10000))/2))^(2*W288/365.25)</f>
        <v>9.14112111174924E-015</v>
      </c>
      <c r="Z288" s="5" t="n">
        <f aca="false">IF(AND(mthbeg&lt;=A288,mthend&gt;=A288),1,0)</f>
        <v>0</v>
      </c>
      <c r="AA288" s="5" t="n">
        <f aca="false">U288*Z288</f>
        <v>0</v>
      </c>
      <c r="AC288" s="115" t="n">
        <f aca="false">IF(G281=2,F288*(S288-Q288),F288*(Q288-S288))</f>
        <v>0</v>
      </c>
      <c r="AE288" s="116" t="n">
        <f aca="false">IF($G$3=1,F288*(R288-Q288),F288*(Q288-R288))</f>
        <v>0</v>
      </c>
      <c r="AG288" s="116" t="n">
        <f aca="false">AC288+AE288</f>
        <v>0</v>
      </c>
    </row>
    <row r="289" customFormat="false" ht="12" hidden="false" customHeight="true" outlineLevel="0" collapsed="false">
      <c r="A289" s="120" t="n">
        <f aca="false">EDATE(A288,1)</f>
        <v>45778</v>
      </c>
      <c r="B289" s="121" t="e">
        <f aca="false">VLOOKUP(A289,'Inputs-Summary'!$A$32:$E$41,3,FALSE())</f>
        <v>#N/A</v>
      </c>
      <c r="C289" s="122"/>
      <c r="D289" s="123" t="e">
        <f aca="false">B289+C289</f>
        <v>#N/A</v>
      </c>
      <c r="E289" s="111" t="n">
        <f aca="false">IF(Z289=0,0,IF(AND(Z289=1,$H$3=1),D289*U289,IF($H$3=2,D289,"N/A")))</f>
        <v>0</v>
      </c>
      <c r="F289" s="111" t="n">
        <f aca="false">E289*Y289</f>
        <v>0</v>
      </c>
      <c r="G289" s="124" t="n">
        <f aca="false">VLOOKUP($A289,Table,MATCH(G$4,Curves,0))</f>
        <v>3</v>
      </c>
      <c r="H289" s="125" t="n">
        <f aca="false">G289+$H$7</f>
        <v>3</v>
      </c>
      <c r="I289" s="124" t="n">
        <f aca="false">H289</f>
        <v>3</v>
      </c>
      <c r="J289" s="124" t="n">
        <f aca="false">VLOOKUP($A289,Table,MATCH(J$4,Curves,0))</f>
        <v>4</v>
      </c>
      <c r="K289" s="125" t="n">
        <f aca="false">J289+$K$7</f>
        <v>4</v>
      </c>
      <c r="L289" s="126" t="n">
        <f aca="false">K289</f>
        <v>4</v>
      </c>
      <c r="M289" s="124" t="n">
        <f aca="false">VLOOKUP($A289,Table,MATCH(M$4,Curves,0))</f>
        <v>4</v>
      </c>
      <c r="N289" s="125" t="n">
        <f aca="false">M289+$N$7</f>
        <v>4</v>
      </c>
      <c r="O289" s="126" t="n">
        <v>0.12</v>
      </c>
      <c r="P289" s="114"/>
      <c r="Q289" s="126" t="n">
        <f aca="false">M289+J289+G289</f>
        <v>11</v>
      </c>
      <c r="R289" s="126" t="n">
        <f aca="false">N289+K289+H289</f>
        <v>11</v>
      </c>
      <c r="S289" s="126" t="n">
        <f aca="false">O289+L289+I289</f>
        <v>7.12</v>
      </c>
      <c r="T289" s="127"/>
      <c r="U289" s="5" t="n">
        <f aca="false">A290-A289</f>
        <v>31</v>
      </c>
      <c r="V289" s="128" t="n">
        <f aca="false">CHOOSE(F$3,A290+24,A289)</f>
        <v>45778</v>
      </c>
      <c r="W289" s="5" t="n">
        <f aca="false">V289-C$3</f>
        <v>8547</v>
      </c>
      <c r="X289" s="124" t="n">
        <f aca="false">VLOOKUP($A289,Table,MATCH(X$4,Curves,0))</f>
        <v>2</v>
      </c>
      <c r="Y289" s="129" t="n">
        <f aca="false">1/(1+CHOOSE(F$3,(X290+($K$3/10000))/2,(X289+($K$3/10000))/2))^(2*W289/365.25)</f>
        <v>8.15734725349671E-015</v>
      </c>
      <c r="Z289" s="5" t="n">
        <f aca="false">IF(AND(mthbeg&lt;=A289,mthend&gt;=A289),1,0)</f>
        <v>0</v>
      </c>
      <c r="AA289" s="5" t="n">
        <f aca="false">U289*Z289</f>
        <v>0</v>
      </c>
      <c r="AC289" s="115" t="n">
        <f aca="false">IF(G282=2,F289*(S289-Q289),F289*(Q289-S289))</f>
        <v>0</v>
      </c>
      <c r="AE289" s="116" t="n">
        <f aca="false">IF($G$3=1,F289*(R289-Q289),F289*(Q289-R289))</f>
        <v>0</v>
      </c>
      <c r="AG289" s="116" t="n">
        <f aca="false">AC289+AE289</f>
        <v>0</v>
      </c>
    </row>
    <row r="290" customFormat="false" ht="12" hidden="false" customHeight="true" outlineLevel="0" collapsed="false">
      <c r="A290" s="120" t="n">
        <f aca="false">EDATE(A289,1)</f>
        <v>45809</v>
      </c>
      <c r="B290" s="121" t="e">
        <f aca="false">VLOOKUP(A290,'Inputs-Summary'!$A$32:$E$41,3,FALSE())</f>
        <v>#N/A</v>
      </c>
      <c r="C290" s="122"/>
      <c r="D290" s="123" t="e">
        <f aca="false">B290+C290</f>
        <v>#N/A</v>
      </c>
      <c r="E290" s="111" t="n">
        <f aca="false">IF(Z290=0,0,IF(AND(Z290=1,$H$3=1),D290*U290,IF($H$3=2,D290,"N/A")))</f>
        <v>0</v>
      </c>
      <c r="F290" s="111" t="n">
        <f aca="false">E290*Y290</f>
        <v>0</v>
      </c>
      <c r="G290" s="124" t="n">
        <f aca="false">VLOOKUP($A290,Table,MATCH(G$4,Curves,0))</f>
        <v>3</v>
      </c>
      <c r="H290" s="125" t="n">
        <f aca="false">G290+$H$7</f>
        <v>3</v>
      </c>
      <c r="I290" s="124" t="n">
        <f aca="false">H290</f>
        <v>3</v>
      </c>
      <c r="J290" s="124" t="n">
        <f aca="false">VLOOKUP($A290,Table,MATCH(J$4,Curves,0))</f>
        <v>4</v>
      </c>
      <c r="K290" s="125" t="n">
        <f aca="false">J290+$K$7</f>
        <v>4</v>
      </c>
      <c r="L290" s="126" t="n">
        <f aca="false">K290</f>
        <v>4</v>
      </c>
      <c r="M290" s="124" t="n">
        <f aca="false">VLOOKUP($A290,Table,MATCH(M$4,Curves,0))</f>
        <v>4</v>
      </c>
      <c r="N290" s="125" t="n">
        <f aca="false">M290+$N$7</f>
        <v>4</v>
      </c>
      <c r="O290" s="126" t="n">
        <v>0.12</v>
      </c>
      <c r="P290" s="114"/>
      <c r="Q290" s="126" t="n">
        <f aca="false">M290+J290+G290</f>
        <v>11</v>
      </c>
      <c r="R290" s="126" t="n">
        <f aca="false">N290+K290+H290</f>
        <v>11</v>
      </c>
      <c r="S290" s="126" t="n">
        <f aca="false">O290+L290+I290</f>
        <v>7.12</v>
      </c>
      <c r="T290" s="127"/>
      <c r="U290" s="5" t="n">
        <f aca="false">A291-A290</f>
        <v>30</v>
      </c>
      <c r="V290" s="128" t="n">
        <f aca="false">CHOOSE(F$3,A291+24,A290)</f>
        <v>45809</v>
      </c>
      <c r="W290" s="5" t="n">
        <f aca="false">V290-C$3</f>
        <v>8578</v>
      </c>
      <c r="X290" s="124" t="n">
        <f aca="false">VLOOKUP($A290,Table,MATCH(X$4,Curves,0))</f>
        <v>2</v>
      </c>
      <c r="Y290" s="129" t="n">
        <f aca="false">1/(1+CHOOSE(F$3,(X291+($K$3/10000))/2,(X290+($K$3/10000))/2))^(2*W290/365.25)</f>
        <v>7.25187128833142E-015</v>
      </c>
      <c r="Z290" s="5" t="n">
        <f aca="false">IF(AND(mthbeg&lt;=A290,mthend&gt;=A290),1,0)</f>
        <v>0</v>
      </c>
      <c r="AA290" s="5" t="n">
        <f aca="false">U290*Z290</f>
        <v>0</v>
      </c>
      <c r="AC290" s="115" t="n">
        <f aca="false">IF(G283=2,F290*(S290-Q290),F290*(Q290-S290))</f>
        <v>0</v>
      </c>
      <c r="AE290" s="116" t="n">
        <f aca="false">IF($G$3=1,F290*(R290-Q290),F290*(Q290-R290))</f>
        <v>0</v>
      </c>
      <c r="AG290" s="116" t="n">
        <f aca="false">AC290+AE290</f>
        <v>0</v>
      </c>
    </row>
    <row r="291" customFormat="false" ht="12" hidden="false" customHeight="true" outlineLevel="0" collapsed="false">
      <c r="A291" s="120" t="n">
        <f aca="false">EDATE(A290,1)</f>
        <v>45839</v>
      </c>
      <c r="B291" s="121" t="e">
        <f aca="false">VLOOKUP(A291,'Inputs-Summary'!$A$32:$E$41,3,FALSE())</f>
        <v>#N/A</v>
      </c>
      <c r="C291" s="122"/>
      <c r="D291" s="123" t="e">
        <f aca="false">B291+C291</f>
        <v>#N/A</v>
      </c>
      <c r="E291" s="111" t="n">
        <f aca="false">IF(Z291=0,0,IF(AND(Z291=1,$H$3=1),D291*U291,IF($H$3=2,D291,"N/A")))</f>
        <v>0</v>
      </c>
      <c r="F291" s="111" t="n">
        <f aca="false">E291*Y291</f>
        <v>0</v>
      </c>
      <c r="G291" s="124" t="n">
        <f aca="false">VLOOKUP($A291,Table,MATCH(G$4,Curves,0))</f>
        <v>3</v>
      </c>
      <c r="H291" s="125" t="n">
        <f aca="false">G291+$H$7</f>
        <v>3</v>
      </c>
      <c r="I291" s="124" t="n">
        <f aca="false">H291</f>
        <v>3</v>
      </c>
      <c r="J291" s="124" t="n">
        <f aca="false">VLOOKUP($A291,Table,MATCH(J$4,Curves,0))</f>
        <v>4</v>
      </c>
      <c r="K291" s="125" t="n">
        <f aca="false">J291+$K$7</f>
        <v>4</v>
      </c>
      <c r="L291" s="126" t="n">
        <f aca="false">K291</f>
        <v>4</v>
      </c>
      <c r="M291" s="124" t="n">
        <f aca="false">VLOOKUP($A291,Table,MATCH(M$4,Curves,0))</f>
        <v>4</v>
      </c>
      <c r="N291" s="125" t="n">
        <f aca="false">M291+$N$7</f>
        <v>4</v>
      </c>
      <c r="O291" s="126" t="n">
        <v>0.12</v>
      </c>
      <c r="P291" s="114"/>
      <c r="Q291" s="126" t="n">
        <f aca="false">M291+J291+G291</f>
        <v>11</v>
      </c>
      <c r="R291" s="126" t="n">
        <f aca="false">N291+K291+H291</f>
        <v>11</v>
      </c>
      <c r="S291" s="126" t="n">
        <f aca="false">O291+L291+I291</f>
        <v>7.12</v>
      </c>
      <c r="T291" s="127"/>
      <c r="U291" s="5" t="n">
        <f aca="false">A292-A291</f>
        <v>31</v>
      </c>
      <c r="V291" s="128" t="n">
        <f aca="false">CHOOSE(F$3,A292+24,A291)</f>
        <v>45839</v>
      </c>
      <c r="W291" s="5" t="n">
        <f aca="false">V291-C$3</f>
        <v>8608</v>
      </c>
      <c r="X291" s="124" t="n">
        <f aca="false">VLOOKUP($A291,Table,MATCH(X$4,Curves,0))</f>
        <v>2</v>
      </c>
      <c r="Y291" s="129" t="n">
        <f aca="false">1/(1+CHOOSE(F$3,(X292+($K$3/10000))/2,(X291+($K$3/10000))/2))^(2*W291/365.25)</f>
        <v>6.47141981967044E-015</v>
      </c>
      <c r="Z291" s="5" t="n">
        <f aca="false">IF(AND(mthbeg&lt;=A291,mthend&gt;=A291),1,0)</f>
        <v>0</v>
      </c>
      <c r="AA291" s="5" t="n">
        <f aca="false">U291*Z291</f>
        <v>0</v>
      </c>
      <c r="AC291" s="115" t="n">
        <f aca="false">IF(G284=2,F291*(S291-Q291),F291*(Q291-S291))</f>
        <v>0</v>
      </c>
      <c r="AE291" s="116" t="n">
        <f aca="false">IF($G$3=1,F291*(R291-Q291),F291*(Q291-R291))</f>
        <v>0</v>
      </c>
      <c r="AG291" s="116" t="n">
        <f aca="false">AC291+AE291</f>
        <v>0</v>
      </c>
    </row>
    <row r="292" customFormat="false" ht="12" hidden="false" customHeight="true" outlineLevel="0" collapsed="false">
      <c r="A292" s="120" t="n">
        <f aca="false">EDATE(A291,1)</f>
        <v>45870</v>
      </c>
      <c r="B292" s="121" t="e">
        <f aca="false">VLOOKUP(A292,'Inputs-Summary'!$A$32:$E$41,3,FALSE())</f>
        <v>#N/A</v>
      </c>
      <c r="C292" s="122"/>
      <c r="D292" s="123" t="e">
        <f aca="false">B292+C292</f>
        <v>#N/A</v>
      </c>
      <c r="E292" s="111" t="n">
        <f aca="false">IF(Z292=0,0,IF(AND(Z292=1,$H$3=1),D292*U292,IF($H$3=2,D292,"N/A")))</f>
        <v>0</v>
      </c>
      <c r="F292" s="111" t="n">
        <f aca="false">E292*Y292</f>
        <v>0</v>
      </c>
      <c r="G292" s="124" t="n">
        <f aca="false">VLOOKUP($A292,Table,MATCH(G$4,Curves,0))</f>
        <v>3</v>
      </c>
      <c r="H292" s="125" t="n">
        <f aca="false">G292+$H$7</f>
        <v>3</v>
      </c>
      <c r="I292" s="124" t="n">
        <f aca="false">H292</f>
        <v>3</v>
      </c>
      <c r="J292" s="124" t="n">
        <f aca="false">VLOOKUP($A292,Table,MATCH(J$4,Curves,0))</f>
        <v>4</v>
      </c>
      <c r="K292" s="125" t="n">
        <f aca="false">J292+$K$7</f>
        <v>4</v>
      </c>
      <c r="L292" s="126" t="n">
        <f aca="false">K292</f>
        <v>4</v>
      </c>
      <c r="M292" s="124" t="n">
        <f aca="false">VLOOKUP($A292,Table,MATCH(M$4,Curves,0))</f>
        <v>4</v>
      </c>
      <c r="N292" s="125" t="n">
        <f aca="false">M292+$N$7</f>
        <v>4</v>
      </c>
      <c r="O292" s="126" t="n">
        <v>0.12</v>
      </c>
      <c r="P292" s="114"/>
      <c r="Q292" s="126" t="n">
        <f aca="false">M292+J292+G292</f>
        <v>11</v>
      </c>
      <c r="R292" s="126" t="n">
        <f aca="false">N292+K292+H292</f>
        <v>11</v>
      </c>
      <c r="S292" s="126" t="n">
        <f aca="false">O292+L292+I292</f>
        <v>7.12</v>
      </c>
      <c r="T292" s="127"/>
      <c r="U292" s="5" t="n">
        <f aca="false">A293-A292</f>
        <v>31</v>
      </c>
      <c r="V292" s="128" t="n">
        <f aca="false">CHOOSE(F$3,A293+24,A292)</f>
        <v>45870</v>
      </c>
      <c r="W292" s="5" t="n">
        <f aca="false">V292-C$3</f>
        <v>8639</v>
      </c>
      <c r="X292" s="124" t="n">
        <f aca="false">VLOOKUP($A292,Table,MATCH(X$4,Curves,0))</f>
        <v>2</v>
      </c>
      <c r="Y292" s="129" t="n">
        <f aca="false">1/(1+CHOOSE(F$3,(X293+($K$3/10000))/2,(X292+($K$3/10000))/2))^(2*W292/365.25)</f>
        <v>5.7530839532288E-015</v>
      </c>
      <c r="Z292" s="5" t="n">
        <f aca="false">IF(AND(mthbeg&lt;=A292,mthend&gt;=A292),1,0)</f>
        <v>0</v>
      </c>
      <c r="AA292" s="5" t="n">
        <f aca="false">U292*Z292</f>
        <v>0</v>
      </c>
      <c r="AC292" s="115" t="n">
        <f aca="false">IF(G285=2,F292*(S292-Q292),F292*(Q292-S292))</f>
        <v>0</v>
      </c>
      <c r="AE292" s="116" t="n">
        <f aca="false">IF($G$3=1,F292*(R292-Q292),F292*(Q292-R292))</f>
        <v>0</v>
      </c>
      <c r="AG292" s="116" t="n">
        <f aca="false">AC292+AE292</f>
        <v>0</v>
      </c>
    </row>
    <row r="293" customFormat="false" ht="12" hidden="false" customHeight="true" outlineLevel="0" collapsed="false">
      <c r="A293" s="120" t="n">
        <f aca="false">EDATE(A292,1)</f>
        <v>45901</v>
      </c>
      <c r="B293" s="121" t="e">
        <f aca="false">VLOOKUP(A293,'Inputs-Summary'!$A$32:$E$41,3,FALSE())</f>
        <v>#N/A</v>
      </c>
      <c r="C293" s="122"/>
      <c r="D293" s="123" t="e">
        <f aca="false">B293+C293</f>
        <v>#N/A</v>
      </c>
      <c r="E293" s="111" t="n">
        <f aca="false">IF(Z293=0,0,IF(AND(Z293=1,$H$3=1),D293*U293,IF($H$3=2,D293,"N/A")))</f>
        <v>0</v>
      </c>
      <c r="F293" s="111" t="n">
        <f aca="false">E293*Y293</f>
        <v>0</v>
      </c>
      <c r="G293" s="124" t="n">
        <f aca="false">VLOOKUP($A293,Table,MATCH(G$4,Curves,0))</f>
        <v>3</v>
      </c>
      <c r="H293" s="125" t="n">
        <f aca="false">G293+$H$7</f>
        <v>3</v>
      </c>
      <c r="I293" s="124" t="n">
        <f aca="false">H293</f>
        <v>3</v>
      </c>
      <c r="J293" s="124" t="n">
        <f aca="false">VLOOKUP($A293,Table,MATCH(J$4,Curves,0))</f>
        <v>4</v>
      </c>
      <c r="K293" s="125" t="n">
        <f aca="false">J293+$K$7</f>
        <v>4</v>
      </c>
      <c r="L293" s="126" t="n">
        <f aca="false">K293</f>
        <v>4</v>
      </c>
      <c r="M293" s="124" t="n">
        <f aca="false">VLOOKUP($A293,Table,MATCH(M$4,Curves,0))</f>
        <v>4</v>
      </c>
      <c r="N293" s="125" t="n">
        <f aca="false">M293+$N$7</f>
        <v>4</v>
      </c>
      <c r="O293" s="126" t="n">
        <v>0.12</v>
      </c>
      <c r="P293" s="114"/>
      <c r="Q293" s="126" t="n">
        <f aca="false">M293+J293+G293</f>
        <v>11</v>
      </c>
      <c r="R293" s="126" t="n">
        <f aca="false">N293+K293+H293</f>
        <v>11</v>
      </c>
      <c r="S293" s="126" t="n">
        <f aca="false">O293+L293+I293</f>
        <v>7.12</v>
      </c>
      <c r="T293" s="127"/>
      <c r="U293" s="5" t="n">
        <f aca="false">A294-A293</f>
        <v>30</v>
      </c>
      <c r="V293" s="128" t="n">
        <f aca="false">CHOOSE(F$3,A294+24,A293)</f>
        <v>45901</v>
      </c>
      <c r="W293" s="5" t="n">
        <f aca="false">V293-C$3</f>
        <v>8670</v>
      </c>
      <c r="X293" s="124" t="n">
        <f aca="false">VLOOKUP($A293,Table,MATCH(X$4,Curves,0))</f>
        <v>2</v>
      </c>
      <c r="Y293" s="129" t="n">
        <f aca="false">1/(1+CHOOSE(F$3,(X294+($K$3/10000))/2,(X293+($K$3/10000))/2))^(2*W293/365.25)</f>
        <v>5.11448428554961E-015</v>
      </c>
      <c r="Z293" s="5" t="n">
        <f aca="false">IF(AND(mthbeg&lt;=A293,mthend&gt;=A293),1,0)</f>
        <v>0</v>
      </c>
      <c r="AA293" s="5" t="n">
        <f aca="false">U293*Z293</f>
        <v>0</v>
      </c>
      <c r="AC293" s="115" t="n">
        <f aca="false">IF(G286=2,F293*(S293-Q293),F293*(Q293-S293))</f>
        <v>0</v>
      </c>
      <c r="AE293" s="116" t="n">
        <f aca="false">IF($G$3=1,F293*(R293-Q293),F293*(Q293-R293))</f>
        <v>0</v>
      </c>
      <c r="AG293" s="116" t="n">
        <f aca="false">AC293+AE293</f>
        <v>0</v>
      </c>
    </row>
    <row r="294" customFormat="false" ht="12" hidden="false" customHeight="true" outlineLevel="0" collapsed="false">
      <c r="A294" s="120" t="n">
        <f aca="false">EDATE(A293,1)</f>
        <v>45931</v>
      </c>
      <c r="B294" s="121" t="e">
        <f aca="false">VLOOKUP(A294,'Inputs-Summary'!$A$32:$E$41,3,FALSE())</f>
        <v>#N/A</v>
      </c>
      <c r="C294" s="122"/>
      <c r="D294" s="123" t="e">
        <f aca="false">B294+C294</f>
        <v>#N/A</v>
      </c>
      <c r="E294" s="111" t="n">
        <f aca="false">IF(Z294=0,0,IF(AND(Z294=1,$H$3=1),D294*U294,IF($H$3=2,D294,"N/A")))</f>
        <v>0</v>
      </c>
      <c r="F294" s="111" t="n">
        <f aca="false">E294*Y294</f>
        <v>0</v>
      </c>
      <c r="G294" s="124" t="n">
        <f aca="false">VLOOKUP($A294,Table,MATCH(G$4,Curves,0))</f>
        <v>3</v>
      </c>
      <c r="H294" s="125" t="n">
        <f aca="false">G294+$H$7</f>
        <v>3</v>
      </c>
      <c r="I294" s="124" t="n">
        <f aca="false">H294</f>
        <v>3</v>
      </c>
      <c r="J294" s="124" t="n">
        <f aca="false">VLOOKUP($A294,Table,MATCH(J$4,Curves,0))</f>
        <v>4</v>
      </c>
      <c r="K294" s="125" t="n">
        <f aca="false">J294+$K$7</f>
        <v>4</v>
      </c>
      <c r="L294" s="126" t="n">
        <f aca="false">K294</f>
        <v>4</v>
      </c>
      <c r="M294" s="124" t="n">
        <f aca="false">VLOOKUP($A294,Table,MATCH(M$4,Curves,0))</f>
        <v>4</v>
      </c>
      <c r="N294" s="125" t="n">
        <f aca="false">M294+$N$7</f>
        <v>4</v>
      </c>
      <c r="O294" s="126" t="n">
        <v>0.12</v>
      </c>
      <c r="P294" s="114"/>
      <c r="Q294" s="126" t="n">
        <f aca="false">M294+J294+G294</f>
        <v>11</v>
      </c>
      <c r="R294" s="126" t="n">
        <f aca="false">N294+K294+H294</f>
        <v>11</v>
      </c>
      <c r="S294" s="126" t="n">
        <f aca="false">O294+L294+I294</f>
        <v>7.12</v>
      </c>
      <c r="T294" s="127"/>
      <c r="U294" s="5" t="n">
        <f aca="false">A295-A294</f>
        <v>31</v>
      </c>
      <c r="V294" s="128" t="n">
        <f aca="false">CHOOSE(F$3,A295+24,A294)</f>
        <v>45931</v>
      </c>
      <c r="W294" s="5" t="n">
        <f aca="false">V294-C$3</f>
        <v>8700</v>
      </c>
      <c r="X294" s="124" t="n">
        <f aca="false">VLOOKUP($A294,Table,MATCH(X$4,Curves,0))</f>
        <v>2</v>
      </c>
      <c r="Y294" s="129" t="n">
        <f aca="false">1/(1+CHOOSE(F$3,(X295+($K$3/10000))/2,(X294+($K$3/10000))/2))^(2*W294/365.25)</f>
        <v>4.56405990356653E-015</v>
      </c>
      <c r="Z294" s="5" t="n">
        <f aca="false">IF(AND(mthbeg&lt;=A294,mthend&gt;=A294),1,0)</f>
        <v>0</v>
      </c>
      <c r="AA294" s="5" t="n">
        <f aca="false">U294*Z294</f>
        <v>0</v>
      </c>
      <c r="AC294" s="115" t="n">
        <f aca="false">IF(G287=2,F294*(S294-Q294),F294*(Q294-S294))</f>
        <v>0</v>
      </c>
      <c r="AE294" s="116" t="n">
        <f aca="false">IF($G$3=1,F294*(R294-Q294),F294*(Q294-R294))</f>
        <v>0</v>
      </c>
      <c r="AG294" s="116" t="n">
        <f aca="false">AC294+AE294</f>
        <v>0</v>
      </c>
    </row>
    <row r="295" customFormat="false" ht="12" hidden="false" customHeight="true" outlineLevel="0" collapsed="false">
      <c r="A295" s="120" t="n">
        <f aca="false">EDATE(A294,1)</f>
        <v>45962</v>
      </c>
      <c r="B295" s="121" t="e">
        <f aca="false">VLOOKUP(A295,'Inputs-Summary'!$A$32:$E$41,3,FALSE())</f>
        <v>#N/A</v>
      </c>
      <c r="C295" s="122"/>
      <c r="D295" s="123" t="e">
        <f aca="false">B295+C295</f>
        <v>#N/A</v>
      </c>
      <c r="E295" s="111" t="n">
        <f aca="false">IF(Z295=0,0,IF(AND(Z295=1,$H$3=1),D295*U295,IF($H$3=2,D295,"N/A")))</f>
        <v>0</v>
      </c>
      <c r="F295" s="111" t="n">
        <f aca="false">E295*Y295</f>
        <v>0</v>
      </c>
      <c r="G295" s="124" t="n">
        <f aca="false">VLOOKUP($A295,Table,MATCH(G$4,Curves,0))</f>
        <v>3</v>
      </c>
      <c r="H295" s="125" t="n">
        <f aca="false">G295+$H$7</f>
        <v>3</v>
      </c>
      <c r="I295" s="124" t="n">
        <f aca="false">H295</f>
        <v>3</v>
      </c>
      <c r="J295" s="124" t="n">
        <f aca="false">VLOOKUP($A295,Table,MATCH(J$4,Curves,0))</f>
        <v>4</v>
      </c>
      <c r="K295" s="125" t="n">
        <f aca="false">J295+$K$7</f>
        <v>4</v>
      </c>
      <c r="L295" s="126" t="n">
        <f aca="false">K295</f>
        <v>4</v>
      </c>
      <c r="M295" s="124" t="n">
        <f aca="false">VLOOKUP($A295,Table,MATCH(M$4,Curves,0))</f>
        <v>4</v>
      </c>
      <c r="N295" s="125" t="n">
        <f aca="false">M295+$N$7</f>
        <v>4</v>
      </c>
      <c r="O295" s="126" t="n">
        <v>0.12</v>
      </c>
      <c r="P295" s="114"/>
      <c r="Q295" s="126" t="n">
        <f aca="false">M295+J295+G295</f>
        <v>11</v>
      </c>
      <c r="R295" s="126" t="n">
        <f aca="false">N295+K295+H295</f>
        <v>11</v>
      </c>
      <c r="S295" s="126" t="n">
        <f aca="false">O295+L295+I295</f>
        <v>7.12</v>
      </c>
      <c r="T295" s="127"/>
      <c r="U295" s="5" t="n">
        <f aca="false">A296-A295</f>
        <v>30</v>
      </c>
      <c r="V295" s="128" t="n">
        <f aca="false">CHOOSE(F$3,A296+24,A295)</f>
        <v>45962</v>
      </c>
      <c r="W295" s="5" t="n">
        <f aca="false">V295-C$3</f>
        <v>8731</v>
      </c>
      <c r="X295" s="124" t="n">
        <f aca="false">VLOOKUP($A295,Table,MATCH(X$4,Curves,0))</f>
        <v>2</v>
      </c>
      <c r="Y295" s="129" t="n">
        <f aca="false">1/(1+CHOOSE(F$3,(X296+($K$3/10000))/2,(X295+($K$3/10000))/2))^(2*W295/365.25)</f>
        <v>4.05744342423464E-015</v>
      </c>
      <c r="Z295" s="5" t="n">
        <f aca="false">IF(AND(mthbeg&lt;=A295,mthend&gt;=A295),1,0)</f>
        <v>0</v>
      </c>
      <c r="AA295" s="5" t="n">
        <f aca="false">U295*Z295</f>
        <v>0</v>
      </c>
      <c r="AC295" s="115" t="n">
        <f aca="false">IF(G288=2,F295*(S295-Q295),F295*(Q295-S295))</f>
        <v>0</v>
      </c>
      <c r="AE295" s="116" t="n">
        <f aca="false">IF($G$3=1,F295*(R295-Q295),F295*(Q295-R295))</f>
        <v>0</v>
      </c>
      <c r="AG295" s="116" t="n">
        <f aca="false">AC295+AE295</f>
        <v>0</v>
      </c>
    </row>
    <row r="296" customFormat="false" ht="12" hidden="false" customHeight="true" outlineLevel="0" collapsed="false">
      <c r="A296" s="120" t="n">
        <f aca="false">EDATE(A295,1)</f>
        <v>45992</v>
      </c>
      <c r="B296" s="121" t="e">
        <f aca="false">VLOOKUP(A296,'Inputs-Summary'!$A$32:$E$41,3,FALSE())</f>
        <v>#N/A</v>
      </c>
      <c r="C296" s="122"/>
      <c r="D296" s="123" t="e">
        <f aca="false">B296+C296</f>
        <v>#N/A</v>
      </c>
      <c r="E296" s="111" t="n">
        <f aca="false">IF(Z296=0,0,IF(AND(Z296=1,$H$3=1),D296*U296,IF($H$3=2,D296,"N/A")))</f>
        <v>0</v>
      </c>
      <c r="F296" s="111" t="n">
        <f aca="false">E296*Y296</f>
        <v>0</v>
      </c>
      <c r="G296" s="124" t="n">
        <f aca="false">VLOOKUP($A296,Table,MATCH(G$4,Curves,0))</f>
        <v>3</v>
      </c>
      <c r="H296" s="125" t="n">
        <f aca="false">G296+$H$7</f>
        <v>3</v>
      </c>
      <c r="I296" s="124" t="n">
        <f aca="false">H296</f>
        <v>3</v>
      </c>
      <c r="J296" s="124" t="n">
        <f aca="false">VLOOKUP($A296,Table,MATCH(J$4,Curves,0))</f>
        <v>4</v>
      </c>
      <c r="K296" s="125" t="n">
        <f aca="false">J296+$K$7</f>
        <v>4</v>
      </c>
      <c r="L296" s="126" t="n">
        <f aca="false">K296</f>
        <v>4</v>
      </c>
      <c r="M296" s="124" t="n">
        <f aca="false">VLOOKUP($A296,Table,MATCH(M$4,Curves,0))</f>
        <v>4</v>
      </c>
      <c r="N296" s="125" t="n">
        <f aca="false">M296+$N$7</f>
        <v>4</v>
      </c>
      <c r="O296" s="126" t="n">
        <v>0.12</v>
      </c>
      <c r="P296" s="114"/>
      <c r="Q296" s="126" t="n">
        <f aca="false">M296+J296+G296</f>
        <v>11</v>
      </c>
      <c r="R296" s="126" t="n">
        <f aca="false">N296+K296+H296</f>
        <v>11</v>
      </c>
      <c r="S296" s="126" t="n">
        <f aca="false">O296+L296+I296</f>
        <v>7.12</v>
      </c>
      <c r="T296" s="127"/>
      <c r="U296" s="5" t="n">
        <f aca="false">A297-A296</f>
        <v>31</v>
      </c>
      <c r="V296" s="128" t="n">
        <f aca="false">CHOOSE(F$3,A297+24,A296)</f>
        <v>45992</v>
      </c>
      <c r="W296" s="5" t="n">
        <f aca="false">V296-C$3</f>
        <v>8761</v>
      </c>
      <c r="X296" s="124" t="n">
        <f aca="false">VLOOKUP($A296,Table,MATCH(X$4,Curves,0))</f>
        <v>2</v>
      </c>
      <c r="Y296" s="129" t="n">
        <f aca="false">1/(1+CHOOSE(F$3,(X297+($K$3/10000))/2,(X296+($K$3/10000))/2))^(2*W296/365.25)</f>
        <v>3.62077852030178E-015</v>
      </c>
      <c r="Z296" s="5" t="n">
        <f aca="false">IF(AND(mthbeg&lt;=A296,mthend&gt;=A296),1,0)</f>
        <v>0</v>
      </c>
      <c r="AA296" s="5" t="n">
        <f aca="false">U296*Z296</f>
        <v>0</v>
      </c>
      <c r="AC296" s="115" t="n">
        <f aca="false">IF(G289=2,F296*(S296-Q296),F296*(Q296-S296))</f>
        <v>0</v>
      </c>
      <c r="AE296" s="116" t="n">
        <f aca="false">IF($G$3=1,F296*(R296-Q296),F296*(Q296-R296))</f>
        <v>0</v>
      </c>
      <c r="AG296" s="116" t="n">
        <f aca="false">AC296+AE296</f>
        <v>0</v>
      </c>
    </row>
    <row r="297" customFormat="false" ht="12" hidden="false" customHeight="true" outlineLevel="0" collapsed="false">
      <c r="A297" s="120" t="n">
        <f aca="false">EDATE(A296,1)</f>
        <v>46023</v>
      </c>
      <c r="B297" s="121" t="e">
        <f aca="false">VLOOKUP(A297,'Inputs-Summary'!$A$32:$E$41,3,FALSE())</f>
        <v>#N/A</v>
      </c>
      <c r="C297" s="122"/>
      <c r="D297" s="123" t="e">
        <f aca="false">B297+C297</f>
        <v>#N/A</v>
      </c>
      <c r="E297" s="111" t="n">
        <f aca="false">IF(Z297=0,0,IF(AND(Z297=1,$H$3=1),D297*U297,IF($H$3=2,D297,"N/A")))</f>
        <v>0</v>
      </c>
      <c r="F297" s="111" t="n">
        <f aca="false">E297*Y297</f>
        <v>0</v>
      </c>
      <c r="G297" s="124" t="n">
        <f aca="false">VLOOKUP($A297,Table,MATCH(G$4,Curves,0))</f>
        <v>3</v>
      </c>
      <c r="H297" s="125" t="n">
        <f aca="false">G297+$H$7</f>
        <v>3</v>
      </c>
      <c r="I297" s="124" t="n">
        <f aca="false">H297</f>
        <v>3</v>
      </c>
      <c r="J297" s="124" t="n">
        <f aca="false">VLOOKUP($A297,Table,MATCH(J$4,Curves,0))</f>
        <v>4</v>
      </c>
      <c r="K297" s="125" t="n">
        <f aca="false">J297+$K$7</f>
        <v>4</v>
      </c>
      <c r="L297" s="126" t="n">
        <f aca="false">K297</f>
        <v>4</v>
      </c>
      <c r="M297" s="124" t="n">
        <f aca="false">VLOOKUP($A297,Table,MATCH(M$4,Curves,0))</f>
        <v>4</v>
      </c>
      <c r="N297" s="125" t="n">
        <f aca="false">M297+$N$7</f>
        <v>4</v>
      </c>
      <c r="O297" s="126" t="n">
        <v>0.12</v>
      </c>
      <c r="P297" s="114"/>
      <c r="Q297" s="126" t="n">
        <f aca="false">M297+J297+G297</f>
        <v>11</v>
      </c>
      <c r="R297" s="126" t="n">
        <f aca="false">N297+K297+H297</f>
        <v>11</v>
      </c>
      <c r="S297" s="126" t="n">
        <f aca="false">O297+L297+I297</f>
        <v>7.12</v>
      </c>
      <c r="T297" s="127"/>
      <c r="U297" s="5" t="n">
        <f aca="false">A298-A297</f>
        <v>31</v>
      </c>
      <c r="V297" s="128" t="n">
        <f aca="false">CHOOSE(F$3,A298+24,A297)</f>
        <v>46023</v>
      </c>
      <c r="W297" s="5" t="n">
        <f aca="false">V297-C$3</f>
        <v>8792</v>
      </c>
      <c r="X297" s="124" t="n">
        <f aca="false">VLOOKUP($A297,Table,MATCH(X$4,Curves,0))</f>
        <v>2</v>
      </c>
      <c r="Y297" s="129" t="n">
        <f aca="false">1/(1+CHOOSE(F$3,(X298+($K$3/10000))/2,(X297+($K$3/10000))/2))^(2*W297/365.25)</f>
        <v>3.21886747944047E-015</v>
      </c>
      <c r="Z297" s="5" t="n">
        <f aca="false">IF(AND(mthbeg&lt;=A297,mthend&gt;=A297),1,0)</f>
        <v>0</v>
      </c>
      <c r="AA297" s="5" t="n">
        <f aca="false">U297*Z297</f>
        <v>0</v>
      </c>
      <c r="AC297" s="115" t="n">
        <f aca="false">IF(G290=2,F297*(S297-Q297),F297*(Q297-S297))</f>
        <v>0</v>
      </c>
      <c r="AE297" s="116" t="n">
        <f aca="false">IF($G$3=1,F297*(R297-Q297),F297*(Q297-R297))</f>
        <v>0</v>
      </c>
      <c r="AG297" s="116" t="n">
        <f aca="false">AC297+AE297</f>
        <v>0</v>
      </c>
    </row>
    <row r="298" customFormat="false" ht="12" hidden="false" customHeight="true" outlineLevel="0" collapsed="false">
      <c r="A298" s="120" t="n">
        <f aca="false">EDATE(A297,1)</f>
        <v>46054</v>
      </c>
      <c r="B298" s="121" t="e">
        <f aca="false">VLOOKUP(A298,'Inputs-Summary'!$A$32:$E$41,3,FALSE())</f>
        <v>#N/A</v>
      </c>
      <c r="C298" s="122"/>
      <c r="D298" s="123" t="e">
        <f aca="false">B298+C298</f>
        <v>#N/A</v>
      </c>
      <c r="E298" s="111" t="n">
        <f aca="false">IF(Z298=0,0,IF(AND(Z298=1,$H$3=1),D298*U298,IF($H$3=2,D298,"N/A")))</f>
        <v>0</v>
      </c>
      <c r="F298" s="111" t="n">
        <f aca="false">E298*Y298</f>
        <v>0</v>
      </c>
      <c r="G298" s="124" t="n">
        <f aca="false">VLOOKUP($A298,Table,MATCH(G$4,Curves,0))</f>
        <v>3</v>
      </c>
      <c r="H298" s="125" t="n">
        <f aca="false">G298+$H$7</f>
        <v>3</v>
      </c>
      <c r="I298" s="124" t="n">
        <f aca="false">H298</f>
        <v>3</v>
      </c>
      <c r="J298" s="124" t="n">
        <f aca="false">VLOOKUP($A298,Table,MATCH(J$4,Curves,0))</f>
        <v>4</v>
      </c>
      <c r="K298" s="125" t="n">
        <f aca="false">J298+$K$7</f>
        <v>4</v>
      </c>
      <c r="L298" s="126" t="n">
        <f aca="false">K298</f>
        <v>4</v>
      </c>
      <c r="M298" s="124" t="n">
        <f aca="false">VLOOKUP($A298,Table,MATCH(M$4,Curves,0))</f>
        <v>4</v>
      </c>
      <c r="N298" s="125" t="n">
        <f aca="false">M298+$N$7</f>
        <v>4</v>
      </c>
      <c r="O298" s="126" t="n">
        <v>0.12</v>
      </c>
      <c r="P298" s="114"/>
      <c r="Q298" s="126" t="n">
        <f aca="false">M298+J298+G298</f>
        <v>11</v>
      </c>
      <c r="R298" s="126" t="n">
        <f aca="false">N298+K298+H298</f>
        <v>11</v>
      </c>
      <c r="S298" s="126" t="n">
        <f aca="false">O298+L298+I298</f>
        <v>7.12</v>
      </c>
      <c r="T298" s="127"/>
      <c r="U298" s="5" t="n">
        <f aca="false">A299-A298</f>
        <v>28</v>
      </c>
      <c r="V298" s="128" t="n">
        <f aca="false">CHOOSE(F$3,A299+24,A298)</f>
        <v>46054</v>
      </c>
      <c r="W298" s="5" t="n">
        <f aca="false">V298-C$3</f>
        <v>8823</v>
      </c>
      <c r="X298" s="124" t="n">
        <f aca="false">VLOOKUP($A298,Table,MATCH(X$4,Curves,0))</f>
        <v>2</v>
      </c>
      <c r="Y298" s="129" t="n">
        <f aca="false">1/(1+CHOOSE(F$3,(X299+($K$3/10000))/2,(X298+($K$3/10000))/2))^(2*W298/365.25)</f>
        <v>2.86156907750764E-015</v>
      </c>
      <c r="Z298" s="5" t="n">
        <f aca="false">IF(AND(mthbeg&lt;=A298,mthend&gt;=A298),1,0)</f>
        <v>0</v>
      </c>
      <c r="AA298" s="5" t="n">
        <f aca="false">U298*Z298</f>
        <v>0</v>
      </c>
      <c r="AC298" s="115" t="n">
        <f aca="false">IF(G291=2,F298*(S298-Q298),F298*(Q298-S298))</f>
        <v>0</v>
      </c>
      <c r="AE298" s="116" t="n">
        <f aca="false">IF($G$3=1,F298*(R298-Q298),F298*(Q298-R298))</f>
        <v>0</v>
      </c>
      <c r="AG298" s="116" t="n">
        <f aca="false">AC298+AE298</f>
        <v>0</v>
      </c>
    </row>
    <row r="299" customFormat="false" ht="12" hidden="false" customHeight="true" outlineLevel="0" collapsed="false">
      <c r="A299" s="120" t="n">
        <f aca="false">EDATE(A298,1)</f>
        <v>46082</v>
      </c>
      <c r="B299" s="121" t="e">
        <f aca="false">VLOOKUP(A299,'Inputs-Summary'!$A$32:$E$41,3,FALSE())</f>
        <v>#N/A</v>
      </c>
      <c r="C299" s="122"/>
      <c r="D299" s="123" t="e">
        <f aca="false">B299+C299</f>
        <v>#N/A</v>
      </c>
      <c r="E299" s="111" t="n">
        <f aca="false">IF(Z299=0,0,IF(AND(Z299=1,$H$3=1),D299*U299,IF($H$3=2,D299,"N/A")))</f>
        <v>0</v>
      </c>
      <c r="F299" s="111" t="n">
        <f aca="false">E299*Y299</f>
        <v>0</v>
      </c>
      <c r="G299" s="124" t="n">
        <f aca="false">VLOOKUP($A299,Table,MATCH(G$4,Curves,0))</f>
        <v>3</v>
      </c>
      <c r="H299" s="125" t="n">
        <f aca="false">G299+$H$7</f>
        <v>3</v>
      </c>
      <c r="I299" s="124" t="n">
        <f aca="false">H299</f>
        <v>3</v>
      </c>
      <c r="J299" s="124" t="n">
        <f aca="false">VLOOKUP($A299,Table,MATCH(J$4,Curves,0))</f>
        <v>4</v>
      </c>
      <c r="K299" s="125" t="n">
        <f aca="false">J299+$K$7</f>
        <v>4</v>
      </c>
      <c r="L299" s="126" t="n">
        <f aca="false">K299</f>
        <v>4</v>
      </c>
      <c r="M299" s="124" t="n">
        <f aca="false">VLOOKUP($A299,Table,MATCH(M$4,Curves,0))</f>
        <v>4</v>
      </c>
      <c r="N299" s="125" t="n">
        <f aca="false">M299+$N$7</f>
        <v>4</v>
      </c>
      <c r="O299" s="126" t="n">
        <v>0.12</v>
      </c>
      <c r="P299" s="114"/>
      <c r="Q299" s="126" t="n">
        <f aca="false">M299+J299+G299</f>
        <v>11</v>
      </c>
      <c r="R299" s="126" t="n">
        <f aca="false">N299+K299+H299</f>
        <v>11</v>
      </c>
      <c r="S299" s="126" t="n">
        <f aca="false">O299+L299+I299</f>
        <v>7.12</v>
      </c>
      <c r="T299" s="127"/>
      <c r="U299" s="5" t="n">
        <f aca="false">A300-A299</f>
        <v>31</v>
      </c>
      <c r="V299" s="128" t="n">
        <f aca="false">CHOOSE(F$3,A300+24,A299)</f>
        <v>46082</v>
      </c>
      <c r="W299" s="5" t="n">
        <f aca="false">V299-C$3</f>
        <v>8851</v>
      </c>
      <c r="X299" s="124" t="n">
        <f aca="false">VLOOKUP($A299,Table,MATCH(X$4,Curves,0))</f>
        <v>2</v>
      </c>
      <c r="Y299" s="129" t="n">
        <f aca="false">1/(1+CHOOSE(F$3,(X300+($K$3/10000))/2,(X299+($K$3/10000))/2))^(2*W299/365.25)</f>
        <v>2.57306301501248E-015</v>
      </c>
      <c r="Z299" s="5" t="n">
        <f aca="false">IF(AND(mthbeg&lt;=A299,mthend&gt;=A299),1,0)</f>
        <v>0</v>
      </c>
      <c r="AA299" s="5" t="n">
        <f aca="false">U299*Z299</f>
        <v>0</v>
      </c>
      <c r="AC299" s="115" t="n">
        <f aca="false">IF(G292=2,F299*(S299-Q299),F299*(Q299-S299))</f>
        <v>0</v>
      </c>
      <c r="AE299" s="116" t="n">
        <f aca="false">IF($G$3=1,F299*(R299-Q299),F299*(Q299-R299))</f>
        <v>0</v>
      </c>
      <c r="AG299" s="116" t="n">
        <f aca="false">AC299+AE299</f>
        <v>0</v>
      </c>
    </row>
    <row r="300" customFormat="false" ht="12" hidden="false" customHeight="true" outlineLevel="0" collapsed="false">
      <c r="A300" s="120" t="n">
        <f aca="false">EDATE(A299,1)</f>
        <v>46113</v>
      </c>
      <c r="B300" s="121" t="e">
        <f aca="false">VLOOKUP(A300,'Inputs-Summary'!$A$32:$E$41,3,FALSE())</f>
        <v>#N/A</v>
      </c>
      <c r="C300" s="122"/>
      <c r="D300" s="123" t="e">
        <f aca="false">B300+C300</f>
        <v>#N/A</v>
      </c>
      <c r="E300" s="111" t="n">
        <f aca="false">IF(Z300=0,0,IF(AND(Z300=1,$H$3=1),D300*U300,IF($H$3=2,D300,"N/A")))</f>
        <v>0</v>
      </c>
      <c r="F300" s="111" t="n">
        <f aca="false">E300*Y300</f>
        <v>0</v>
      </c>
      <c r="G300" s="124" t="n">
        <f aca="false">VLOOKUP($A300,Table,MATCH(G$4,Curves,0))</f>
        <v>3</v>
      </c>
      <c r="H300" s="125" t="n">
        <f aca="false">G300+$H$7</f>
        <v>3</v>
      </c>
      <c r="I300" s="124" t="n">
        <f aca="false">H300</f>
        <v>3</v>
      </c>
      <c r="J300" s="124" t="n">
        <f aca="false">VLOOKUP($A300,Table,MATCH(J$4,Curves,0))</f>
        <v>4</v>
      </c>
      <c r="K300" s="125" t="n">
        <f aca="false">J300+$K$7</f>
        <v>4</v>
      </c>
      <c r="L300" s="126" t="n">
        <f aca="false">K300</f>
        <v>4</v>
      </c>
      <c r="M300" s="124" t="n">
        <f aca="false">VLOOKUP($A300,Table,MATCH(M$4,Curves,0))</f>
        <v>4</v>
      </c>
      <c r="N300" s="125" t="n">
        <f aca="false">M300+$N$7</f>
        <v>4</v>
      </c>
      <c r="O300" s="126" t="n">
        <v>0.12</v>
      </c>
      <c r="P300" s="114"/>
      <c r="Q300" s="126" t="n">
        <f aca="false">M300+J300+G300</f>
        <v>11</v>
      </c>
      <c r="R300" s="126" t="n">
        <f aca="false">N300+K300+H300</f>
        <v>11</v>
      </c>
      <c r="S300" s="126" t="n">
        <f aca="false">O300+L300+I300</f>
        <v>7.12</v>
      </c>
      <c r="T300" s="127"/>
      <c r="U300" s="5" t="n">
        <f aca="false">A301-A300</f>
        <v>30</v>
      </c>
      <c r="V300" s="128" t="n">
        <f aca="false">CHOOSE(F$3,A301+24,A300)</f>
        <v>46113</v>
      </c>
      <c r="W300" s="5" t="n">
        <f aca="false">V300-C$3</f>
        <v>8882</v>
      </c>
      <c r="X300" s="124" t="n">
        <f aca="false">VLOOKUP($A300,Table,MATCH(X$4,Curves,0))</f>
        <v>2</v>
      </c>
      <c r="Y300" s="129" t="n">
        <f aca="false">1/(1+CHOOSE(F$3,(X301+($K$3/10000))/2,(X300+($K$3/10000))/2))^(2*W300/365.25)</f>
        <v>2.28744973356847E-015</v>
      </c>
      <c r="Z300" s="5" t="n">
        <f aca="false">IF(AND(mthbeg&lt;=A300,mthend&gt;=A300),1,0)</f>
        <v>0</v>
      </c>
      <c r="AA300" s="5" t="n">
        <f aca="false">U300*Z300</f>
        <v>0</v>
      </c>
      <c r="AC300" s="115" t="n">
        <f aca="false">IF(G293=2,F300*(S300-Q300),F300*(Q300-S300))</f>
        <v>0</v>
      </c>
      <c r="AE300" s="116" t="n">
        <f aca="false">IF($G$3=1,F300*(R300-Q300),F300*(Q300-R300))</f>
        <v>0</v>
      </c>
      <c r="AG300" s="116" t="n">
        <f aca="false">AC300+AE300</f>
        <v>0</v>
      </c>
    </row>
    <row r="301" customFormat="false" ht="12" hidden="false" customHeight="true" outlineLevel="0" collapsed="false">
      <c r="A301" s="120" t="n">
        <f aca="false">EDATE(A300,1)</f>
        <v>46143</v>
      </c>
      <c r="B301" s="121" t="e">
        <f aca="false">VLOOKUP(A301,'Inputs-Summary'!$A$32:$E$41,3,FALSE())</f>
        <v>#N/A</v>
      </c>
      <c r="C301" s="122"/>
      <c r="D301" s="123" t="e">
        <f aca="false">B301+C301</f>
        <v>#N/A</v>
      </c>
      <c r="E301" s="111" t="n">
        <f aca="false">IF(Z301=0,0,IF(AND(Z301=1,$H$3=1),D301*U301,IF($H$3=2,D301,"N/A")))</f>
        <v>0</v>
      </c>
      <c r="F301" s="111" t="n">
        <f aca="false">E301*Y301</f>
        <v>0</v>
      </c>
      <c r="G301" s="124" t="n">
        <f aca="false">VLOOKUP($A301,Table,MATCH(G$4,Curves,0))</f>
        <v>3</v>
      </c>
      <c r="H301" s="125" t="n">
        <f aca="false">G301+$H$7</f>
        <v>3</v>
      </c>
      <c r="I301" s="124" t="n">
        <f aca="false">H301</f>
        <v>3</v>
      </c>
      <c r="J301" s="124" t="n">
        <f aca="false">VLOOKUP($A301,Table,MATCH(J$4,Curves,0))</f>
        <v>4</v>
      </c>
      <c r="K301" s="125" t="n">
        <f aca="false">J301+$K$7</f>
        <v>4</v>
      </c>
      <c r="L301" s="126" t="n">
        <f aca="false">K301</f>
        <v>4</v>
      </c>
      <c r="M301" s="124" t="n">
        <f aca="false">VLOOKUP($A301,Table,MATCH(M$4,Curves,0))</f>
        <v>4</v>
      </c>
      <c r="N301" s="125" t="n">
        <f aca="false">M301+$N$7</f>
        <v>4</v>
      </c>
      <c r="O301" s="126" t="n">
        <v>0.12</v>
      </c>
      <c r="P301" s="114"/>
      <c r="Q301" s="126" t="n">
        <f aca="false">M301+J301+G301</f>
        <v>11</v>
      </c>
      <c r="R301" s="126" t="n">
        <f aca="false">N301+K301+H301</f>
        <v>11</v>
      </c>
      <c r="S301" s="126" t="n">
        <f aca="false">O301+L301+I301</f>
        <v>7.12</v>
      </c>
      <c r="T301" s="127"/>
      <c r="U301" s="5" t="n">
        <f aca="false">A302-A301</f>
        <v>31</v>
      </c>
      <c r="V301" s="128" t="n">
        <f aca="false">CHOOSE(F$3,A302+24,A301)</f>
        <v>46143</v>
      </c>
      <c r="W301" s="5" t="n">
        <f aca="false">V301-C$3</f>
        <v>8912</v>
      </c>
      <c r="X301" s="124" t="n">
        <f aca="false">VLOOKUP($A301,Table,MATCH(X$4,Curves,0))</f>
        <v>2</v>
      </c>
      <c r="Y301" s="129" t="n">
        <f aca="false">1/(1+CHOOSE(F$3,(X302+($K$3/10000))/2,(X301+($K$3/10000))/2))^(2*W301/365.25)</f>
        <v>2.0412727906704E-015</v>
      </c>
      <c r="Z301" s="5" t="n">
        <f aca="false">IF(AND(mthbeg&lt;=A301,mthend&gt;=A301),1,0)</f>
        <v>0</v>
      </c>
      <c r="AA301" s="5" t="n">
        <f aca="false">U301*Z301</f>
        <v>0</v>
      </c>
      <c r="AC301" s="115" t="n">
        <f aca="false">IF(G294=2,F301*(S301-Q301),F301*(Q301-S301))</f>
        <v>0</v>
      </c>
      <c r="AE301" s="116" t="n">
        <f aca="false">IF($G$3=1,F301*(R301-Q301),F301*(Q301-R301))</f>
        <v>0</v>
      </c>
      <c r="AG301" s="116" t="n">
        <f aca="false">AC301+AE301</f>
        <v>0</v>
      </c>
    </row>
    <row r="302" customFormat="false" ht="12" hidden="false" customHeight="true" outlineLevel="0" collapsed="false">
      <c r="A302" s="120" t="n">
        <f aca="false">EDATE(A301,1)</f>
        <v>46174</v>
      </c>
      <c r="B302" s="121" t="e">
        <f aca="false">VLOOKUP(A302,'Inputs-Summary'!$A$32:$E$41,3,FALSE())</f>
        <v>#N/A</v>
      </c>
      <c r="C302" s="122"/>
      <c r="D302" s="123" t="e">
        <f aca="false">B302+C302</f>
        <v>#N/A</v>
      </c>
      <c r="E302" s="111" t="n">
        <f aca="false">IF(Z302=0,0,IF(AND(Z302=1,$H$3=1),D302*U302,IF($H$3=2,D302,"N/A")))</f>
        <v>0</v>
      </c>
      <c r="F302" s="111" t="n">
        <f aca="false">E302*Y302</f>
        <v>0</v>
      </c>
      <c r="G302" s="124" t="n">
        <f aca="false">VLOOKUP($A302,Table,MATCH(G$4,Curves,0))</f>
        <v>3</v>
      </c>
      <c r="H302" s="125" t="n">
        <f aca="false">G302+$H$7</f>
        <v>3</v>
      </c>
      <c r="I302" s="124" t="n">
        <f aca="false">H302</f>
        <v>3</v>
      </c>
      <c r="J302" s="124" t="n">
        <f aca="false">VLOOKUP($A302,Table,MATCH(J$4,Curves,0))</f>
        <v>4</v>
      </c>
      <c r="K302" s="125" t="n">
        <f aca="false">J302+$K$7</f>
        <v>4</v>
      </c>
      <c r="L302" s="126" t="n">
        <f aca="false">K302</f>
        <v>4</v>
      </c>
      <c r="M302" s="124" t="n">
        <f aca="false">VLOOKUP($A302,Table,MATCH(M$4,Curves,0))</f>
        <v>4</v>
      </c>
      <c r="N302" s="125" t="n">
        <f aca="false">M302+$N$7</f>
        <v>4</v>
      </c>
      <c r="O302" s="126" t="n">
        <v>0.12</v>
      </c>
      <c r="P302" s="114"/>
      <c r="Q302" s="126" t="n">
        <f aca="false">M302+J302+G302</f>
        <v>11</v>
      </c>
      <c r="R302" s="126" t="n">
        <f aca="false">N302+K302+H302</f>
        <v>11</v>
      </c>
      <c r="S302" s="126" t="n">
        <f aca="false">O302+L302+I302</f>
        <v>7.12</v>
      </c>
      <c r="T302" s="127"/>
      <c r="U302" s="5" t="n">
        <f aca="false">A303-A302</f>
        <v>30</v>
      </c>
      <c r="V302" s="128" t="n">
        <f aca="false">CHOOSE(F$3,A303+24,A302)</f>
        <v>46174</v>
      </c>
      <c r="W302" s="5" t="n">
        <f aca="false">V302-C$3</f>
        <v>8943</v>
      </c>
      <c r="X302" s="124" t="n">
        <f aca="false">VLOOKUP($A302,Table,MATCH(X$4,Curves,0))</f>
        <v>2</v>
      </c>
      <c r="Y302" s="129" t="n">
        <f aca="false">1/(1+CHOOSE(F$3,(X303+($K$3/10000))/2,(X302+($K$3/10000))/2))^(2*W302/365.25)</f>
        <v>1.81468890342622E-015</v>
      </c>
      <c r="Z302" s="5" t="n">
        <f aca="false">IF(AND(mthbeg&lt;=A302,mthend&gt;=A302),1,0)</f>
        <v>0</v>
      </c>
      <c r="AA302" s="5" t="n">
        <f aca="false">U302*Z302</f>
        <v>0</v>
      </c>
      <c r="AC302" s="115" t="n">
        <f aca="false">IF(G295=2,F302*(S302-Q302),F302*(Q302-S302))</f>
        <v>0</v>
      </c>
      <c r="AE302" s="116" t="n">
        <f aca="false">IF($G$3=1,F302*(R302-Q302),F302*(Q302-R302))</f>
        <v>0</v>
      </c>
      <c r="AG302" s="116" t="n">
        <f aca="false">AC302+AE302</f>
        <v>0</v>
      </c>
    </row>
    <row r="303" customFormat="false" ht="12" hidden="false" customHeight="true" outlineLevel="0" collapsed="false">
      <c r="A303" s="120" t="n">
        <f aca="false">EDATE(A302,1)</f>
        <v>46204</v>
      </c>
      <c r="B303" s="121" t="e">
        <f aca="false">VLOOKUP(A303,'Inputs-Summary'!$A$32:$E$41,3,FALSE())</f>
        <v>#N/A</v>
      </c>
      <c r="C303" s="122"/>
      <c r="D303" s="123" t="e">
        <f aca="false">B303+C303</f>
        <v>#N/A</v>
      </c>
      <c r="E303" s="111" t="n">
        <f aca="false">IF(Z303=0,0,IF(AND(Z303=1,$H$3=1),D303*U303,IF($H$3=2,D303,"N/A")))</f>
        <v>0</v>
      </c>
      <c r="F303" s="111" t="n">
        <f aca="false">E303*Y303</f>
        <v>0</v>
      </c>
      <c r="G303" s="124" t="n">
        <f aca="false">VLOOKUP($A303,Table,MATCH(G$4,Curves,0))</f>
        <v>3</v>
      </c>
      <c r="H303" s="125" t="n">
        <f aca="false">G303+$H$7</f>
        <v>3</v>
      </c>
      <c r="I303" s="124" t="n">
        <f aca="false">H303</f>
        <v>3</v>
      </c>
      <c r="J303" s="124" t="n">
        <f aca="false">VLOOKUP($A303,Table,MATCH(J$4,Curves,0))</f>
        <v>4</v>
      </c>
      <c r="K303" s="125" t="n">
        <f aca="false">J303+$K$7</f>
        <v>4</v>
      </c>
      <c r="L303" s="126" t="n">
        <f aca="false">K303</f>
        <v>4</v>
      </c>
      <c r="M303" s="124" t="n">
        <f aca="false">VLOOKUP($A303,Table,MATCH(M$4,Curves,0))</f>
        <v>4</v>
      </c>
      <c r="N303" s="125" t="n">
        <f aca="false">M303+$N$7</f>
        <v>4</v>
      </c>
      <c r="O303" s="126" t="n">
        <v>0.12</v>
      </c>
      <c r="P303" s="114"/>
      <c r="Q303" s="126" t="n">
        <f aca="false">M303+J303+G303</f>
        <v>11</v>
      </c>
      <c r="R303" s="126" t="n">
        <f aca="false">N303+K303+H303</f>
        <v>11</v>
      </c>
      <c r="S303" s="126" t="n">
        <f aca="false">O303+L303+I303</f>
        <v>7.12</v>
      </c>
      <c r="T303" s="127"/>
      <c r="U303" s="5" t="n">
        <f aca="false">A304-A303</f>
        <v>31</v>
      </c>
      <c r="V303" s="128" t="n">
        <f aca="false">CHOOSE(F$3,A304+24,A303)</f>
        <v>46204</v>
      </c>
      <c r="W303" s="5" t="n">
        <f aca="false">V303-C$3</f>
        <v>8973</v>
      </c>
      <c r="X303" s="124" t="n">
        <f aca="false">VLOOKUP($A303,Table,MATCH(X$4,Curves,0))</f>
        <v>2</v>
      </c>
      <c r="Y303" s="129" t="n">
        <f aca="false">1/(1+CHOOSE(F$3,(X304+($K$3/10000))/2,(X303+($K$3/10000))/2))^(2*W303/365.25)</f>
        <v>1.61939081228103E-015</v>
      </c>
      <c r="Z303" s="5" t="n">
        <f aca="false">IF(AND(mthbeg&lt;=A303,mthend&gt;=A303),1,0)</f>
        <v>0</v>
      </c>
      <c r="AA303" s="5" t="n">
        <f aca="false">U303*Z303</f>
        <v>0</v>
      </c>
      <c r="AC303" s="115" t="n">
        <f aca="false">IF(G296=2,F303*(S303-Q303),F303*(Q303-S303))</f>
        <v>0</v>
      </c>
      <c r="AE303" s="116" t="n">
        <f aca="false">IF($G$3=1,F303*(R303-Q303),F303*(Q303-R303))</f>
        <v>0</v>
      </c>
      <c r="AG303" s="116" t="n">
        <f aca="false">AC303+AE303</f>
        <v>0</v>
      </c>
    </row>
    <row r="304" customFormat="false" ht="12" hidden="false" customHeight="true" outlineLevel="0" collapsed="false">
      <c r="A304" s="120" t="n">
        <f aca="false">EDATE(A303,1)</f>
        <v>46235</v>
      </c>
      <c r="B304" s="121" t="e">
        <f aca="false">VLOOKUP(A304,'Inputs-Summary'!$A$32:$E$41,3,FALSE())</f>
        <v>#N/A</v>
      </c>
      <c r="C304" s="122"/>
      <c r="D304" s="123" t="e">
        <f aca="false">B304+C304</f>
        <v>#N/A</v>
      </c>
      <c r="E304" s="111" t="n">
        <f aca="false">IF(Z304=0,0,IF(AND(Z304=1,$H$3=1),D304*U304,IF($H$3=2,D304,"N/A")))</f>
        <v>0</v>
      </c>
      <c r="F304" s="111" t="n">
        <f aca="false">E304*Y304</f>
        <v>0</v>
      </c>
      <c r="G304" s="124" t="n">
        <f aca="false">VLOOKUP($A304,Table,MATCH(G$4,Curves,0))</f>
        <v>3</v>
      </c>
      <c r="H304" s="125" t="n">
        <f aca="false">G304+$H$7</f>
        <v>3</v>
      </c>
      <c r="I304" s="124" t="n">
        <f aca="false">H304</f>
        <v>3</v>
      </c>
      <c r="J304" s="124" t="n">
        <f aca="false">VLOOKUP($A304,Table,MATCH(J$4,Curves,0))</f>
        <v>4</v>
      </c>
      <c r="K304" s="125" t="n">
        <f aca="false">J304+$K$7</f>
        <v>4</v>
      </c>
      <c r="L304" s="126" t="n">
        <f aca="false">K304</f>
        <v>4</v>
      </c>
      <c r="M304" s="124" t="n">
        <f aca="false">VLOOKUP($A304,Table,MATCH(M$4,Curves,0))</f>
        <v>4</v>
      </c>
      <c r="N304" s="125" t="n">
        <f aca="false">M304+$N$7</f>
        <v>4</v>
      </c>
      <c r="O304" s="126" t="n">
        <v>0.12</v>
      </c>
      <c r="P304" s="114"/>
      <c r="Q304" s="126" t="n">
        <f aca="false">M304+J304+G304</f>
        <v>11</v>
      </c>
      <c r="R304" s="126" t="n">
        <f aca="false">N304+K304+H304</f>
        <v>11</v>
      </c>
      <c r="S304" s="126" t="n">
        <f aca="false">O304+L304+I304</f>
        <v>7.12</v>
      </c>
      <c r="T304" s="127"/>
      <c r="U304" s="5" t="n">
        <f aca="false">A305-A304</f>
        <v>31</v>
      </c>
      <c r="V304" s="128" t="n">
        <f aca="false">CHOOSE(F$3,A305+24,A304)</f>
        <v>46235</v>
      </c>
      <c r="W304" s="5" t="n">
        <f aca="false">V304-C$3</f>
        <v>9004</v>
      </c>
      <c r="X304" s="124" t="n">
        <f aca="false">VLOOKUP($A304,Table,MATCH(X$4,Curves,0))</f>
        <v>2</v>
      </c>
      <c r="Y304" s="129" t="n">
        <f aca="false">1/(1+CHOOSE(F$3,(X305+($K$3/10000))/2,(X304+($K$3/10000))/2))^(2*W304/365.25)</f>
        <v>1.43963636354141E-015</v>
      </c>
      <c r="Z304" s="5" t="n">
        <f aca="false">IF(AND(mthbeg&lt;=A304,mthend&gt;=A304),1,0)</f>
        <v>0</v>
      </c>
      <c r="AA304" s="5" t="n">
        <f aca="false">U304*Z304</f>
        <v>0</v>
      </c>
      <c r="AC304" s="115" t="n">
        <f aca="false">IF(G297=2,F304*(S304-Q304),F304*(Q304-S304))</f>
        <v>0</v>
      </c>
      <c r="AE304" s="116" t="n">
        <f aca="false">IF($G$3=1,F304*(R304-Q304),F304*(Q304-R304))</f>
        <v>0</v>
      </c>
      <c r="AG304" s="116" t="n">
        <f aca="false">AC304+AE304</f>
        <v>0</v>
      </c>
    </row>
    <row r="305" customFormat="false" ht="12" hidden="false" customHeight="true" outlineLevel="0" collapsed="false">
      <c r="A305" s="120" t="n">
        <f aca="false">EDATE(A304,1)</f>
        <v>46266</v>
      </c>
      <c r="B305" s="121" t="e">
        <f aca="false">VLOOKUP(A305,'Inputs-Summary'!$A$32:$E$41,3,FALSE())</f>
        <v>#N/A</v>
      </c>
      <c r="C305" s="122"/>
      <c r="D305" s="123" t="e">
        <f aca="false">B305+C305</f>
        <v>#N/A</v>
      </c>
      <c r="E305" s="111" t="n">
        <f aca="false">IF(Z305=0,0,IF(AND(Z305=1,$H$3=1),D305*U305,IF($H$3=2,D305,"N/A")))</f>
        <v>0</v>
      </c>
      <c r="F305" s="111" t="n">
        <f aca="false">E305*Y305</f>
        <v>0</v>
      </c>
      <c r="G305" s="124" t="n">
        <f aca="false">VLOOKUP($A305,Table,MATCH(G$4,Curves,0))</f>
        <v>3</v>
      </c>
      <c r="H305" s="125" t="n">
        <f aca="false">G305+$H$7</f>
        <v>3</v>
      </c>
      <c r="I305" s="124" t="n">
        <f aca="false">H305</f>
        <v>3</v>
      </c>
      <c r="J305" s="124" t="n">
        <f aca="false">VLOOKUP($A305,Table,MATCH(J$4,Curves,0))</f>
        <v>4</v>
      </c>
      <c r="K305" s="125" t="n">
        <f aca="false">J305+$K$7</f>
        <v>4</v>
      </c>
      <c r="L305" s="126" t="n">
        <f aca="false">K305</f>
        <v>4</v>
      </c>
      <c r="M305" s="124" t="n">
        <f aca="false">VLOOKUP($A305,Table,MATCH(M$4,Curves,0))</f>
        <v>4</v>
      </c>
      <c r="N305" s="125" t="n">
        <f aca="false">M305+$N$7</f>
        <v>4</v>
      </c>
      <c r="O305" s="126" t="n">
        <v>0.12</v>
      </c>
      <c r="P305" s="114"/>
      <c r="Q305" s="126" t="n">
        <f aca="false">M305+J305+G305</f>
        <v>11</v>
      </c>
      <c r="R305" s="126" t="n">
        <f aca="false">N305+K305+H305</f>
        <v>11</v>
      </c>
      <c r="S305" s="126" t="n">
        <f aca="false">O305+L305+I305</f>
        <v>7.12</v>
      </c>
      <c r="T305" s="127"/>
      <c r="U305" s="5" t="n">
        <f aca="false">A306-A305</f>
        <v>30</v>
      </c>
      <c r="V305" s="128" t="n">
        <f aca="false">CHOOSE(F$3,A306+24,A305)</f>
        <v>46266</v>
      </c>
      <c r="W305" s="5" t="n">
        <f aca="false">V305-C$3</f>
        <v>9035</v>
      </c>
      <c r="X305" s="124" t="n">
        <f aca="false">VLOOKUP($A305,Table,MATCH(X$4,Curves,0))</f>
        <v>2</v>
      </c>
      <c r="Y305" s="129" t="n">
        <f aca="false">1/(1+CHOOSE(F$3,(X306+($K$3/10000))/2,(X305+($K$3/10000))/2))^(2*W305/365.25)</f>
        <v>1.27983488822651E-015</v>
      </c>
      <c r="Z305" s="5" t="n">
        <f aca="false">IF(AND(mthbeg&lt;=A305,mthend&gt;=A305),1,0)</f>
        <v>0</v>
      </c>
      <c r="AA305" s="5" t="n">
        <f aca="false">U305*Z305</f>
        <v>0</v>
      </c>
      <c r="AC305" s="115" t="n">
        <f aca="false">IF(G298=2,F305*(S305-Q305),F305*(Q305-S305))</f>
        <v>0</v>
      </c>
      <c r="AE305" s="116" t="n">
        <f aca="false">IF($G$3=1,F305*(R305-Q305),F305*(Q305-R305))</f>
        <v>0</v>
      </c>
      <c r="AG305" s="116" t="n">
        <f aca="false">AC305+AE305</f>
        <v>0</v>
      </c>
    </row>
    <row r="306" customFormat="false" ht="12" hidden="false" customHeight="true" outlineLevel="0" collapsed="false">
      <c r="A306" s="120" t="n">
        <f aca="false">EDATE(A305,1)</f>
        <v>46296</v>
      </c>
      <c r="B306" s="121" t="e">
        <f aca="false">VLOOKUP(A306,'Inputs-Summary'!$A$32:$E$41,3,FALSE())</f>
        <v>#N/A</v>
      </c>
      <c r="C306" s="122"/>
      <c r="D306" s="123" t="e">
        <f aca="false">B306+C306</f>
        <v>#N/A</v>
      </c>
      <c r="E306" s="111" t="n">
        <f aca="false">IF(Z306=0,0,IF(AND(Z306=1,$H$3=1),D306*U306,IF($H$3=2,D306,"N/A")))</f>
        <v>0</v>
      </c>
      <c r="F306" s="111" t="n">
        <f aca="false">E306*Y306</f>
        <v>0</v>
      </c>
      <c r="G306" s="124" t="n">
        <f aca="false">VLOOKUP($A306,Table,MATCH(G$4,Curves,0))</f>
        <v>3</v>
      </c>
      <c r="H306" s="125" t="n">
        <f aca="false">G306+$H$7</f>
        <v>3</v>
      </c>
      <c r="I306" s="124" t="n">
        <f aca="false">H306</f>
        <v>3</v>
      </c>
      <c r="J306" s="124" t="n">
        <f aca="false">VLOOKUP($A306,Table,MATCH(J$4,Curves,0))</f>
        <v>4</v>
      </c>
      <c r="K306" s="125" t="n">
        <f aca="false">J306+$K$7</f>
        <v>4</v>
      </c>
      <c r="L306" s="126" t="n">
        <f aca="false">K306</f>
        <v>4</v>
      </c>
      <c r="M306" s="124" t="n">
        <f aca="false">VLOOKUP($A306,Table,MATCH(M$4,Curves,0))</f>
        <v>4</v>
      </c>
      <c r="N306" s="125" t="n">
        <f aca="false">M306+$N$7</f>
        <v>4</v>
      </c>
      <c r="O306" s="126" t="n">
        <v>0.12</v>
      </c>
      <c r="P306" s="114"/>
      <c r="Q306" s="126" t="n">
        <f aca="false">M306+J306+G306</f>
        <v>11</v>
      </c>
      <c r="R306" s="126" t="n">
        <f aca="false">N306+K306+H306</f>
        <v>11</v>
      </c>
      <c r="S306" s="126" t="n">
        <f aca="false">O306+L306+I306</f>
        <v>7.12</v>
      </c>
      <c r="T306" s="127"/>
      <c r="U306" s="5" t="n">
        <f aca="false">A307-A306</f>
        <v>31</v>
      </c>
      <c r="V306" s="128" t="n">
        <f aca="false">CHOOSE(F$3,A307+24,A306)</f>
        <v>46296</v>
      </c>
      <c r="W306" s="5" t="n">
        <f aca="false">V306-C$3</f>
        <v>9065</v>
      </c>
      <c r="X306" s="124" t="n">
        <f aca="false">VLOOKUP($A306,Table,MATCH(X$4,Curves,0))</f>
        <v>2</v>
      </c>
      <c r="Y306" s="129" t="n">
        <f aca="false">1/(1+CHOOSE(F$3,(X307+($K$3/10000))/2,(X306+($K$3/10000))/2))^(2*W306/365.25)</f>
        <v>1.14209816091212E-015</v>
      </c>
      <c r="Z306" s="5" t="n">
        <f aca="false">IF(AND(mthbeg&lt;=A306,mthend&gt;=A306),1,0)</f>
        <v>0</v>
      </c>
      <c r="AA306" s="5" t="n">
        <f aca="false">U306*Z306</f>
        <v>0</v>
      </c>
      <c r="AC306" s="115" t="n">
        <f aca="false">IF(G299=2,F306*(S306-Q306),F306*(Q306-S306))</f>
        <v>0</v>
      </c>
      <c r="AE306" s="116" t="n">
        <f aca="false">IF($G$3=1,F306*(R306-Q306),F306*(Q306-R306))</f>
        <v>0</v>
      </c>
      <c r="AG306" s="116" t="n">
        <f aca="false">AC306+AE306</f>
        <v>0</v>
      </c>
    </row>
    <row r="307" customFormat="false" ht="12" hidden="false" customHeight="true" outlineLevel="0" collapsed="false">
      <c r="A307" s="120" t="n">
        <f aca="false">EDATE(A306,1)</f>
        <v>46327</v>
      </c>
      <c r="B307" s="121" t="e">
        <f aca="false">VLOOKUP(A307,'Inputs-Summary'!$A$32:$E$41,3,FALSE())</f>
        <v>#N/A</v>
      </c>
      <c r="C307" s="122"/>
      <c r="D307" s="123" t="e">
        <f aca="false">B307+C307</f>
        <v>#N/A</v>
      </c>
      <c r="E307" s="111" t="n">
        <f aca="false">IF(Z307=0,0,IF(AND(Z307=1,$H$3=1),D307*U307,IF($H$3=2,D307,"N/A")))</f>
        <v>0</v>
      </c>
      <c r="F307" s="111" t="n">
        <f aca="false">E307*Y307</f>
        <v>0</v>
      </c>
      <c r="G307" s="124" t="n">
        <f aca="false">VLOOKUP($A307,Table,MATCH(G$4,Curves,0))</f>
        <v>3</v>
      </c>
      <c r="H307" s="125" t="n">
        <f aca="false">G307+$H$7</f>
        <v>3</v>
      </c>
      <c r="I307" s="124" t="n">
        <f aca="false">H307</f>
        <v>3</v>
      </c>
      <c r="J307" s="124" t="n">
        <f aca="false">VLOOKUP($A307,Table,MATCH(J$4,Curves,0))</f>
        <v>4</v>
      </c>
      <c r="K307" s="125" t="n">
        <f aca="false">J307+$K$7</f>
        <v>4</v>
      </c>
      <c r="L307" s="126" t="n">
        <f aca="false">K307</f>
        <v>4</v>
      </c>
      <c r="M307" s="124" t="n">
        <f aca="false">VLOOKUP($A307,Table,MATCH(M$4,Curves,0))</f>
        <v>4</v>
      </c>
      <c r="N307" s="125" t="n">
        <f aca="false">M307+$N$7</f>
        <v>4</v>
      </c>
      <c r="O307" s="126" t="n">
        <v>0.12</v>
      </c>
      <c r="P307" s="114"/>
      <c r="Q307" s="126" t="n">
        <f aca="false">M307+J307+G307</f>
        <v>11</v>
      </c>
      <c r="R307" s="126" t="n">
        <f aca="false">N307+K307+H307</f>
        <v>11</v>
      </c>
      <c r="S307" s="126" t="n">
        <f aca="false">O307+L307+I307</f>
        <v>7.12</v>
      </c>
      <c r="T307" s="127"/>
      <c r="U307" s="5" t="n">
        <f aca="false">A308-A307</f>
        <v>30</v>
      </c>
      <c r="V307" s="128" t="n">
        <f aca="false">CHOOSE(F$3,A308+24,A307)</f>
        <v>46327</v>
      </c>
      <c r="W307" s="5" t="n">
        <f aca="false">V307-C$3</f>
        <v>9096</v>
      </c>
      <c r="X307" s="124" t="n">
        <f aca="false">VLOOKUP($A307,Table,MATCH(X$4,Curves,0))</f>
        <v>2</v>
      </c>
      <c r="Y307" s="129" t="n">
        <f aca="false">1/(1+CHOOSE(F$3,(X308+($K$3/10000))/2,(X307+($K$3/10000))/2))^(2*W307/365.25)</f>
        <v>1.01532380615824E-015</v>
      </c>
      <c r="Z307" s="5" t="n">
        <f aca="false">IF(AND(mthbeg&lt;=A307,mthend&gt;=A307),1,0)</f>
        <v>0</v>
      </c>
      <c r="AA307" s="5" t="n">
        <f aca="false">U307*Z307</f>
        <v>0</v>
      </c>
      <c r="AC307" s="115" t="n">
        <f aca="false">IF(G300=2,F307*(S307-Q307),F307*(Q307-S307))</f>
        <v>0</v>
      </c>
      <c r="AE307" s="116" t="n">
        <f aca="false">IF($G$3=1,F307*(R307-Q307),F307*(Q307-R307))</f>
        <v>0</v>
      </c>
      <c r="AG307" s="116" t="n">
        <f aca="false">AC307+AE307</f>
        <v>0</v>
      </c>
    </row>
    <row r="308" customFormat="false" ht="12" hidden="false" customHeight="true" outlineLevel="0" collapsed="false">
      <c r="A308" s="120" t="n">
        <f aca="false">EDATE(A307,1)</f>
        <v>46357</v>
      </c>
      <c r="B308" s="121" t="e">
        <f aca="false">VLOOKUP(A308,'Inputs-Summary'!$A$32:$E$41,3,FALSE())</f>
        <v>#N/A</v>
      </c>
      <c r="C308" s="122"/>
      <c r="D308" s="123" t="e">
        <f aca="false">B308+C308</f>
        <v>#N/A</v>
      </c>
      <c r="E308" s="111" t="n">
        <f aca="false">IF(Z308=0,0,IF(AND(Z308=1,$H$3=1),D308*U308,IF($H$3=2,D308,"N/A")))</f>
        <v>0</v>
      </c>
      <c r="F308" s="111" t="n">
        <f aca="false">E308*Y308</f>
        <v>0</v>
      </c>
      <c r="G308" s="124" t="n">
        <f aca="false">VLOOKUP($A308,Table,MATCH(G$4,Curves,0))</f>
        <v>3</v>
      </c>
      <c r="H308" s="125" t="n">
        <f aca="false">G308+$H$7</f>
        <v>3</v>
      </c>
      <c r="I308" s="124" t="n">
        <f aca="false">H308</f>
        <v>3</v>
      </c>
      <c r="J308" s="124" t="n">
        <f aca="false">VLOOKUP($A308,Table,MATCH(J$4,Curves,0))</f>
        <v>4</v>
      </c>
      <c r="K308" s="125" t="n">
        <f aca="false">J308+$K$7</f>
        <v>4</v>
      </c>
      <c r="L308" s="126" t="n">
        <f aca="false">K308</f>
        <v>4</v>
      </c>
      <c r="M308" s="124" t="n">
        <f aca="false">VLOOKUP($A308,Table,MATCH(M$4,Curves,0))</f>
        <v>4</v>
      </c>
      <c r="N308" s="125" t="n">
        <f aca="false">M308+$N$7</f>
        <v>4</v>
      </c>
      <c r="O308" s="126" t="n">
        <v>0.12</v>
      </c>
      <c r="P308" s="114"/>
      <c r="Q308" s="126" t="n">
        <f aca="false">M308+J308+G308</f>
        <v>11</v>
      </c>
      <c r="R308" s="126" t="n">
        <f aca="false">N308+K308+H308</f>
        <v>11</v>
      </c>
      <c r="S308" s="126" t="n">
        <f aca="false">O308+L308+I308</f>
        <v>7.12</v>
      </c>
      <c r="T308" s="127"/>
      <c r="U308" s="5" t="n">
        <f aca="false">A309-A308</f>
        <v>31</v>
      </c>
      <c r="V308" s="128" t="n">
        <f aca="false">CHOOSE(F$3,A309+24,A308)</f>
        <v>46357</v>
      </c>
      <c r="W308" s="5" t="n">
        <f aca="false">V308-C$3</f>
        <v>9126</v>
      </c>
      <c r="X308" s="124" t="n">
        <f aca="false">VLOOKUP($A308,Table,MATCH(X$4,Curves,0))</f>
        <v>2</v>
      </c>
      <c r="Y308" s="129" t="n">
        <f aca="false">1/(1+CHOOSE(F$3,(X309+($K$3/10000))/2,(X308+($K$3/10000))/2))^(2*W308/365.25)</f>
        <v>9.06053946810674E-016</v>
      </c>
      <c r="Z308" s="5" t="n">
        <f aca="false">IF(AND(mthbeg&lt;=A308,mthend&gt;=A308),1,0)</f>
        <v>0</v>
      </c>
      <c r="AA308" s="5" t="n">
        <f aca="false">U308*Z308</f>
        <v>0</v>
      </c>
      <c r="AC308" s="115" t="n">
        <f aca="false">IF(G301=2,F308*(S308-Q308),F308*(Q308-S308))</f>
        <v>0</v>
      </c>
      <c r="AE308" s="116" t="n">
        <f aca="false">IF($G$3=1,F308*(R308-Q308),F308*(Q308-R308))</f>
        <v>0</v>
      </c>
      <c r="AG308" s="116" t="n">
        <f aca="false">AC308+AE308</f>
        <v>0</v>
      </c>
    </row>
    <row r="309" customFormat="false" ht="12" hidden="false" customHeight="true" outlineLevel="0" collapsed="false">
      <c r="A309" s="120" t="n">
        <f aca="false">EDATE(A308,1)</f>
        <v>46388</v>
      </c>
      <c r="B309" s="121" t="e">
        <f aca="false">VLOOKUP(A309,'Inputs-Summary'!$A$32:$E$41,3,FALSE())</f>
        <v>#N/A</v>
      </c>
      <c r="C309" s="122"/>
      <c r="D309" s="123" t="e">
        <f aca="false">B309+C309</f>
        <v>#N/A</v>
      </c>
      <c r="E309" s="111" t="n">
        <f aca="false">IF(Z309=0,0,IF(AND(Z309=1,$H$3=1),D309*U309,IF($H$3=2,D309,"N/A")))</f>
        <v>0</v>
      </c>
      <c r="F309" s="111" t="n">
        <f aca="false">E309*Y309</f>
        <v>0</v>
      </c>
      <c r="G309" s="124" t="n">
        <f aca="false">VLOOKUP($A309,Table,MATCH(G$4,Curves,0))</f>
        <v>3</v>
      </c>
      <c r="H309" s="125" t="n">
        <f aca="false">G309+$H$7</f>
        <v>3</v>
      </c>
      <c r="I309" s="124" t="n">
        <f aca="false">H309</f>
        <v>3</v>
      </c>
      <c r="J309" s="124" t="n">
        <f aca="false">VLOOKUP($A309,Table,MATCH(J$4,Curves,0))</f>
        <v>4</v>
      </c>
      <c r="K309" s="125" t="n">
        <f aca="false">J309+$K$7</f>
        <v>4</v>
      </c>
      <c r="L309" s="126" t="n">
        <f aca="false">K309</f>
        <v>4</v>
      </c>
      <c r="M309" s="124" t="n">
        <f aca="false">VLOOKUP($A309,Table,MATCH(M$4,Curves,0))</f>
        <v>4</v>
      </c>
      <c r="N309" s="125" t="n">
        <f aca="false">M309+$N$7</f>
        <v>4</v>
      </c>
      <c r="O309" s="126" t="n">
        <v>0.12</v>
      </c>
      <c r="P309" s="114"/>
      <c r="Q309" s="126" t="n">
        <f aca="false">M309+J309+G309</f>
        <v>11</v>
      </c>
      <c r="R309" s="126" t="n">
        <f aca="false">N309+K309+H309</f>
        <v>11</v>
      </c>
      <c r="S309" s="126" t="n">
        <f aca="false">O309+L309+I309</f>
        <v>7.12</v>
      </c>
      <c r="T309" s="127"/>
      <c r="U309" s="5" t="n">
        <f aca="false">A310-A309</f>
        <v>31</v>
      </c>
      <c r="V309" s="128" t="n">
        <f aca="false">CHOOSE(F$3,A310+24,A309)</f>
        <v>46388</v>
      </c>
      <c r="W309" s="5" t="n">
        <f aca="false">V309-C$3</f>
        <v>9157</v>
      </c>
      <c r="X309" s="124" t="n">
        <f aca="false">VLOOKUP($A309,Table,MATCH(X$4,Curves,0))</f>
        <v>2</v>
      </c>
      <c r="Y309" s="129" t="n">
        <f aca="false">1/(1+CHOOSE(F$3,(X310+($K$3/10000))/2,(X309+($K$3/10000))/2))^(2*W309/365.25)</f>
        <v>8.05480801340063E-016</v>
      </c>
      <c r="Z309" s="5" t="n">
        <f aca="false">IF(AND(mthbeg&lt;=A309,mthend&gt;=A309),1,0)</f>
        <v>0</v>
      </c>
      <c r="AA309" s="5" t="n">
        <f aca="false">U309*Z309</f>
        <v>0</v>
      </c>
      <c r="AC309" s="115" t="n">
        <f aca="false">IF(G302=2,F309*(S309-Q309),F309*(Q309-S309))</f>
        <v>0</v>
      </c>
      <c r="AE309" s="116" t="n">
        <f aca="false">IF($G$3=1,F309*(R309-Q309),F309*(Q309-R309))</f>
        <v>0</v>
      </c>
      <c r="AG309" s="116" t="n">
        <f aca="false">AC309+AE309</f>
        <v>0</v>
      </c>
    </row>
    <row r="310" customFormat="false" ht="12" hidden="false" customHeight="true" outlineLevel="0" collapsed="false">
      <c r="A310" s="120" t="n">
        <f aca="false">EDATE(A309,1)</f>
        <v>46419</v>
      </c>
      <c r="B310" s="121" t="e">
        <f aca="false">VLOOKUP(A310,'Inputs-Summary'!$A$32:$E$41,3,FALSE())</f>
        <v>#N/A</v>
      </c>
      <c r="C310" s="122"/>
      <c r="D310" s="123" t="e">
        <f aca="false">B310+C310</f>
        <v>#N/A</v>
      </c>
      <c r="E310" s="111" t="n">
        <f aca="false">IF(Z310=0,0,IF(AND(Z310=1,$H$3=1),D310*U310,IF($H$3=2,D310,"N/A")))</f>
        <v>0</v>
      </c>
      <c r="F310" s="111" t="n">
        <f aca="false">E310*Y310</f>
        <v>0</v>
      </c>
      <c r="G310" s="124" t="n">
        <f aca="false">VLOOKUP($A310,Table,MATCH(G$4,Curves,0))</f>
        <v>3</v>
      </c>
      <c r="H310" s="125" t="n">
        <f aca="false">G310+$H$7</f>
        <v>3</v>
      </c>
      <c r="I310" s="124" t="n">
        <f aca="false">H310</f>
        <v>3</v>
      </c>
      <c r="J310" s="124" t="n">
        <f aca="false">VLOOKUP($A310,Table,MATCH(J$4,Curves,0))</f>
        <v>4</v>
      </c>
      <c r="K310" s="125" t="n">
        <f aca="false">J310+$K$7</f>
        <v>4</v>
      </c>
      <c r="L310" s="126" t="n">
        <f aca="false">K310</f>
        <v>4</v>
      </c>
      <c r="M310" s="124" t="n">
        <f aca="false">VLOOKUP($A310,Table,MATCH(M$4,Curves,0))</f>
        <v>4</v>
      </c>
      <c r="N310" s="125" t="n">
        <f aca="false">M310+$N$7</f>
        <v>4</v>
      </c>
      <c r="O310" s="126" t="n">
        <v>0.12</v>
      </c>
      <c r="P310" s="114"/>
      <c r="Q310" s="126" t="n">
        <f aca="false">M310+J310+G310</f>
        <v>11</v>
      </c>
      <c r="R310" s="126" t="n">
        <f aca="false">N310+K310+H310</f>
        <v>11</v>
      </c>
      <c r="S310" s="126" t="n">
        <f aca="false">O310+L310+I310</f>
        <v>7.12</v>
      </c>
      <c r="T310" s="127"/>
      <c r="U310" s="5" t="n">
        <f aca="false">A311-A310</f>
        <v>28</v>
      </c>
      <c r="V310" s="128" t="n">
        <f aca="false">CHOOSE(F$3,A311+24,A310)</f>
        <v>46419</v>
      </c>
      <c r="W310" s="5" t="n">
        <f aca="false">V310-C$3</f>
        <v>9188</v>
      </c>
      <c r="X310" s="124" t="n">
        <f aca="false">VLOOKUP($A310,Table,MATCH(X$4,Curves,0))</f>
        <v>2</v>
      </c>
      <c r="Y310" s="129" t="n">
        <f aca="false">1/(1+CHOOSE(F$3,(X311+($K$3/10000))/2,(X310+($K$3/10000))/2))^(2*W310/365.25)</f>
        <v>7.16071403486751E-016</v>
      </c>
      <c r="Z310" s="5" t="n">
        <f aca="false">IF(AND(mthbeg&lt;=A310,mthend&gt;=A310),1,0)</f>
        <v>0</v>
      </c>
      <c r="AA310" s="5" t="n">
        <f aca="false">U310*Z310</f>
        <v>0</v>
      </c>
      <c r="AC310" s="115" t="n">
        <f aca="false">IF(G303=2,F310*(S310-Q310),F310*(Q310-S310))</f>
        <v>0</v>
      </c>
      <c r="AE310" s="116" t="n">
        <f aca="false">IF($G$3=1,F310*(R310-Q310),F310*(Q310-R310))</f>
        <v>0</v>
      </c>
      <c r="AG310" s="116" t="n">
        <f aca="false">AC310+AE310</f>
        <v>0</v>
      </c>
    </row>
    <row r="311" customFormat="false" ht="12" hidden="false" customHeight="true" outlineLevel="0" collapsed="false">
      <c r="A311" s="120" t="n">
        <f aca="false">EDATE(A310,1)</f>
        <v>46447</v>
      </c>
      <c r="B311" s="121" t="e">
        <f aca="false">VLOOKUP(A311,'Inputs-Summary'!$A$32:$E$41,3,FALSE())</f>
        <v>#N/A</v>
      </c>
      <c r="C311" s="122"/>
      <c r="D311" s="123" t="e">
        <f aca="false">B311+C311</f>
        <v>#N/A</v>
      </c>
      <c r="E311" s="111" t="n">
        <f aca="false">IF(Z311=0,0,IF(AND(Z311=1,$H$3=1),D311*U311,IF($H$3=2,D311,"N/A")))</f>
        <v>0</v>
      </c>
      <c r="F311" s="111" t="n">
        <f aca="false">E311*Y311</f>
        <v>0</v>
      </c>
      <c r="G311" s="124" t="n">
        <f aca="false">VLOOKUP($A311,Table,MATCH(G$4,Curves,0))</f>
        <v>3</v>
      </c>
      <c r="H311" s="125" t="n">
        <f aca="false">G311+$H$7</f>
        <v>3</v>
      </c>
      <c r="I311" s="124" t="n">
        <f aca="false">H311</f>
        <v>3</v>
      </c>
      <c r="J311" s="124" t="n">
        <f aca="false">VLOOKUP($A311,Table,MATCH(J$4,Curves,0))</f>
        <v>4</v>
      </c>
      <c r="K311" s="125" t="n">
        <f aca="false">J311+$K$7</f>
        <v>4</v>
      </c>
      <c r="L311" s="126" t="n">
        <f aca="false">K311</f>
        <v>4</v>
      </c>
      <c r="M311" s="124" t="n">
        <f aca="false">VLOOKUP($A311,Table,MATCH(M$4,Curves,0))</f>
        <v>4</v>
      </c>
      <c r="N311" s="125" t="n">
        <f aca="false">M311+$N$7</f>
        <v>4</v>
      </c>
      <c r="O311" s="126" t="n">
        <v>0.12</v>
      </c>
      <c r="P311" s="114"/>
      <c r="Q311" s="126" t="n">
        <f aca="false">M311+J311+G311</f>
        <v>11</v>
      </c>
      <c r="R311" s="126" t="n">
        <f aca="false">N311+K311+H311</f>
        <v>11</v>
      </c>
      <c r="S311" s="126" t="n">
        <f aca="false">O311+L311+I311</f>
        <v>7.12</v>
      </c>
      <c r="T311" s="127"/>
      <c r="U311" s="5" t="n">
        <f aca="false">A312-A311</f>
        <v>31</v>
      </c>
      <c r="V311" s="128" t="n">
        <f aca="false">CHOOSE(F$3,A312+24,A311)</f>
        <v>46447</v>
      </c>
      <c r="W311" s="5" t="n">
        <f aca="false">V311-C$3</f>
        <v>9216</v>
      </c>
      <c r="X311" s="124" t="n">
        <f aca="false">VLOOKUP($A311,Table,MATCH(X$4,Curves,0))</f>
        <v>2</v>
      </c>
      <c r="Y311" s="129" t="n">
        <f aca="false">1/(1+CHOOSE(F$3,(X312+($K$3/10000))/2,(X311+($K$3/10000))/2))^(2*W311/365.25)</f>
        <v>6.43876416928787E-016</v>
      </c>
      <c r="Z311" s="5" t="n">
        <f aca="false">IF(AND(mthbeg&lt;=A311,mthend&gt;=A311),1,0)</f>
        <v>0</v>
      </c>
      <c r="AA311" s="5" t="n">
        <f aca="false">U311*Z311</f>
        <v>0</v>
      </c>
      <c r="AC311" s="115" t="n">
        <f aca="false">IF(G304=2,F311*(S311-Q311),F311*(Q311-S311))</f>
        <v>0</v>
      </c>
      <c r="AE311" s="116" t="n">
        <f aca="false">IF($G$3=1,F311*(R311-Q311),F311*(Q311-R311))</f>
        <v>0</v>
      </c>
      <c r="AG311" s="116" t="n">
        <f aca="false">AC311+AE311</f>
        <v>0</v>
      </c>
    </row>
    <row r="312" customFormat="false" ht="12" hidden="false" customHeight="true" outlineLevel="0" collapsed="false">
      <c r="A312" s="120" t="n">
        <f aca="false">EDATE(A311,1)</f>
        <v>46478</v>
      </c>
      <c r="B312" s="121" t="e">
        <f aca="false">VLOOKUP(A312,'Inputs-Summary'!$A$32:$E$41,3,FALSE())</f>
        <v>#N/A</v>
      </c>
      <c r="C312" s="122"/>
      <c r="D312" s="123" t="e">
        <f aca="false">B312+C312</f>
        <v>#N/A</v>
      </c>
      <c r="E312" s="111" t="n">
        <f aca="false">IF(Z312=0,0,IF(AND(Z312=1,$H$3=1),D312*U312,IF($H$3=2,D312,"N/A")))</f>
        <v>0</v>
      </c>
      <c r="F312" s="111" t="n">
        <f aca="false">E312*Y312</f>
        <v>0</v>
      </c>
      <c r="G312" s="124" t="n">
        <f aca="false">VLOOKUP($A312,Table,MATCH(G$4,Curves,0))</f>
        <v>3</v>
      </c>
      <c r="H312" s="125" t="n">
        <f aca="false">G312+$H$7</f>
        <v>3</v>
      </c>
      <c r="I312" s="124" t="n">
        <f aca="false">H312</f>
        <v>3</v>
      </c>
      <c r="J312" s="124" t="n">
        <f aca="false">VLOOKUP($A312,Table,MATCH(J$4,Curves,0))</f>
        <v>4</v>
      </c>
      <c r="K312" s="125" t="n">
        <f aca="false">J312+$K$7</f>
        <v>4</v>
      </c>
      <c r="L312" s="126" t="n">
        <f aca="false">K312</f>
        <v>4</v>
      </c>
      <c r="M312" s="124" t="n">
        <f aca="false">VLOOKUP($A312,Table,MATCH(M$4,Curves,0))</f>
        <v>4</v>
      </c>
      <c r="N312" s="125" t="n">
        <f aca="false">M312+$N$7</f>
        <v>4</v>
      </c>
      <c r="O312" s="126" t="n">
        <v>0.12</v>
      </c>
      <c r="P312" s="114"/>
      <c r="Q312" s="126" t="n">
        <f aca="false">M312+J312+G312</f>
        <v>11</v>
      </c>
      <c r="R312" s="126" t="n">
        <f aca="false">N312+K312+H312</f>
        <v>11</v>
      </c>
      <c r="S312" s="126" t="n">
        <f aca="false">O312+L312+I312</f>
        <v>7.12</v>
      </c>
      <c r="T312" s="127"/>
      <c r="U312" s="5" t="n">
        <f aca="false">A313-A312</f>
        <v>30</v>
      </c>
      <c r="V312" s="128" t="n">
        <f aca="false">CHOOSE(F$3,A313+24,A312)</f>
        <v>46478</v>
      </c>
      <c r="W312" s="5" t="n">
        <f aca="false">V312-C$3</f>
        <v>9247</v>
      </c>
      <c r="X312" s="124" t="n">
        <f aca="false">VLOOKUP($A312,Table,MATCH(X$4,Curves,0))</f>
        <v>2</v>
      </c>
      <c r="Y312" s="129" t="n">
        <f aca="false">1/(1+CHOOSE(F$3,(X313+($K$3/10000))/2,(X312+($K$3/10000))/2))^(2*W312/365.25)</f>
        <v>5.72405312175235E-016</v>
      </c>
      <c r="Z312" s="5" t="n">
        <f aca="false">IF(AND(mthbeg&lt;=A312,mthend&gt;=A312),1,0)</f>
        <v>0</v>
      </c>
      <c r="AA312" s="5" t="n">
        <f aca="false">U312*Z312</f>
        <v>0</v>
      </c>
      <c r="AC312" s="115" t="n">
        <f aca="false">IF(G305=2,F312*(S312-Q312),F312*(Q312-S312))</f>
        <v>0</v>
      </c>
      <c r="AE312" s="116" t="n">
        <f aca="false">IF($G$3=1,F312*(R312-Q312),F312*(Q312-R312))</f>
        <v>0</v>
      </c>
      <c r="AG312" s="116" t="n">
        <f aca="false">AC312+AE312</f>
        <v>0</v>
      </c>
    </row>
    <row r="313" customFormat="false" ht="12" hidden="false" customHeight="true" outlineLevel="0" collapsed="false">
      <c r="A313" s="120" t="n">
        <f aca="false">EDATE(A312,1)</f>
        <v>46508</v>
      </c>
      <c r="B313" s="121" t="e">
        <f aca="false">VLOOKUP(A313,'Inputs-Summary'!$A$32:$E$41,3,FALSE())</f>
        <v>#N/A</v>
      </c>
      <c r="C313" s="122"/>
      <c r="D313" s="123" t="e">
        <f aca="false">B313+C313</f>
        <v>#N/A</v>
      </c>
      <c r="E313" s="111" t="n">
        <f aca="false">IF(Z313=0,0,IF(AND(Z313=1,$H$3=1),D313*U313,IF($H$3=2,D313,"N/A")))</f>
        <v>0</v>
      </c>
      <c r="F313" s="111" t="n">
        <f aca="false">E313*Y313</f>
        <v>0</v>
      </c>
      <c r="G313" s="124" t="n">
        <f aca="false">VLOOKUP($A313,Table,MATCH(G$4,Curves,0))</f>
        <v>3</v>
      </c>
      <c r="H313" s="125" t="n">
        <f aca="false">G313+$H$7</f>
        <v>3</v>
      </c>
      <c r="I313" s="124" t="n">
        <f aca="false">H313</f>
        <v>3</v>
      </c>
      <c r="J313" s="124" t="n">
        <f aca="false">VLOOKUP($A313,Table,MATCH(J$4,Curves,0))</f>
        <v>4</v>
      </c>
      <c r="K313" s="125" t="n">
        <f aca="false">J313+$K$7</f>
        <v>4</v>
      </c>
      <c r="L313" s="126" t="n">
        <f aca="false">K313</f>
        <v>4</v>
      </c>
      <c r="M313" s="124" t="n">
        <f aca="false">VLOOKUP($A313,Table,MATCH(M$4,Curves,0))</f>
        <v>4</v>
      </c>
      <c r="N313" s="125" t="n">
        <f aca="false">M313+$N$7</f>
        <v>4</v>
      </c>
      <c r="O313" s="126" t="n">
        <v>0.12</v>
      </c>
      <c r="P313" s="114"/>
      <c r="Q313" s="126" t="n">
        <f aca="false">M313+J313+G313</f>
        <v>11</v>
      </c>
      <c r="R313" s="126" t="n">
        <f aca="false">N313+K313+H313</f>
        <v>11</v>
      </c>
      <c r="S313" s="126" t="n">
        <f aca="false">O313+L313+I313</f>
        <v>7.12</v>
      </c>
      <c r="T313" s="127"/>
      <c r="U313" s="5" t="n">
        <f aca="false">A314-A313</f>
        <v>31</v>
      </c>
      <c r="V313" s="128" t="n">
        <f aca="false">CHOOSE(F$3,A314+24,A313)</f>
        <v>46508</v>
      </c>
      <c r="W313" s="5" t="n">
        <f aca="false">V313-C$3</f>
        <v>9277</v>
      </c>
      <c r="X313" s="124" t="n">
        <f aca="false">VLOOKUP($A313,Table,MATCH(X$4,Curves,0))</f>
        <v>2</v>
      </c>
      <c r="Y313" s="129" t="n">
        <f aca="false">1/(1+CHOOSE(F$3,(X314+($K$3/10000))/2,(X313+($K$3/10000))/2))^(2*W313/365.25)</f>
        <v>5.10802651455743E-016</v>
      </c>
      <c r="Z313" s="5" t="n">
        <f aca="false">IF(AND(mthbeg&lt;=A313,mthend&gt;=A313),1,0)</f>
        <v>0</v>
      </c>
      <c r="AA313" s="5" t="n">
        <f aca="false">U313*Z313</f>
        <v>0</v>
      </c>
      <c r="AC313" s="115" t="n">
        <f aca="false">IF(G306=2,F313*(S313-Q313),F313*(Q313-S313))</f>
        <v>0</v>
      </c>
      <c r="AE313" s="116" t="n">
        <f aca="false">IF($G$3=1,F313*(R313-Q313),F313*(Q313-R313))</f>
        <v>0</v>
      </c>
      <c r="AG313" s="116" t="n">
        <f aca="false">AC313+AE313</f>
        <v>0</v>
      </c>
    </row>
    <row r="314" customFormat="false" ht="12" hidden="false" customHeight="true" outlineLevel="0" collapsed="false">
      <c r="A314" s="120" t="n">
        <f aca="false">EDATE(A313,1)</f>
        <v>46539</v>
      </c>
      <c r="B314" s="121" t="e">
        <f aca="false">VLOOKUP(A314,'Inputs-Summary'!$A$32:$E$41,3,FALSE())</f>
        <v>#N/A</v>
      </c>
      <c r="C314" s="122"/>
      <c r="D314" s="123" t="e">
        <f aca="false">B314+C314</f>
        <v>#N/A</v>
      </c>
      <c r="E314" s="111" t="n">
        <f aca="false">IF(Z314=0,0,IF(AND(Z314=1,$H$3=1),D314*U314,IF($H$3=2,D314,"N/A")))</f>
        <v>0</v>
      </c>
      <c r="F314" s="111" t="n">
        <f aca="false">E314*Y314</f>
        <v>0</v>
      </c>
      <c r="G314" s="124" t="n">
        <f aca="false">VLOOKUP($A314,Table,MATCH(G$4,Curves,0))</f>
        <v>3</v>
      </c>
      <c r="H314" s="125" t="n">
        <f aca="false">G314+$H$7</f>
        <v>3</v>
      </c>
      <c r="I314" s="124" t="n">
        <f aca="false">H314</f>
        <v>3</v>
      </c>
      <c r="J314" s="124" t="n">
        <f aca="false">VLOOKUP($A314,Table,MATCH(J$4,Curves,0))</f>
        <v>4</v>
      </c>
      <c r="K314" s="125" t="n">
        <f aca="false">J314+$K$7</f>
        <v>4</v>
      </c>
      <c r="L314" s="126" t="n">
        <f aca="false">K314</f>
        <v>4</v>
      </c>
      <c r="M314" s="124" t="n">
        <f aca="false">VLOOKUP($A314,Table,MATCH(M$4,Curves,0))</f>
        <v>4</v>
      </c>
      <c r="N314" s="125" t="n">
        <f aca="false">M314+$N$7</f>
        <v>4</v>
      </c>
      <c r="O314" s="126" t="n">
        <v>0.12</v>
      </c>
      <c r="P314" s="114"/>
      <c r="Q314" s="126" t="n">
        <f aca="false">M314+J314+G314</f>
        <v>11</v>
      </c>
      <c r="R314" s="126" t="n">
        <f aca="false">N314+K314+H314</f>
        <v>11</v>
      </c>
      <c r="S314" s="126" t="n">
        <f aca="false">O314+L314+I314</f>
        <v>7.12</v>
      </c>
      <c r="T314" s="127"/>
      <c r="U314" s="5" t="n">
        <f aca="false">A315-A314</f>
        <v>30</v>
      </c>
      <c r="V314" s="128" t="n">
        <f aca="false">CHOOSE(F$3,A315+24,A314)</f>
        <v>46539</v>
      </c>
      <c r="W314" s="5" t="n">
        <f aca="false">V314-C$3</f>
        <v>9308</v>
      </c>
      <c r="X314" s="124" t="n">
        <f aca="false">VLOOKUP($A314,Table,MATCH(X$4,Curves,0))</f>
        <v>2</v>
      </c>
      <c r="Y314" s="129" t="n">
        <f aca="false">1/(1+CHOOSE(F$3,(X315+($K$3/10000))/2,(X314+($K$3/10000))/2))^(2*W314/365.25)</f>
        <v>4.54102904655382E-016</v>
      </c>
      <c r="Z314" s="5" t="n">
        <f aca="false">IF(AND(mthbeg&lt;=A314,mthend&gt;=A314),1,0)</f>
        <v>0</v>
      </c>
      <c r="AA314" s="5" t="n">
        <f aca="false">U314*Z314</f>
        <v>0</v>
      </c>
      <c r="AC314" s="115" t="n">
        <f aca="false">IF(G307=2,F314*(S314-Q314),F314*(Q314-S314))</f>
        <v>0</v>
      </c>
      <c r="AE314" s="116" t="n">
        <f aca="false">IF($G$3=1,F314*(R314-Q314),F314*(Q314-R314))</f>
        <v>0</v>
      </c>
      <c r="AG314" s="116" t="n">
        <f aca="false">AC314+AE314</f>
        <v>0</v>
      </c>
    </row>
    <row r="315" customFormat="false" ht="12" hidden="false" customHeight="true" outlineLevel="0" collapsed="false">
      <c r="A315" s="120" t="n">
        <f aca="false">EDATE(A314,1)</f>
        <v>46569</v>
      </c>
      <c r="B315" s="121" t="e">
        <f aca="false">VLOOKUP(A315,'Inputs-Summary'!$A$32:$E$41,3,FALSE())</f>
        <v>#N/A</v>
      </c>
      <c r="C315" s="122"/>
      <c r="D315" s="123" t="e">
        <f aca="false">B315+C315</f>
        <v>#N/A</v>
      </c>
      <c r="E315" s="111" t="n">
        <f aca="false">IF(Z315=0,0,IF(AND(Z315=1,$H$3=1),D315*U315,IF($H$3=2,D315,"N/A")))</f>
        <v>0</v>
      </c>
      <c r="F315" s="111" t="n">
        <f aca="false">E315*Y315</f>
        <v>0</v>
      </c>
      <c r="G315" s="124" t="n">
        <f aca="false">VLOOKUP($A315,Table,MATCH(G$4,Curves,0))</f>
        <v>3</v>
      </c>
      <c r="H315" s="125" t="n">
        <f aca="false">G315+$H$7</f>
        <v>3</v>
      </c>
      <c r="I315" s="124" t="n">
        <f aca="false">H315</f>
        <v>3</v>
      </c>
      <c r="J315" s="124" t="n">
        <f aca="false">VLOOKUP($A315,Table,MATCH(J$4,Curves,0))</f>
        <v>4</v>
      </c>
      <c r="K315" s="125" t="n">
        <f aca="false">J315+$K$7</f>
        <v>4</v>
      </c>
      <c r="L315" s="126" t="n">
        <f aca="false">K315</f>
        <v>4</v>
      </c>
      <c r="M315" s="124" t="n">
        <f aca="false">VLOOKUP($A315,Table,MATCH(M$4,Curves,0))</f>
        <v>4</v>
      </c>
      <c r="N315" s="125" t="n">
        <f aca="false">M315+$N$7</f>
        <v>4</v>
      </c>
      <c r="O315" s="126" t="n">
        <v>0.12</v>
      </c>
      <c r="P315" s="114"/>
      <c r="Q315" s="126" t="n">
        <f aca="false">M315+J315+G315</f>
        <v>11</v>
      </c>
      <c r="R315" s="126" t="n">
        <f aca="false">N315+K315+H315</f>
        <v>11</v>
      </c>
      <c r="S315" s="126" t="n">
        <f aca="false">O315+L315+I315</f>
        <v>7.12</v>
      </c>
      <c r="T315" s="127"/>
      <c r="U315" s="5" t="n">
        <f aca="false">A316-A315</f>
        <v>31</v>
      </c>
      <c r="V315" s="128" t="n">
        <f aca="false">CHOOSE(F$3,A316+24,A315)</f>
        <v>46569</v>
      </c>
      <c r="W315" s="5" t="n">
        <f aca="false">V315-C$3</f>
        <v>9338</v>
      </c>
      <c r="X315" s="124" t="n">
        <f aca="false">VLOOKUP($A315,Table,MATCH(X$4,Curves,0))</f>
        <v>2</v>
      </c>
      <c r="Y315" s="129" t="n">
        <f aca="false">1/(1+CHOOSE(F$3,(X316+($K$3/10000))/2,(X315+($K$3/10000))/2))^(2*W315/365.25)</f>
        <v>4.05232031915025E-016</v>
      </c>
      <c r="Z315" s="5" t="n">
        <f aca="false">IF(AND(mthbeg&lt;=A315,mthend&gt;=A315),1,0)</f>
        <v>0</v>
      </c>
      <c r="AA315" s="5" t="n">
        <f aca="false">U315*Z315</f>
        <v>0</v>
      </c>
      <c r="AC315" s="115" t="n">
        <f aca="false">IF(G308=2,F315*(S315-Q315),F315*(Q315-S315))</f>
        <v>0</v>
      </c>
      <c r="AE315" s="116" t="n">
        <f aca="false">IF($G$3=1,F315*(R315-Q315),F315*(Q315-R315))</f>
        <v>0</v>
      </c>
      <c r="AG315" s="116" t="n">
        <f aca="false">AC315+AE315</f>
        <v>0</v>
      </c>
    </row>
    <row r="316" customFormat="false" ht="12" hidden="false" customHeight="true" outlineLevel="0" collapsed="false">
      <c r="A316" s="120" t="n">
        <f aca="false">EDATE(A315,1)</f>
        <v>46600</v>
      </c>
      <c r="B316" s="121" t="e">
        <f aca="false">VLOOKUP(A316,'Inputs-Summary'!$A$32:$E$41,3,FALSE())</f>
        <v>#N/A</v>
      </c>
      <c r="C316" s="122"/>
      <c r="D316" s="123" t="e">
        <f aca="false">B316+C316</f>
        <v>#N/A</v>
      </c>
      <c r="E316" s="111" t="n">
        <f aca="false">IF(Z316=0,0,IF(AND(Z316=1,$H$3=1),D316*U316,IF($H$3=2,D316,"N/A")))</f>
        <v>0</v>
      </c>
      <c r="F316" s="111" t="n">
        <f aca="false">E316*Y316</f>
        <v>0</v>
      </c>
      <c r="G316" s="124" t="n">
        <f aca="false">VLOOKUP($A316,Table,MATCH(G$4,Curves,0))</f>
        <v>3</v>
      </c>
      <c r="H316" s="125" t="n">
        <f aca="false">G316+$H$7</f>
        <v>3</v>
      </c>
      <c r="I316" s="124" t="n">
        <f aca="false">H316</f>
        <v>3</v>
      </c>
      <c r="J316" s="124" t="n">
        <f aca="false">VLOOKUP($A316,Table,MATCH(J$4,Curves,0))</f>
        <v>4</v>
      </c>
      <c r="K316" s="125" t="n">
        <f aca="false">J316+$K$7</f>
        <v>4</v>
      </c>
      <c r="L316" s="126" t="n">
        <f aca="false">K316</f>
        <v>4</v>
      </c>
      <c r="M316" s="124" t="n">
        <f aca="false">VLOOKUP($A316,Table,MATCH(M$4,Curves,0))</f>
        <v>4</v>
      </c>
      <c r="N316" s="125" t="n">
        <f aca="false">M316+$N$7</f>
        <v>4</v>
      </c>
      <c r="O316" s="126" t="n">
        <v>0.12</v>
      </c>
      <c r="P316" s="114"/>
      <c r="Q316" s="126" t="n">
        <f aca="false">M316+J316+G316</f>
        <v>11</v>
      </c>
      <c r="R316" s="126" t="n">
        <f aca="false">N316+K316+H316</f>
        <v>11</v>
      </c>
      <c r="S316" s="126" t="n">
        <f aca="false">O316+L316+I316</f>
        <v>7.12</v>
      </c>
      <c r="T316" s="127"/>
      <c r="U316" s="5" t="n">
        <f aca="false">A317-A316</f>
        <v>31</v>
      </c>
      <c r="V316" s="128" t="n">
        <f aca="false">CHOOSE(F$3,A317+24,A316)</f>
        <v>46600</v>
      </c>
      <c r="W316" s="5" t="n">
        <f aca="false">V316-C$3</f>
        <v>9369</v>
      </c>
      <c r="X316" s="124" t="n">
        <f aca="false">VLOOKUP($A316,Table,MATCH(X$4,Curves,0))</f>
        <v>2</v>
      </c>
      <c r="Y316" s="129" t="n">
        <f aca="false">1/(1+CHOOSE(F$3,(X317+($K$3/10000))/2,(X316+($K$3/10000))/2))^(2*W316/365.25)</f>
        <v>3.60250758737417E-016</v>
      </c>
      <c r="Z316" s="5" t="n">
        <f aca="false">IF(AND(mthbeg&lt;=A316,mthend&gt;=A316),1,0)</f>
        <v>0</v>
      </c>
      <c r="AA316" s="5" t="n">
        <f aca="false">U316*Z316</f>
        <v>0</v>
      </c>
      <c r="AC316" s="115" t="n">
        <f aca="false">IF(G309=2,F316*(S316-Q316),F316*(Q316-S316))</f>
        <v>0</v>
      </c>
      <c r="AE316" s="116" t="n">
        <f aca="false">IF($G$3=1,F316*(R316-Q316),F316*(Q316-R316))</f>
        <v>0</v>
      </c>
      <c r="AG316" s="116" t="n">
        <f aca="false">AC316+AE316</f>
        <v>0</v>
      </c>
    </row>
    <row r="317" customFormat="false" ht="12" hidden="false" customHeight="true" outlineLevel="0" collapsed="false">
      <c r="A317" s="120" t="n">
        <f aca="false">EDATE(A316,1)</f>
        <v>46631</v>
      </c>
      <c r="B317" s="121" t="e">
        <f aca="false">VLOOKUP(A317,'Inputs-Summary'!$A$32:$E$41,3,FALSE())</f>
        <v>#N/A</v>
      </c>
      <c r="C317" s="122"/>
      <c r="D317" s="123" t="e">
        <f aca="false">B317+C317</f>
        <v>#N/A</v>
      </c>
      <c r="E317" s="111" t="n">
        <f aca="false">IF(Z317=0,0,IF(AND(Z317=1,$H$3=1),D317*U317,IF($H$3=2,D317,"N/A")))</f>
        <v>0</v>
      </c>
      <c r="F317" s="111" t="n">
        <f aca="false">E317*Y317</f>
        <v>0</v>
      </c>
      <c r="G317" s="124" t="n">
        <f aca="false">VLOOKUP($A317,Table,MATCH(G$4,Curves,0))</f>
        <v>3</v>
      </c>
      <c r="H317" s="125" t="n">
        <f aca="false">G317+$H$7</f>
        <v>3</v>
      </c>
      <c r="I317" s="124" t="n">
        <f aca="false">H317</f>
        <v>3</v>
      </c>
      <c r="J317" s="124" t="n">
        <f aca="false">VLOOKUP($A317,Table,MATCH(J$4,Curves,0))</f>
        <v>4</v>
      </c>
      <c r="K317" s="125" t="n">
        <f aca="false">J317+$K$7</f>
        <v>4</v>
      </c>
      <c r="L317" s="126" t="n">
        <f aca="false">K317</f>
        <v>4</v>
      </c>
      <c r="M317" s="124" t="n">
        <f aca="false">VLOOKUP($A317,Table,MATCH(M$4,Curves,0))</f>
        <v>4</v>
      </c>
      <c r="N317" s="125" t="n">
        <f aca="false">M317+$N$7</f>
        <v>4</v>
      </c>
      <c r="O317" s="126" t="n">
        <v>0.12</v>
      </c>
      <c r="P317" s="114"/>
      <c r="Q317" s="126" t="n">
        <f aca="false">M317+J317+G317</f>
        <v>11</v>
      </c>
      <c r="R317" s="126" t="n">
        <f aca="false">N317+K317+H317</f>
        <v>11</v>
      </c>
      <c r="S317" s="126" t="n">
        <f aca="false">O317+L317+I317</f>
        <v>7.12</v>
      </c>
      <c r="T317" s="127"/>
      <c r="U317" s="5" t="n">
        <f aca="false">A318-A317</f>
        <v>30</v>
      </c>
      <c r="V317" s="128" t="n">
        <f aca="false">CHOOSE(F$3,A318+24,A317)</f>
        <v>46631</v>
      </c>
      <c r="W317" s="5" t="n">
        <f aca="false">V317-C$3</f>
        <v>9400</v>
      </c>
      <c r="X317" s="124" t="n">
        <f aca="false">VLOOKUP($A317,Table,MATCH(X$4,Curves,0))</f>
        <v>2</v>
      </c>
      <c r="Y317" s="129" t="n">
        <f aca="false">1/(1+CHOOSE(F$3,(X318+($K$3/10000))/2,(X317+($K$3/10000))/2))^(2*W317/365.25)</f>
        <v>3.20262464340674E-016</v>
      </c>
      <c r="Z317" s="5" t="n">
        <f aca="false">IF(AND(mthbeg&lt;=A317,mthend&gt;=A317),1,0)</f>
        <v>0</v>
      </c>
      <c r="AA317" s="5" t="n">
        <f aca="false">U317*Z317</f>
        <v>0</v>
      </c>
      <c r="AC317" s="115" t="n">
        <f aca="false">IF(G310=2,F317*(S317-Q317),F317*(Q317-S317))</f>
        <v>0</v>
      </c>
      <c r="AE317" s="116" t="n">
        <f aca="false">IF($G$3=1,F317*(R317-Q317),F317*(Q317-R317))</f>
        <v>0</v>
      </c>
      <c r="AG317" s="116" t="n">
        <f aca="false">AC317+AE317</f>
        <v>0</v>
      </c>
    </row>
    <row r="318" customFormat="false" ht="12" hidden="false" customHeight="true" outlineLevel="0" collapsed="false">
      <c r="A318" s="120" t="n">
        <f aca="false">EDATE(A317,1)</f>
        <v>46661</v>
      </c>
      <c r="B318" s="121" t="e">
        <f aca="false">VLOOKUP(A318,'Inputs-Summary'!$A$32:$E$41,3,FALSE())</f>
        <v>#N/A</v>
      </c>
      <c r="C318" s="122"/>
      <c r="D318" s="123" t="e">
        <f aca="false">B318+C318</f>
        <v>#N/A</v>
      </c>
      <c r="E318" s="111" t="n">
        <f aca="false">IF(Z318=0,0,IF(AND(Z318=1,$H$3=1),D318*U318,IF($H$3=2,D318,"N/A")))</f>
        <v>0</v>
      </c>
      <c r="F318" s="111" t="n">
        <f aca="false">E318*Y318</f>
        <v>0</v>
      </c>
      <c r="G318" s="124" t="n">
        <f aca="false">VLOOKUP($A318,Table,MATCH(G$4,Curves,0))</f>
        <v>3</v>
      </c>
      <c r="H318" s="125" t="n">
        <f aca="false">G318+$H$7</f>
        <v>3</v>
      </c>
      <c r="I318" s="124" t="n">
        <f aca="false">H318</f>
        <v>3</v>
      </c>
      <c r="J318" s="124" t="n">
        <f aca="false">VLOOKUP($A318,Table,MATCH(J$4,Curves,0))</f>
        <v>4</v>
      </c>
      <c r="K318" s="125" t="n">
        <f aca="false">J318+$K$7</f>
        <v>4</v>
      </c>
      <c r="L318" s="126" t="n">
        <f aca="false">K318</f>
        <v>4</v>
      </c>
      <c r="M318" s="124" t="n">
        <f aca="false">VLOOKUP($A318,Table,MATCH(M$4,Curves,0))</f>
        <v>4</v>
      </c>
      <c r="N318" s="125" t="n">
        <f aca="false">M318+$N$7</f>
        <v>4</v>
      </c>
      <c r="O318" s="126" t="n">
        <v>0.12</v>
      </c>
      <c r="P318" s="114"/>
      <c r="Q318" s="126" t="n">
        <f aca="false">M318+J318+G318</f>
        <v>11</v>
      </c>
      <c r="R318" s="126" t="n">
        <f aca="false">N318+K318+H318</f>
        <v>11</v>
      </c>
      <c r="S318" s="126" t="n">
        <f aca="false">O318+L318+I318</f>
        <v>7.12</v>
      </c>
      <c r="T318" s="127"/>
      <c r="U318" s="5" t="n">
        <f aca="false">A319-A318</f>
        <v>31</v>
      </c>
      <c r="V318" s="128" t="n">
        <f aca="false">CHOOSE(F$3,A319+24,A318)</f>
        <v>46661</v>
      </c>
      <c r="W318" s="5" t="n">
        <f aca="false">V318-C$3</f>
        <v>9430</v>
      </c>
      <c r="X318" s="124" t="n">
        <f aca="false">VLOOKUP($A318,Table,MATCH(X$4,Curves,0))</f>
        <v>2</v>
      </c>
      <c r="Y318" s="129" t="n">
        <f aca="false">1/(1+CHOOSE(F$3,(X319+($K$3/10000))/2,(X318+($K$3/10000))/2))^(2*W318/365.25)</f>
        <v>2.85795593554668E-016</v>
      </c>
      <c r="Z318" s="5" t="n">
        <f aca="false">IF(AND(mthbeg&lt;=A318,mthend&gt;=A318),1,0)</f>
        <v>0</v>
      </c>
      <c r="AA318" s="5" t="n">
        <f aca="false">U318*Z318</f>
        <v>0</v>
      </c>
      <c r="AC318" s="115" t="n">
        <f aca="false">IF(G311=2,F318*(S318-Q318),F318*(Q318-S318))</f>
        <v>0</v>
      </c>
      <c r="AE318" s="116" t="n">
        <f aca="false">IF($G$3=1,F318*(R318-Q318),F318*(Q318-R318))</f>
        <v>0</v>
      </c>
      <c r="AG318" s="116" t="n">
        <f aca="false">AC318+AE318</f>
        <v>0</v>
      </c>
    </row>
    <row r="319" customFormat="false" ht="12" hidden="false" customHeight="true" outlineLevel="0" collapsed="false">
      <c r="A319" s="120" t="n">
        <f aca="false">EDATE(A318,1)</f>
        <v>46692</v>
      </c>
      <c r="B319" s="121" t="e">
        <f aca="false">VLOOKUP(A319,'Inputs-Summary'!$A$32:$E$41,3,FALSE())</f>
        <v>#N/A</v>
      </c>
      <c r="C319" s="122"/>
      <c r="D319" s="123" t="e">
        <f aca="false">B319+C319</f>
        <v>#N/A</v>
      </c>
      <c r="E319" s="111" t="n">
        <f aca="false">IF(Z319=0,0,IF(AND(Z319=1,$H$3=1),D319*U319,IF($H$3=2,D319,"N/A")))</f>
        <v>0</v>
      </c>
      <c r="F319" s="111" t="n">
        <f aca="false">E319*Y319</f>
        <v>0</v>
      </c>
      <c r="G319" s="124" t="n">
        <f aca="false">VLOOKUP($A319,Table,MATCH(G$4,Curves,0))</f>
        <v>3</v>
      </c>
      <c r="H319" s="125" t="n">
        <f aca="false">G319+$H$7</f>
        <v>3</v>
      </c>
      <c r="I319" s="124" t="n">
        <f aca="false">H319</f>
        <v>3</v>
      </c>
      <c r="J319" s="124" t="n">
        <f aca="false">VLOOKUP($A319,Table,MATCH(J$4,Curves,0))</f>
        <v>4</v>
      </c>
      <c r="K319" s="125" t="n">
        <f aca="false">J319+$K$7</f>
        <v>4</v>
      </c>
      <c r="L319" s="126" t="n">
        <f aca="false">K319</f>
        <v>4</v>
      </c>
      <c r="M319" s="124" t="n">
        <f aca="false">VLOOKUP($A319,Table,MATCH(M$4,Curves,0))</f>
        <v>4</v>
      </c>
      <c r="N319" s="125" t="n">
        <f aca="false">M319+$N$7</f>
        <v>4</v>
      </c>
      <c r="O319" s="126" t="n">
        <v>0.12</v>
      </c>
      <c r="P319" s="114"/>
      <c r="Q319" s="126" t="n">
        <f aca="false">M319+J319+G319</f>
        <v>11</v>
      </c>
      <c r="R319" s="126" t="n">
        <f aca="false">N319+K319+H319</f>
        <v>11</v>
      </c>
      <c r="S319" s="126" t="n">
        <f aca="false">O319+L319+I319</f>
        <v>7.12</v>
      </c>
      <c r="T319" s="127"/>
      <c r="U319" s="5" t="n">
        <f aca="false">A320-A319</f>
        <v>30</v>
      </c>
      <c r="V319" s="128" t="n">
        <f aca="false">CHOOSE(F$3,A320+24,A319)</f>
        <v>46692</v>
      </c>
      <c r="W319" s="5" t="n">
        <f aca="false">V319-C$3</f>
        <v>9461</v>
      </c>
      <c r="X319" s="124" t="n">
        <f aca="false">VLOOKUP($A319,Table,MATCH(X$4,Curves,0))</f>
        <v>2</v>
      </c>
      <c r="Y319" s="129" t="n">
        <f aca="false">1/(1+CHOOSE(F$3,(X320+($K$3/10000))/2,(X319+($K$3/10000))/2))^(2*W319/365.25)</f>
        <v>2.54071917600703E-016</v>
      </c>
      <c r="Z319" s="5" t="n">
        <f aca="false">IF(AND(mthbeg&lt;=A319,mthend&gt;=A319),1,0)</f>
        <v>0</v>
      </c>
      <c r="AA319" s="5" t="n">
        <f aca="false">U319*Z319</f>
        <v>0</v>
      </c>
      <c r="AC319" s="115" t="n">
        <f aca="false">IF(G312=2,F319*(S319-Q319),F319*(Q319-S319))</f>
        <v>0</v>
      </c>
      <c r="AE319" s="116" t="n">
        <f aca="false">IF($G$3=1,F319*(R319-Q319),F319*(Q319-R319))</f>
        <v>0</v>
      </c>
      <c r="AG319" s="116" t="n">
        <f aca="false">AC319+AE319</f>
        <v>0</v>
      </c>
    </row>
    <row r="320" customFormat="false" ht="12" hidden="false" customHeight="true" outlineLevel="0" collapsed="false">
      <c r="A320" s="120" t="n">
        <f aca="false">EDATE(A319,1)</f>
        <v>46722</v>
      </c>
      <c r="B320" s="121" t="e">
        <f aca="false">VLOOKUP(A320,'Inputs-Summary'!$A$32:$E$41,3,FALSE())</f>
        <v>#N/A</v>
      </c>
      <c r="C320" s="122"/>
      <c r="D320" s="123" t="e">
        <f aca="false">B320+C320</f>
        <v>#N/A</v>
      </c>
      <c r="E320" s="111" t="n">
        <f aca="false">IF(Z320=0,0,IF(AND(Z320=1,$H$3=1),D320*U320,IF($H$3=2,D320,"N/A")))</f>
        <v>0</v>
      </c>
      <c r="F320" s="111" t="n">
        <f aca="false">E320*Y320</f>
        <v>0</v>
      </c>
      <c r="G320" s="124" t="n">
        <f aca="false">VLOOKUP($A320,Table,MATCH(G$4,Curves,0))</f>
        <v>3</v>
      </c>
      <c r="H320" s="125" t="n">
        <f aca="false">G320+$H$7</f>
        <v>3</v>
      </c>
      <c r="I320" s="124" t="n">
        <f aca="false">H320</f>
        <v>3</v>
      </c>
      <c r="J320" s="124" t="n">
        <f aca="false">VLOOKUP($A320,Table,MATCH(J$4,Curves,0))</f>
        <v>4</v>
      </c>
      <c r="K320" s="125" t="n">
        <f aca="false">J320+$K$7</f>
        <v>4</v>
      </c>
      <c r="L320" s="126" t="n">
        <f aca="false">K320</f>
        <v>4</v>
      </c>
      <c r="M320" s="124" t="n">
        <f aca="false">VLOOKUP($A320,Table,MATCH(M$4,Curves,0))</f>
        <v>4</v>
      </c>
      <c r="N320" s="125" t="n">
        <f aca="false">M320+$N$7</f>
        <v>4</v>
      </c>
      <c r="O320" s="126" t="n">
        <v>0.12</v>
      </c>
      <c r="P320" s="114"/>
      <c r="Q320" s="126" t="n">
        <f aca="false">M320+J320+G320</f>
        <v>11</v>
      </c>
      <c r="R320" s="126" t="n">
        <f aca="false">N320+K320+H320</f>
        <v>11</v>
      </c>
      <c r="S320" s="126" t="n">
        <f aca="false">O320+L320+I320</f>
        <v>7.12</v>
      </c>
      <c r="T320" s="127"/>
      <c r="U320" s="5" t="n">
        <f aca="false">A321-A320</f>
        <v>31</v>
      </c>
      <c r="V320" s="128" t="n">
        <f aca="false">CHOOSE(F$3,A321+24,A320)</f>
        <v>46722</v>
      </c>
      <c r="W320" s="5" t="n">
        <f aca="false">V320-C$3</f>
        <v>9491</v>
      </c>
      <c r="X320" s="124" t="n">
        <f aca="false">VLOOKUP($A320,Table,MATCH(X$4,Curves,0))</f>
        <v>2</v>
      </c>
      <c r="Y320" s="129" t="n">
        <f aca="false">1/(1+CHOOSE(F$3,(X321+($K$3/10000))/2,(X320+($K$3/10000))/2))^(2*W320/365.25)</f>
        <v>2.26728519827491E-016</v>
      </c>
      <c r="Z320" s="5" t="n">
        <f aca="false">IF(AND(mthbeg&lt;=A320,mthend&gt;=A320),1,0)</f>
        <v>0</v>
      </c>
      <c r="AA320" s="5" t="n">
        <f aca="false">U320*Z320</f>
        <v>0</v>
      </c>
      <c r="AC320" s="115" t="n">
        <f aca="false">IF(G313=2,F320*(S320-Q320),F320*(Q320-S320))</f>
        <v>0</v>
      </c>
      <c r="AE320" s="116" t="n">
        <f aca="false">IF($G$3=1,F320*(R320-Q320),F320*(Q320-R320))</f>
        <v>0</v>
      </c>
      <c r="AG320" s="116" t="n">
        <f aca="false">AC320+AE320</f>
        <v>0</v>
      </c>
    </row>
    <row r="321" customFormat="false" ht="12" hidden="false" customHeight="true" outlineLevel="0" collapsed="false">
      <c r="A321" s="120" t="n">
        <f aca="false">EDATE(A320,1)</f>
        <v>46753</v>
      </c>
      <c r="B321" s="121" t="e">
        <f aca="false">VLOOKUP(A321,'Inputs-Summary'!$A$32:$E$41,3,FALSE())</f>
        <v>#N/A</v>
      </c>
      <c r="C321" s="122"/>
      <c r="D321" s="123" t="e">
        <f aca="false">B321+C321</f>
        <v>#N/A</v>
      </c>
      <c r="E321" s="111" t="n">
        <f aca="false">IF(Z321=0,0,IF(AND(Z321=1,$H$3=1),D321*U321,IF($H$3=2,D321,"N/A")))</f>
        <v>0</v>
      </c>
      <c r="F321" s="111" t="n">
        <f aca="false">E321*Y321</f>
        <v>0</v>
      </c>
      <c r="G321" s="124" t="n">
        <f aca="false">VLOOKUP($A321,Table,MATCH(G$4,Curves,0))</f>
        <v>3</v>
      </c>
      <c r="H321" s="125" t="n">
        <f aca="false">G321+$H$7</f>
        <v>3</v>
      </c>
      <c r="I321" s="124" t="n">
        <f aca="false">H321</f>
        <v>3</v>
      </c>
      <c r="J321" s="124" t="n">
        <f aca="false">VLOOKUP($A321,Table,MATCH(J$4,Curves,0))</f>
        <v>4</v>
      </c>
      <c r="K321" s="125" t="n">
        <f aca="false">J321+$K$7</f>
        <v>4</v>
      </c>
      <c r="L321" s="126" t="n">
        <f aca="false">K321</f>
        <v>4</v>
      </c>
      <c r="M321" s="124" t="n">
        <f aca="false">VLOOKUP($A321,Table,MATCH(M$4,Curves,0))</f>
        <v>4</v>
      </c>
      <c r="N321" s="125" t="n">
        <f aca="false">M321+$N$7</f>
        <v>4</v>
      </c>
      <c r="O321" s="126" t="n">
        <v>0.12</v>
      </c>
      <c r="P321" s="114"/>
      <c r="Q321" s="126" t="n">
        <f aca="false">M321+J321+G321</f>
        <v>11</v>
      </c>
      <c r="R321" s="126" t="n">
        <f aca="false">N321+K321+H321</f>
        <v>11</v>
      </c>
      <c r="S321" s="126" t="n">
        <f aca="false">O321+L321+I321</f>
        <v>7.12</v>
      </c>
      <c r="T321" s="127"/>
      <c r="U321" s="5" t="n">
        <f aca="false">A322-A321</f>
        <v>31</v>
      </c>
      <c r="V321" s="128" t="n">
        <f aca="false">CHOOSE(F$3,A322+24,A321)</f>
        <v>46753</v>
      </c>
      <c r="W321" s="5" t="n">
        <f aca="false">V321-C$3</f>
        <v>9522</v>
      </c>
      <c r="X321" s="124" t="n">
        <f aca="false">VLOOKUP($A321,Table,MATCH(X$4,Curves,0))</f>
        <v>2</v>
      </c>
      <c r="Y321" s="129" t="n">
        <f aca="false">1/(1+CHOOSE(F$3,(X322+($K$3/10000))/2,(X321+($K$3/10000))/2))^(2*W321/365.25)</f>
        <v>2.01561364508304E-016</v>
      </c>
      <c r="Z321" s="5" t="n">
        <f aca="false">IF(AND(mthbeg&lt;=A321,mthend&gt;=A321),1,0)</f>
        <v>0</v>
      </c>
      <c r="AA321" s="5" t="n">
        <f aca="false">U321*Z321</f>
        <v>0</v>
      </c>
      <c r="AC321" s="115" t="n">
        <f aca="false">IF(G314=2,F321*(S321-Q321),F321*(Q321-S321))</f>
        <v>0</v>
      </c>
      <c r="AE321" s="116" t="n">
        <f aca="false">IF($G$3=1,F321*(R321-Q321),F321*(Q321-R321))</f>
        <v>0</v>
      </c>
      <c r="AG321" s="116" t="n">
        <f aca="false">AC321+AE321</f>
        <v>0</v>
      </c>
    </row>
    <row r="322" customFormat="false" ht="12" hidden="false" customHeight="true" outlineLevel="0" collapsed="false">
      <c r="A322" s="120" t="n">
        <f aca="false">EDATE(A321,1)</f>
        <v>46784</v>
      </c>
      <c r="B322" s="121" t="e">
        <f aca="false">VLOOKUP(A322,'Inputs-Summary'!$A$32:$E$41,3,FALSE())</f>
        <v>#N/A</v>
      </c>
      <c r="C322" s="122"/>
      <c r="D322" s="123" t="e">
        <f aca="false">B322+C322</f>
        <v>#N/A</v>
      </c>
      <c r="E322" s="111" t="n">
        <f aca="false">IF(Z322=0,0,IF(AND(Z322=1,$H$3=1),D322*U322,IF($H$3=2,D322,"N/A")))</f>
        <v>0</v>
      </c>
      <c r="F322" s="111" t="n">
        <f aca="false">E322*Y322</f>
        <v>0</v>
      </c>
      <c r="G322" s="124" t="n">
        <f aca="false">VLOOKUP($A322,Table,MATCH(G$4,Curves,0))</f>
        <v>3</v>
      </c>
      <c r="H322" s="125" t="n">
        <f aca="false">G322+$H$7</f>
        <v>3</v>
      </c>
      <c r="I322" s="124" t="n">
        <f aca="false">H322</f>
        <v>3</v>
      </c>
      <c r="J322" s="124" t="n">
        <f aca="false">VLOOKUP($A322,Table,MATCH(J$4,Curves,0))</f>
        <v>4</v>
      </c>
      <c r="K322" s="125" t="n">
        <f aca="false">J322+$K$7</f>
        <v>4</v>
      </c>
      <c r="L322" s="126" t="n">
        <f aca="false">K322</f>
        <v>4</v>
      </c>
      <c r="M322" s="124" t="n">
        <f aca="false">VLOOKUP($A322,Table,MATCH(M$4,Curves,0))</f>
        <v>4</v>
      </c>
      <c r="N322" s="125" t="n">
        <f aca="false">M322+$N$7</f>
        <v>4</v>
      </c>
      <c r="O322" s="126" t="n">
        <v>0.12</v>
      </c>
      <c r="P322" s="114"/>
      <c r="Q322" s="126" t="n">
        <f aca="false">M322+J322+G322</f>
        <v>11</v>
      </c>
      <c r="R322" s="126" t="n">
        <f aca="false">N322+K322+H322</f>
        <v>11</v>
      </c>
      <c r="S322" s="126" t="n">
        <f aca="false">O322+L322+I322</f>
        <v>7.12</v>
      </c>
      <c r="T322" s="127"/>
      <c r="U322" s="5" t="n">
        <f aca="false">A323-A322</f>
        <v>29</v>
      </c>
      <c r="V322" s="128" t="n">
        <f aca="false">CHOOSE(F$3,A323+24,A322)</f>
        <v>46784</v>
      </c>
      <c r="W322" s="5" t="n">
        <f aca="false">V322-C$3</f>
        <v>9553</v>
      </c>
      <c r="X322" s="124" t="n">
        <f aca="false">VLOOKUP($A322,Table,MATCH(X$4,Curves,0))</f>
        <v>2</v>
      </c>
      <c r="Y322" s="129" t="n">
        <f aca="false">1/(1+CHOOSE(F$3,(X323+($K$3/10000))/2,(X322+($K$3/10000))/2))^(2*W322/365.25)</f>
        <v>1.79187795577552E-016</v>
      </c>
      <c r="Z322" s="5" t="n">
        <f aca="false">IF(AND(mthbeg&lt;=A322,mthend&gt;=A322),1,0)</f>
        <v>0</v>
      </c>
      <c r="AA322" s="5" t="n">
        <f aca="false">U322*Z322</f>
        <v>0</v>
      </c>
      <c r="AC322" s="115" t="n">
        <f aca="false">IF(G315=2,F322*(S322-Q322),F322*(Q322-S322))</f>
        <v>0</v>
      </c>
      <c r="AE322" s="116" t="n">
        <f aca="false">IF($G$3=1,F322*(R322-Q322),F322*(Q322-R322))</f>
        <v>0</v>
      </c>
      <c r="AG322" s="116" t="n">
        <f aca="false">AC322+AE322</f>
        <v>0</v>
      </c>
    </row>
    <row r="323" customFormat="false" ht="12" hidden="false" customHeight="true" outlineLevel="0" collapsed="false">
      <c r="A323" s="120" t="n">
        <f aca="false">EDATE(A322,1)</f>
        <v>46813</v>
      </c>
      <c r="B323" s="121" t="e">
        <f aca="false">VLOOKUP(A323,'Inputs-Summary'!$A$32:$E$41,3,FALSE())</f>
        <v>#N/A</v>
      </c>
      <c r="C323" s="122"/>
      <c r="D323" s="123" t="e">
        <f aca="false">B323+C323</f>
        <v>#N/A</v>
      </c>
      <c r="E323" s="111" t="n">
        <f aca="false">IF(Z323=0,0,IF(AND(Z323=1,$H$3=1),D323*U323,IF($H$3=2,D323,"N/A")))</f>
        <v>0</v>
      </c>
      <c r="F323" s="111" t="n">
        <f aca="false">E323*Y323</f>
        <v>0</v>
      </c>
      <c r="G323" s="124" t="n">
        <f aca="false">VLOOKUP($A323,Table,MATCH(G$4,Curves,0))</f>
        <v>3</v>
      </c>
      <c r="H323" s="125" t="n">
        <f aca="false">G323+$H$7</f>
        <v>3</v>
      </c>
      <c r="I323" s="124" t="n">
        <f aca="false">H323</f>
        <v>3</v>
      </c>
      <c r="J323" s="124" t="n">
        <f aca="false">VLOOKUP($A323,Table,MATCH(J$4,Curves,0))</f>
        <v>4</v>
      </c>
      <c r="K323" s="125" t="n">
        <f aca="false">J323+$K$7</f>
        <v>4</v>
      </c>
      <c r="L323" s="126" t="n">
        <f aca="false">K323</f>
        <v>4</v>
      </c>
      <c r="M323" s="124" t="n">
        <f aca="false">VLOOKUP($A323,Table,MATCH(M$4,Curves,0))</f>
        <v>4</v>
      </c>
      <c r="N323" s="125" t="n">
        <f aca="false">M323+$N$7</f>
        <v>4</v>
      </c>
      <c r="O323" s="126" t="n">
        <v>0.12</v>
      </c>
      <c r="P323" s="114"/>
      <c r="Q323" s="126" t="n">
        <f aca="false">M323+J323+G323</f>
        <v>11</v>
      </c>
      <c r="R323" s="126" t="n">
        <f aca="false">N323+K323+H323</f>
        <v>11</v>
      </c>
      <c r="S323" s="126" t="n">
        <f aca="false">O323+L323+I323</f>
        <v>7.12</v>
      </c>
      <c r="T323" s="127"/>
      <c r="U323" s="5" t="n">
        <f aca="false">A324-A323</f>
        <v>31</v>
      </c>
      <c r="V323" s="128" t="n">
        <f aca="false">CHOOSE(F$3,A324+24,A323)</f>
        <v>46813</v>
      </c>
      <c r="W323" s="5" t="n">
        <f aca="false">V323-C$3</f>
        <v>9582</v>
      </c>
      <c r="X323" s="124" t="n">
        <f aca="false">VLOOKUP($A323,Table,MATCH(X$4,Curves,0))</f>
        <v>2</v>
      </c>
      <c r="Y323" s="129" t="n">
        <f aca="false">1/(1+CHOOSE(F$3,(X324+($K$3/10000))/2,(X323+($K$3/10000))/2))^(2*W323/365.25)</f>
        <v>1.60511541085511E-016</v>
      </c>
      <c r="Z323" s="5" t="n">
        <f aca="false">IF(AND(mthbeg&lt;=A323,mthend&gt;=A323),1,0)</f>
        <v>0</v>
      </c>
      <c r="AA323" s="5" t="n">
        <f aca="false">U323*Z323</f>
        <v>0</v>
      </c>
      <c r="AC323" s="115" t="n">
        <f aca="false">IF(G316=2,F323*(S323-Q323),F323*(Q323-S323))</f>
        <v>0</v>
      </c>
      <c r="AE323" s="116" t="n">
        <f aca="false">IF($G$3=1,F323*(R323-Q323),F323*(Q323-R323))</f>
        <v>0</v>
      </c>
      <c r="AG323" s="116" t="n">
        <f aca="false">AC323+AE323</f>
        <v>0</v>
      </c>
    </row>
    <row r="324" customFormat="false" ht="12" hidden="false" customHeight="true" outlineLevel="0" collapsed="false">
      <c r="A324" s="120" t="n">
        <f aca="false">EDATE(A323,1)</f>
        <v>46844</v>
      </c>
      <c r="B324" s="121" t="e">
        <f aca="false">VLOOKUP(A324,'Inputs-Summary'!$A$32:$E$41,3,FALSE())</f>
        <v>#N/A</v>
      </c>
      <c r="C324" s="122"/>
      <c r="D324" s="123" t="e">
        <f aca="false">B324+C324</f>
        <v>#N/A</v>
      </c>
      <c r="E324" s="111" t="n">
        <f aca="false">IF(Z324=0,0,IF(AND(Z324=1,$H$3=1),D324*U324,IF($H$3=2,D324,"N/A")))</f>
        <v>0</v>
      </c>
      <c r="F324" s="111" t="n">
        <f aca="false">E324*Y324</f>
        <v>0</v>
      </c>
      <c r="G324" s="124" t="n">
        <f aca="false">VLOOKUP($A324,Table,MATCH(G$4,Curves,0))</f>
        <v>3</v>
      </c>
      <c r="H324" s="125" t="n">
        <f aca="false">G324+$H$7</f>
        <v>3</v>
      </c>
      <c r="I324" s="124" t="n">
        <f aca="false">H324</f>
        <v>3</v>
      </c>
      <c r="J324" s="124" t="n">
        <f aca="false">VLOOKUP($A324,Table,MATCH(J$4,Curves,0))</f>
        <v>4</v>
      </c>
      <c r="K324" s="125" t="n">
        <f aca="false">J324+$K$7</f>
        <v>4</v>
      </c>
      <c r="L324" s="126" t="n">
        <f aca="false">K324</f>
        <v>4</v>
      </c>
      <c r="M324" s="124" t="n">
        <f aca="false">VLOOKUP($A324,Table,MATCH(M$4,Curves,0))</f>
        <v>4</v>
      </c>
      <c r="N324" s="125" t="n">
        <f aca="false">M324+$N$7</f>
        <v>4</v>
      </c>
      <c r="O324" s="126" t="n">
        <v>0.12</v>
      </c>
      <c r="P324" s="114"/>
      <c r="Q324" s="126" t="n">
        <f aca="false">M324+J324+G324</f>
        <v>11</v>
      </c>
      <c r="R324" s="126" t="n">
        <f aca="false">N324+K324+H324</f>
        <v>11</v>
      </c>
      <c r="S324" s="126" t="n">
        <f aca="false">O324+L324+I324</f>
        <v>7.12</v>
      </c>
      <c r="T324" s="127"/>
      <c r="U324" s="5" t="n">
        <f aca="false">A325-A324</f>
        <v>30</v>
      </c>
      <c r="V324" s="128" t="n">
        <f aca="false">CHOOSE(F$3,A325+24,A324)</f>
        <v>46844</v>
      </c>
      <c r="W324" s="5" t="n">
        <f aca="false">V324-C$3</f>
        <v>9613</v>
      </c>
      <c r="X324" s="124" t="n">
        <f aca="false">VLOOKUP($A324,Table,MATCH(X$4,Curves,0))</f>
        <v>2</v>
      </c>
      <c r="Y324" s="129" t="n">
        <f aca="false">1/(1+CHOOSE(F$3,(X325+($K$3/10000))/2,(X324+($K$3/10000))/2))^(2*W324/365.25)</f>
        <v>1.42694554990887E-016</v>
      </c>
      <c r="Z324" s="5" t="n">
        <f aca="false">IF(AND(mthbeg&lt;=A324,mthend&gt;=A324),1,0)</f>
        <v>0</v>
      </c>
      <c r="AA324" s="5" t="n">
        <f aca="false">U324*Z324</f>
        <v>0</v>
      </c>
      <c r="AC324" s="115" t="n">
        <f aca="false">IF(G317=2,F324*(S324-Q324),F324*(Q324-S324))</f>
        <v>0</v>
      </c>
      <c r="AE324" s="116" t="n">
        <f aca="false">IF($G$3=1,F324*(R324-Q324),F324*(Q324-R324))</f>
        <v>0</v>
      </c>
      <c r="AG324" s="116" t="n">
        <f aca="false">AC324+AE324</f>
        <v>0</v>
      </c>
    </row>
    <row r="325" customFormat="false" ht="12" hidden="false" customHeight="true" outlineLevel="0" collapsed="false">
      <c r="A325" s="120" t="n">
        <f aca="false">EDATE(A324,1)</f>
        <v>46874</v>
      </c>
      <c r="B325" s="121" t="e">
        <f aca="false">VLOOKUP(A325,'Inputs-Summary'!$A$32:$E$41,3,FALSE())</f>
        <v>#N/A</v>
      </c>
      <c r="C325" s="122"/>
      <c r="D325" s="123" t="e">
        <f aca="false">B325+C325</f>
        <v>#N/A</v>
      </c>
      <c r="E325" s="111" t="n">
        <f aca="false">IF(Z325=0,0,IF(AND(Z325=1,$H$3=1),D325*U325,IF($H$3=2,D325,"N/A")))</f>
        <v>0</v>
      </c>
      <c r="F325" s="111" t="n">
        <f aca="false">E325*Y325</f>
        <v>0</v>
      </c>
      <c r="G325" s="124" t="n">
        <f aca="false">VLOOKUP($A325,Table,MATCH(G$4,Curves,0))</f>
        <v>3</v>
      </c>
      <c r="H325" s="125" t="n">
        <f aca="false">G325+$H$7</f>
        <v>3</v>
      </c>
      <c r="I325" s="124" t="n">
        <f aca="false">H325</f>
        <v>3</v>
      </c>
      <c r="J325" s="124" t="n">
        <f aca="false">VLOOKUP($A325,Table,MATCH(J$4,Curves,0))</f>
        <v>4</v>
      </c>
      <c r="K325" s="125" t="n">
        <f aca="false">J325+$K$7</f>
        <v>4</v>
      </c>
      <c r="L325" s="126" t="n">
        <f aca="false">K325</f>
        <v>4</v>
      </c>
      <c r="M325" s="124" t="n">
        <f aca="false">VLOOKUP($A325,Table,MATCH(M$4,Curves,0))</f>
        <v>4</v>
      </c>
      <c r="N325" s="125" t="n">
        <f aca="false">M325+$N$7</f>
        <v>4</v>
      </c>
      <c r="O325" s="126" t="n">
        <v>0.12</v>
      </c>
      <c r="P325" s="114"/>
      <c r="Q325" s="126" t="n">
        <f aca="false">M325+J325+G325</f>
        <v>11</v>
      </c>
      <c r="R325" s="126" t="n">
        <f aca="false">N325+K325+H325</f>
        <v>11</v>
      </c>
      <c r="S325" s="126" t="n">
        <f aca="false">O325+L325+I325</f>
        <v>7.12</v>
      </c>
      <c r="T325" s="127"/>
      <c r="U325" s="5" t="n">
        <f aca="false">A326-A325</f>
        <v>31</v>
      </c>
      <c r="V325" s="128" t="n">
        <f aca="false">CHOOSE(F$3,A326+24,A325)</f>
        <v>46874</v>
      </c>
      <c r="W325" s="5" t="n">
        <f aca="false">V325-C$3</f>
        <v>9643</v>
      </c>
      <c r="X325" s="124" t="n">
        <f aca="false">VLOOKUP($A325,Table,MATCH(X$4,Curves,0))</f>
        <v>2</v>
      </c>
      <c r="Y325" s="129" t="n">
        <f aca="false">1/(1+CHOOSE(F$3,(X326+($K$3/10000))/2,(X325+($K$3/10000))/2))^(2*W325/365.25)</f>
        <v>1.27337667011952E-016</v>
      </c>
      <c r="Z325" s="5" t="n">
        <f aca="false">IF(AND(mthbeg&lt;=A325,mthend&gt;=A325),1,0)</f>
        <v>0</v>
      </c>
      <c r="AA325" s="5" t="n">
        <f aca="false">U325*Z325</f>
        <v>0</v>
      </c>
      <c r="AC325" s="115" t="n">
        <f aca="false">IF(G318=2,F325*(S325-Q325),F325*(Q325-S325))</f>
        <v>0</v>
      </c>
      <c r="AE325" s="116" t="n">
        <f aca="false">IF($G$3=1,F325*(R325-Q325),F325*(Q325-R325))</f>
        <v>0</v>
      </c>
      <c r="AG325" s="116" t="n">
        <f aca="false">AC325+AE325</f>
        <v>0</v>
      </c>
    </row>
    <row r="326" customFormat="false" ht="12" hidden="false" customHeight="true" outlineLevel="0" collapsed="false">
      <c r="A326" s="120" t="n">
        <f aca="false">EDATE(A325,1)</f>
        <v>46905</v>
      </c>
      <c r="B326" s="121" t="e">
        <f aca="false">VLOOKUP(A326,'Inputs-Summary'!$A$32:$E$41,3,FALSE())</f>
        <v>#N/A</v>
      </c>
      <c r="C326" s="122"/>
      <c r="D326" s="123" t="e">
        <f aca="false">B326+C326</f>
        <v>#N/A</v>
      </c>
      <c r="E326" s="111" t="n">
        <f aca="false">IF(Z326=0,0,IF(AND(Z326=1,$H$3=1),D326*U326,IF($H$3=2,D326,"N/A")))</f>
        <v>0</v>
      </c>
      <c r="F326" s="111" t="n">
        <f aca="false">E326*Y326</f>
        <v>0</v>
      </c>
      <c r="G326" s="124" t="n">
        <f aca="false">VLOOKUP($A326,Table,MATCH(G$4,Curves,0))</f>
        <v>3</v>
      </c>
      <c r="H326" s="125" t="n">
        <f aca="false">G326+$H$7</f>
        <v>3</v>
      </c>
      <c r="I326" s="124" t="n">
        <f aca="false">H326</f>
        <v>3</v>
      </c>
      <c r="J326" s="124" t="n">
        <f aca="false">VLOOKUP($A326,Table,MATCH(J$4,Curves,0))</f>
        <v>4</v>
      </c>
      <c r="K326" s="125" t="n">
        <f aca="false">J326+$K$7</f>
        <v>4</v>
      </c>
      <c r="L326" s="126" t="n">
        <f aca="false">K326</f>
        <v>4</v>
      </c>
      <c r="M326" s="124" t="n">
        <f aca="false">VLOOKUP($A326,Table,MATCH(M$4,Curves,0))</f>
        <v>4</v>
      </c>
      <c r="N326" s="125" t="n">
        <f aca="false">M326+$N$7</f>
        <v>4</v>
      </c>
      <c r="O326" s="126" t="n">
        <v>0.12</v>
      </c>
      <c r="P326" s="114"/>
      <c r="Q326" s="126" t="n">
        <f aca="false">M326+J326+G326</f>
        <v>11</v>
      </c>
      <c r="R326" s="126" t="n">
        <f aca="false">N326+K326+H326</f>
        <v>11</v>
      </c>
      <c r="S326" s="126" t="n">
        <f aca="false">O326+L326+I326</f>
        <v>7.12</v>
      </c>
      <c r="T326" s="127"/>
      <c r="U326" s="5" t="n">
        <f aca="false">A327-A326</f>
        <v>30</v>
      </c>
      <c r="V326" s="128" t="n">
        <f aca="false">CHOOSE(F$3,A327+24,A326)</f>
        <v>46905</v>
      </c>
      <c r="W326" s="5" t="n">
        <f aca="false">V326-C$3</f>
        <v>9674</v>
      </c>
      <c r="X326" s="124" t="n">
        <f aca="false">VLOOKUP($A326,Table,MATCH(X$4,Curves,0))</f>
        <v>2</v>
      </c>
      <c r="Y326" s="129" t="n">
        <f aca="false">1/(1+CHOOSE(F$3,(X327+($K$3/10000))/2,(X326+($K$3/10000))/2))^(2*W326/365.25)</f>
        <v>1.13203023315115E-016</v>
      </c>
      <c r="Z326" s="5" t="n">
        <f aca="false">IF(AND(mthbeg&lt;=A326,mthend&gt;=A326),1,0)</f>
        <v>0</v>
      </c>
      <c r="AA326" s="5" t="n">
        <f aca="false">U326*Z326</f>
        <v>0</v>
      </c>
      <c r="AC326" s="115" t="n">
        <f aca="false">IF(G319=2,F326*(S326-Q326),F326*(Q326-S326))</f>
        <v>0</v>
      </c>
      <c r="AE326" s="116" t="n">
        <f aca="false">IF($G$3=1,F326*(R326-Q326),F326*(Q326-R326))</f>
        <v>0</v>
      </c>
      <c r="AG326" s="116" t="n">
        <f aca="false">AC326+AE326</f>
        <v>0</v>
      </c>
    </row>
    <row r="327" customFormat="false" ht="12" hidden="false" customHeight="true" outlineLevel="0" collapsed="false">
      <c r="A327" s="120" t="n">
        <f aca="false">EDATE(A326,1)</f>
        <v>46935</v>
      </c>
      <c r="B327" s="121" t="e">
        <f aca="false">VLOOKUP(A327,'Inputs-Summary'!$A$32:$E$41,3,FALSE())</f>
        <v>#N/A</v>
      </c>
      <c r="C327" s="122"/>
      <c r="D327" s="123" t="e">
        <f aca="false">B327+C327</f>
        <v>#N/A</v>
      </c>
      <c r="E327" s="111" t="n">
        <f aca="false">IF(Z327=0,0,IF(AND(Z327=1,$H$3=1),D327*U327,IF($H$3=2,D327,"N/A")))</f>
        <v>0</v>
      </c>
      <c r="F327" s="111" t="n">
        <f aca="false">E327*Y327</f>
        <v>0</v>
      </c>
      <c r="G327" s="124" t="n">
        <f aca="false">VLOOKUP($A327,Table,MATCH(G$4,Curves,0))</f>
        <v>3</v>
      </c>
      <c r="H327" s="125" t="n">
        <f aca="false">G327+$H$7</f>
        <v>3</v>
      </c>
      <c r="I327" s="124" t="n">
        <f aca="false">H327</f>
        <v>3</v>
      </c>
      <c r="J327" s="124" t="n">
        <f aca="false">VLOOKUP($A327,Table,MATCH(J$4,Curves,0))</f>
        <v>4</v>
      </c>
      <c r="K327" s="125" t="n">
        <f aca="false">J327+$K$7</f>
        <v>4</v>
      </c>
      <c r="L327" s="126" t="n">
        <f aca="false">K327</f>
        <v>4</v>
      </c>
      <c r="M327" s="124" t="n">
        <f aca="false">VLOOKUP($A327,Table,MATCH(M$4,Curves,0))</f>
        <v>4</v>
      </c>
      <c r="N327" s="125" t="n">
        <f aca="false">M327+$N$7</f>
        <v>4</v>
      </c>
      <c r="O327" s="126" t="n">
        <v>0.12</v>
      </c>
      <c r="P327" s="114"/>
      <c r="Q327" s="126" t="n">
        <f aca="false">M327+J327+G327</f>
        <v>11</v>
      </c>
      <c r="R327" s="126" t="n">
        <f aca="false">N327+K327+H327</f>
        <v>11</v>
      </c>
      <c r="S327" s="126" t="n">
        <f aca="false">O327+L327+I327</f>
        <v>7.12</v>
      </c>
      <c r="T327" s="127"/>
      <c r="U327" s="5" t="n">
        <f aca="false">A328-A327</f>
        <v>31</v>
      </c>
      <c r="V327" s="128" t="n">
        <f aca="false">CHOOSE(F$3,A328+24,A327)</f>
        <v>46935</v>
      </c>
      <c r="W327" s="5" t="n">
        <f aca="false">V327-C$3</f>
        <v>9704</v>
      </c>
      <c r="X327" s="124" t="n">
        <f aca="false">VLOOKUP($A327,Table,MATCH(X$4,Curves,0))</f>
        <v>2</v>
      </c>
      <c r="Y327" s="129" t="n">
        <f aca="false">1/(1+CHOOSE(F$3,(X328+($K$3/10000))/2,(X327+($K$3/10000))/2))^(2*W327/365.25)</f>
        <v>1.0102003463669E-016</v>
      </c>
      <c r="Z327" s="5" t="n">
        <f aca="false">IF(AND(mthbeg&lt;=A327,mthend&gt;=A327),1,0)</f>
        <v>0</v>
      </c>
      <c r="AA327" s="5" t="n">
        <f aca="false">U327*Z327</f>
        <v>0</v>
      </c>
      <c r="AC327" s="115" t="n">
        <f aca="false">IF(G320=2,F327*(S327-Q327),F327*(Q327-S327))</f>
        <v>0</v>
      </c>
      <c r="AE327" s="116" t="n">
        <f aca="false">IF($G$3=1,F327*(R327-Q327),F327*(Q327-R327))</f>
        <v>0</v>
      </c>
      <c r="AG327" s="116" t="n">
        <f aca="false">AC327+AE327</f>
        <v>0</v>
      </c>
    </row>
    <row r="328" customFormat="false" ht="12" hidden="false" customHeight="true" outlineLevel="0" collapsed="false">
      <c r="A328" s="120" t="n">
        <f aca="false">EDATE(A327,1)</f>
        <v>46966</v>
      </c>
      <c r="B328" s="121" t="e">
        <f aca="false">VLOOKUP(A328,'Inputs-Summary'!$A$32:$E$41,3,FALSE())</f>
        <v>#N/A</v>
      </c>
      <c r="C328" s="122"/>
      <c r="D328" s="123" t="e">
        <f aca="false">B328+C328</f>
        <v>#N/A</v>
      </c>
      <c r="E328" s="111" t="n">
        <f aca="false">IF(Z328=0,0,IF(AND(Z328=1,$H$3=1),D328*U328,IF($H$3=2,D328,"N/A")))</f>
        <v>0</v>
      </c>
      <c r="F328" s="111" t="n">
        <f aca="false">E328*Y328</f>
        <v>0</v>
      </c>
      <c r="G328" s="124" t="n">
        <f aca="false">VLOOKUP($A328,Table,MATCH(G$4,Curves,0))</f>
        <v>3</v>
      </c>
      <c r="H328" s="125" t="n">
        <f aca="false">G328+$H$7</f>
        <v>3</v>
      </c>
      <c r="I328" s="124" t="n">
        <f aca="false">H328</f>
        <v>3</v>
      </c>
      <c r="J328" s="124" t="n">
        <f aca="false">VLOOKUP($A328,Table,MATCH(J$4,Curves,0))</f>
        <v>4</v>
      </c>
      <c r="K328" s="125" t="n">
        <f aca="false">J328+$K$7</f>
        <v>4</v>
      </c>
      <c r="L328" s="126" t="n">
        <f aca="false">K328</f>
        <v>4</v>
      </c>
      <c r="M328" s="124" t="n">
        <f aca="false">VLOOKUP($A328,Table,MATCH(M$4,Curves,0))</f>
        <v>4</v>
      </c>
      <c r="N328" s="125" t="n">
        <f aca="false">M328+$N$7</f>
        <v>4</v>
      </c>
      <c r="O328" s="126" t="n">
        <v>0.12</v>
      </c>
      <c r="P328" s="114"/>
      <c r="Q328" s="126" t="n">
        <f aca="false">M328+J328+G328</f>
        <v>11</v>
      </c>
      <c r="R328" s="126" t="n">
        <f aca="false">N328+K328+H328</f>
        <v>11</v>
      </c>
      <c r="S328" s="126" t="n">
        <f aca="false">O328+L328+I328</f>
        <v>7.12</v>
      </c>
      <c r="T328" s="127"/>
      <c r="U328" s="5" t="n">
        <f aca="false">A329-A328</f>
        <v>31</v>
      </c>
      <c r="V328" s="128" t="n">
        <f aca="false">CHOOSE(F$3,A329+24,A328)</f>
        <v>46966</v>
      </c>
      <c r="W328" s="5" t="n">
        <f aca="false">V328-C$3</f>
        <v>9735</v>
      </c>
      <c r="X328" s="124" t="n">
        <f aca="false">VLOOKUP($A328,Table,MATCH(X$4,Curves,0))</f>
        <v>2</v>
      </c>
      <c r="Y328" s="129" t="n">
        <f aca="false">1/(1+CHOOSE(F$3,(X329+($K$3/10000))/2,(X328+($K$3/10000))/2))^(2*W328/365.25)</f>
        <v>8.98066817511082E-017</v>
      </c>
      <c r="Z328" s="5" t="n">
        <f aca="false">IF(AND(mthbeg&lt;=A328,mthend&gt;=A328),1,0)</f>
        <v>0</v>
      </c>
      <c r="AA328" s="5" t="n">
        <f aca="false">U328*Z328</f>
        <v>0</v>
      </c>
      <c r="AC328" s="115" t="n">
        <f aca="false">IF(G321=2,F328*(S328-Q328),F328*(Q328-S328))</f>
        <v>0</v>
      </c>
      <c r="AE328" s="116" t="n">
        <f aca="false">IF($G$3=1,F328*(R328-Q328),F328*(Q328-R328))</f>
        <v>0</v>
      </c>
      <c r="AG328" s="116" t="n">
        <f aca="false">AC328+AE328</f>
        <v>0</v>
      </c>
    </row>
    <row r="329" customFormat="false" ht="12" hidden="false" customHeight="true" outlineLevel="0" collapsed="false">
      <c r="A329" s="120" t="n">
        <f aca="false">EDATE(A328,1)</f>
        <v>46997</v>
      </c>
      <c r="B329" s="121" t="e">
        <f aca="false">VLOOKUP(A329,'Inputs-Summary'!$A$32:$E$41,3,FALSE())</f>
        <v>#N/A</v>
      </c>
      <c r="C329" s="122"/>
      <c r="D329" s="123" t="e">
        <f aca="false">B329+C329</f>
        <v>#N/A</v>
      </c>
      <c r="E329" s="111" t="n">
        <f aca="false">IF(Z329=0,0,IF(AND(Z329=1,$H$3=1),D329*U329,IF($H$3=2,D329,"N/A")))</f>
        <v>0</v>
      </c>
      <c r="F329" s="111" t="n">
        <f aca="false">E329*Y329</f>
        <v>0</v>
      </c>
      <c r="G329" s="124" t="n">
        <f aca="false">VLOOKUP($A329,Table,MATCH(G$4,Curves,0))</f>
        <v>3</v>
      </c>
      <c r="H329" s="125" t="n">
        <f aca="false">G329+$H$7</f>
        <v>3</v>
      </c>
      <c r="I329" s="124" t="n">
        <f aca="false">H329</f>
        <v>3</v>
      </c>
      <c r="J329" s="124" t="n">
        <f aca="false">VLOOKUP($A329,Table,MATCH(J$4,Curves,0))</f>
        <v>4</v>
      </c>
      <c r="K329" s="125" t="n">
        <f aca="false">J329+$K$7</f>
        <v>4</v>
      </c>
      <c r="L329" s="126" t="n">
        <f aca="false">K329</f>
        <v>4</v>
      </c>
      <c r="M329" s="124" t="n">
        <f aca="false">VLOOKUP($A329,Table,MATCH(M$4,Curves,0))</f>
        <v>4</v>
      </c>
      <c r="N329" s="125" t="n">
        <f aca="false">M329+$N$7</f>
        <v>4</v>
      </c>
      <c r="O329" s="126" t="n">
        <v>0.12</v>
      </c>
      <c r="P329" s="114"/>
      <c r="Q329" s="126" t="n">
        <f aca="false">M329+J329+G329</f>
        <v>11</v>
      </c>
      <c r="R329" s="126" t="n">
        <f aca="false">N329+K329+H329</f>
        <v>11</v>
      </c>
      <c r="S329" s="126" t="n">
        <f aca="false">O329+L329+I329</f>
        <v>7.12</v>
      </c>
      <c r="T329" s="127"/>
      <c r="U329" s="5" t="n">
        <f aca="false">A330-A329</f>
        <v>30</v>
      </c>
      <c r="V329" s="128" t="n">
        <f aca="false">CHOOSE(F$3,A330+24,A329)</f>
        <v>46997</v>
      </c>
      <c r="W329" s="5" t="n">
        <f aca="false">V329-C$3</f>
        <v>9766</v>
      </c>
      <c r="X329" s="124" t="n">
        <f aca="false">VLOOKUP($A329,Table,MATCH(X$4,Curves,0))</f>
        <v>2</v>
      </c>
      <c r="Y329" s="129" t="n">
        <f aca="false">1/(1+CHOOSE(F$3,(X330+($K$3/10000))/2,(X329+($K$3/10000))/2))^(2*W329/365.25)</f>
        <v>7.98380253595319E-017</v>
      </c>
      <c r="Z329" s="5" t="n">
        <f aca="false">IF(AND(mthbeg&lt;=A329,mthend&gt;=A329),1,0)</f>
        <v>0</v>
      </c>
      <c r="AA329" s="5" t="n">
        <f aca="false">U329*Z329</f>
        <v>0</v>
      </c>
      <c r="AC329" s="115" t="n">
        <f aca="false">IF(G322=2,F329*(S329-Q329),F329*(Q329-S329))</f>
        <v>0</v>
      </c>
      <c r="AE329" s="116" t="n">
        <f aca="false">IF($G$3=1,F329*(R329-Q329),F329*(Q329-R329))</f>
        <v>0</v>
      </c>
      <c r="AG329" s="116" t="n">
        <f aca="false">AC329+AE329</f>
        <v>0</v>
      </c>
    </row>
    <row r="330" customFormat="false" ht="12" hidden="false" customHeight="true" outlineLevel="0" collapsed="false">
      <c r="A330" s="120" t="n">
        <f aca="false">EDATE(A329,1)</f>
        <v>47027</v>
      </c>
      <c r="B330" s="121" t="e">
        <f aca="false">VLOOKUP(A330,'Inputs-Summary'!$A$32:$E$41,3,FALSE())</f>
        <v>#N/A</v>
      </c>
      <c r="C330" s="122"/>
      <c r="D330" s="123" t="e">
        <f aca="false">B330+C330</f>
        <v>#N/A</v>
      </c>
      <c r="E330" s="111" t="n">
        <f aca="false">IF(Z330=0,0,IF(AND(Z330=1,$H$3=1),D330*U330,IF($H$3=2,D330,"N/A")))</f>
        <v>0</v>
      </c>
      <c r="F330" s="111" t="n">
        <f aca="false">E330*Y330</f>
        <v>0</v>
      </c>
      <c r="G330" s="124" t="n">
        <f aca="false">VLOOKUP($A330,Table,MATCH(G$4,Curves,0))</f>
        <v>3</v>
      </c>
      <c r="H330" s="125" t="n">
        <f aca="false">G330+$H$7</f>
        <v>3</v>
      </c>
      <c r="I330" s="124" t="n">
        <f aca="false">H330</f>
        <v>3</v>
      </c>
      <c r="J330" s="124" t="n">
        <f aca="false">VLOOKUP($A330,Table,MATCH(J$4,Curves,0))</f>
        <v>4</v>
      </c>
      <c r="K330" s="125" t="n">
        <f aca="false">J330+$K$7</f>
        <v>4</v>
      </c>
      <c r="L330" s="126" t="n">
        <f aca="false">K330</f>
        <v>4</v>
      </c>
      <c r="M330" s="124" t="n">
        <f aca="false">VLOOKUP($A330,Table,MATCH(M$4,Curves,0))</f>
        <v>4</v>
      </c>
      <c r="N330" s="125" t="n">
        <f aca="false">M330+$N$7</f>
        <v>4</v>
      </c>
      <c r="O330" s="126" t="n">
        <v>0.12</v>
      </c>
      <c r="P330" s="114"/>
      <c r="Q330" s="126" t="n">
        <f aca="false">M330+J330+G330</f>
        <v>11</v>
      </c>
      <c r="R330" s="126" t="n">
        <f aca="false">N330+K330+H330</f>
        <v>11</v>
      </c>
      <c r="S330" s="126" t="n">
        <f aca="false">O330+L330+I330</f>
        <v>7.12</v>
      </c>
      <c r="T330" s="127"/>
      <c r="U330" s="5" t="n">
        <f aca="false">A331-A330</f>
        <v>31</v>
      </c>
      <c r="V330" s="128" t="n">
        <f aca="false">CHOOSE(F$3,A331+24,A330)</f>
        <v>47027</v>
      </c>
      <c r="W330" s="5" t="n">
        <f aca="false">V330-C$3</f>
        <v>9796</v>
      </c>
      <c r="X330" s="124" t="n">
        <f aca="false">VLOOKUP($A330,Table,MATCH(X$4,Curves,0))</f>
        <v>2</v>
      </c>
      <c r="Y330" s="129" t="n">
        <f aca="false">1/(1+CHOOSE(F$3,(X331+($K$3/10000))/2,(X330+($K$3/10000))/2))^(2*W330/365.25)</f>
        <v>7.1245801136372E-017</v>
      </c>
      <c r="Z330" s="5" t="n">
        <f aca="false">IF(AND(mthbeg&lt;=A330,mthend&gt;=A330),1,0)</f>
        <v>0</v>
      </c>
      <c r="AA330" s="5" t="n">
        <f aca="false">U330*Z330</f>
        <v>0</v>
      </c>
      <c r="AC330" s="115" t="n">
        <f aca="false">IF(G323=2,F330*(S330-Q330),F330*(Q330-S330))</f>
        <v>0</v>
      </c>
      <c r="AE330" s="116" t="n">
        <f aca="false">IF($G$3=1,F330*(R330-Q330),F330*(Q330-R330))</f>
        <v>0</v>
      </c>
      <c r="AG330" s="116" t="n">
        <f aca="false">AC330+AE330</f>
        <v>0</v>
      </c>
    </row>
    <row r="331" customFormat="false" ht="12" hidden="false" customHeight="true" outlineLevel="0" collapsed="false">
      <c r="A331" s="120" t="n">
        <f aca="false">EDATE(A330,1)</f>
        <v>47058</v>
      </c>
      <c r="B331" s="121" t="e">
        <f aca="false">VLOOKUP(A331,'Inputs-Summary'!$A$32:$E$41,3,FALSE())</f>
        <v>#N/A</v>
      </c>
      <c r="C331" s="122"/>
      <c r="D331" s="123" t="e">
        <f aca="false">B331+C331</f>
        <v>#N/A</v>
      </c>
      <c r="E331" s="111" t="n">
        <f aca="false">IF(Z331=0,0,IF(AND(Z331=1,$H$3=1),D331*U331,IF($H$3=2,D331,"N/A")))</f>
        <v>0</v>
      </c>
      <c r="F331" s="111" t="n">
        <f aca="false">E331*Y331</f>
        <v>0</v>
      </c>
      <c r="G331" s="124" t="n">
        <f aca="false">VLOOKUP($A331,Table,MATCH(G$4,Curves,0))</f>
        <v>3</v>
      </c>
      <c r="H331" s="125" t="n">
        <f aca="false">G331+$H$7</f>
        <v>3</v>
      </c>
      <c r="I331" s="124" t="n">
        <f aca="false">H331</f>
        <v>3</v>
      </c>
      <c r="J331" s="124" t="n">
        <f aca="false">VLOOKUP($A331,Table,MATCH(J$4,Curves,0))</f>
        <v>4</v>
      </c>
      <c r="K331" s="125" t="n">
        <f aca="false">J331+$K$7</f>
        <v>4</v>
      </c>
      <c r="L331" s="126" t="n">
        <f aca="false">K331</f>
        <v>4</v>
      </c>
      <c r="M331" s="124" t="n">
        <f aca="false">VLOOKUP($A331,Table,MATCH(M$4,Curves,0))</f>
        <v>4</v>
      </c>
      <c r="N331" s="125" t="n">
        <f aca="false">M331+$N$7</f>
        <v>4</v>
      </c>
      <c r="O331" s="126" t="n">
        <v>0.12</v>
      </c>
      <c r="P331" s="114"/>
      <c r="Q331" s="126" t="n">
        <f aca="false">M331+J331+G331</f>
        <v>11</v>
      </c>
      <c r="R331" s="126" t="n">
        <f aca="false">N331+K331+H331</f>
        <v>11</v>
      </c>
      <c r="S331" s="126" t="n">
        <f aca="false">O331+L331+I331</f>
        <v>7.12</v>
      </c>
      <c r="T331" s="127"/>
      <c r="U331" s="5" t="n">
        <f aca="false">A332-A331</f>
        <v>30</v>
      </c>
      <c r="V331" s="128" t="n">
        <f aca="false">CHOOSE(F$3,A332+24,A331)</f>
        <v>47058</v>
      </c>
      <c r="W331" s="5" t="n">
        <f aca="false">V331-C$3</f>
        <v>9827</v>
      </c>
      <c r="X331" s="124" t="n">
        <f aca="false">VLOOKUP($A331,Table,MATCH(X$4,Curves,0))</f>
        <v>2</v>
      </c>
      <c r="Y331" s="129" t="n">
        <f aca="false">1/(1+CHOOSE(F$3,(X332+($K$3/10000))/2,(X331+($K$3/10000))/2))^(2*W331/365.25)</f>
        <v>6.33374262023177E-017</v>
      </c>
      <c r="Z331" s="5" t="n">
        <f aca="false">IF(AND(mthbeg&lt;=A331,mthend&gt;=A331),1,0)</f>
        <v>0</v>
      </c>
      <c r="AA331" s="5" t="n">
        <f aca="false">U331*Z331</f>
        <v>0</v>
      </c>
      <c r="AC331" s="115" t="n">
        <f aca="false">IF(G324=2,F331*(S331-Q331),F331*(Q331-S331))</f>
        <v>0</v>
      </c>
      <c r="AE331" s="116" t="n">
        <f aca="false">IF($G$3=1,F331*(R331-Q331),F331*(Q331-R331))</f>
        <v>0</v>
      </c>
      <c r="AG331" s="116" t="n">
        <f aca="false">AC331+AE331</f>
        <v>0</v>
      </c>
    </row>
    <row r="332" customFormat="false" ht="12" hidden="false" customHeight="true" outlineLevel="0" collapsed="false">
      <c r="A332" s="120" t="n">
        <f aca="false">EDATE(A331,1)</f>
        <v>47088</v>
      </c>
      <c r="B332" s="121" t="e">
        <f aca="false">VLOOKUP(A332,'Inputs-Summary'!$A$32:$E$41,3,FALSE())</f>
        <v>#N/A</v>
      </c>
      <c r="C332" s="122"/>
      <c r="D332" s="123" t="e">
        <f aca="false">B332+C332</f>
        <v>#N/A</v>
      </c>
      <c r="E332" s="111" t="n">
        <f aca="false">IF(Z332=0,0,IF(AND(Z332=1,$H$3=1),D332*U332,IF($H$3=2,D332,"N/A")))</f>
        <v>0</v>
      </c>
      <c r="F332" s="111" t="n">
        <f aca="false">E332*Y332</f>
        <v>0</v>
      </c>
      <c r="G332" s="124" t="n">
        <f aca="false">VLOOKUP($A332,Table,MATCH(G$4,Curves,0))</f>
        <v>3</v>
      </c>
      <c r="H332" s="125" t="n">
        <f aca="false">G332+$H$7</f>
        <v>3</v>
      </c>
      <c r="I332" s="124" t="n">
        <f aca="false">H332</f>
        <v>3</v>
      </c>
      <c r="J332" s="124" t="n">
        <f aca="false">VLOOKUP($A332,Table,MATCH(J$4,Curves,0))</f>
        <v>4</v>
      </c>
      <c r="K332" s="125" t="n">
        <f aca="false">J332+$K$7</f>
        <v>4</v>
      </c>
      <c r="L332" s="126" t="n">
        <f aca="false">K332</f>
        <v>4</v>
      </c>
      <c r="M332" s="124" t="n">
        <f aca="false">VLOOKUP($A332,Table,MATCH(M$4,Curves,0))</f>
        <v>4</v>
      </c>
      <c r="N332" s="125" t="n">
        <f aca="false">M332+$N$7</f>
        <v>4</v>
      </c>
      <c r="O332" s="126" t="n">
        <v>0.12</v>
      </c>
      <c r="P332" s="114"/>
      <c r="Q332" s="126" t="n">
        <f aca="false">M332+J332+G332</f>
        <v>11</v>
      </c>
      <c r="R332" s="126" t="n">
        <f aca="false">N332+K332+H332</f>
        <v>11</v>
      </c>
      <c r="S332" s="126" t="n">
        <f aca="false">O332+L332+I332</f>
        <v>7.12</v>
      </c>
      <c r="T332" s="127"/>
      <c r="U332" s="5" t="n">
        <f aca="false">A333-A332</f>
        <v>31</v>
      </c>
      <c r="V332" s="128" t="n">
        <f aca="false">CHOOSE(F$3,A333+24,A332)</f>
        <v>47088</v>
      </c>
      <c r="W332" s="5" t="n">
        <f aca="false">V332-C$3</f>
        <v>9857</v>
      </c>
      <c r="X332" s="124" t="n">
        <f aca="false">VLOOKUP($A332,Table,MATCH(X$4,Curves,0))</f>
        <v>2</v>
      </c>
      <c r="Y332" s="129" t="n">
        <f aca="false">1/(1+CHOOSE(F$3,(X333+($K$3/10000))/2,(X332+($K$3/10000))/2))^(2*W332/365.25)</f>
        <v>5.65210080206625E-017</v>
      </c>
      <c r="Z332" s="5" t="n">
        <f aca="false">IF(AND(mthbeg&lt;=A332,mthend&gt;=A332),1,0)</f>
        <v>0</v>
      </c>
      <c r="AA332" s="5" t="n">
        <f aca="false">U332*Z332</f>
        <v>0</v>
      </c>
      <c r="AC332" s="115" t="n">
        <f aca="false">IF(G325=2,F332*(S332-Q332),F332*(Q332-S332))</f>
        <v>0</v>
      </c>
      <c r="AE332" s="116" t="n">
        <f aca="false">IF($G$3=1,F332*(R332-Q332),F332*(Q332-R332))</f>
        <v>0</v>
      </c>
      <c r="AG332" s="116" t="n">
        <f aca="false">AC332+AE332</f>
        <v>0</v>
      </c>
    </row>
    <row r="333" customFormat="false" ht="12" hidden="false" customHeight="true" outlineLevel="0" collapsed="false">
      <c r="A333" s="120" t="n">
        <f aca="false">EDATE(A332,1)</f>
        <v>47119</v>
      </c>
      <c r="B333" s="121" t="e">
        <f aca="false">VLOOKUP(A333,'Inputs-Summary'!$A$32:$E$41,3,FALSE())</f>
        <v>#N/A</v>
      </c>
      <c r="C333" s="122"/>
      <c r="D333" s="123" t="e">
        <f aca="false">B333+C333</f>
        <v>#N/A</v>
      </c>
      <c r="E333" s="111" t="n">
        <f aca="false">IF(Z333=0,0,IF(AND(Z333=1,$H$3=1),D333*U333,IF($H$3=2,D333,"N/A")))</f>
        <v>0</v>
      </c>
      <c r="F333" s="111" t="n">
        <f aca="false">E333*Y333</f>
        <v>0</v>
      </c>
      <c r="G333" s="124" t="n">
        <f aca="false">VLOOKUP($A333,Table,MATCH(G$4,Curves,0))</f>
        <v>3</v>
      </c>
      <c r="H333" s="125" t="n">
        <f aca="false">G333+$H$7</f>
        <v>3</v>
      </c>
      <c r="I333" s="124" t="n">
        <f aca="false">H333</f>
        <v>3</v>
      </c>
      <c r="J333" s="124" t="n">
        <f aca="false">VLOOKUP($A333,Table,MATCH(J$4,Curves,0))</f>
        <v>4</v>
      </c>
      <c r="K333" s="125" t="n">
        <f aca="false">J333+$K$7</f>
        <v>4</v>
      </c>
      <c r="L333" s="126" t="n">
        <f aca="false">K333</f>
        <v>4</v>
      </c>
      <c r="M333" s="124" t="n">
        <f aca="false">VLOOKUP($A333,Table,MATCH(M$4,Curves,0))</f>
        <v>4</v>
      </c>
      <c r="N333" s="125" t="n">
        <f aca="false">M333+$N$7</f>
        <v>4</v>
      </c>
      <c r="O333" s="126" t="n">
        <v>0.12</v>
      </c>
      <c r="P333" s="114"/>
      <c r="Q333" s="126" t="n">
        <f aca="false">M333+J333+G333</f>
        <v>11</v>
      </c>
      <c r="R333" s="126" t="n">
        <f aca="false">N333+K333+H333</f>
        <v>11</v>
      </c>
      <c r="S333" s="126" t="n">
        <f aca="false">O333+L333+I333</f>
        <v>7.12</v>
      </c>
      <c r="T333" s="127"/>
      <c r="U333" s="5" t="n">
        <f aca="false">A334-A333</f>
        <v>31</v>
      </c>
      <c r="V333" s="128" t="n">
        <f aca="false">CHOOSE(F$3,A334+24,A333)</f>
        <v>47119</v>
      </c>
      <c r="W333" s="5" t="n">
        <f aca="false">V333-C$3</f>
        <v>9888</v>
      </c>
      <c r="X333" s="124" t="n">
        <f aca="false">VLOOKUP($A333,Table,MATCH(X$4,Curves,0))</f>
        <v>2</v>
      </c>
      <c r="Y333" s="129" t="n">
        <f aca="false">1/(1+CHOOSE(F$3,(X334+($K$3/10000))/2,(X333+($K$3/10000))/2))^(2*W333/365.25)</f>
        <v>5.0247103931599E-017</v>
      </c>
      <c r="Z333" s="5" t="n">
        <f aca="false">IF(AND(mthbeg&lt;=A333,mthend&gt;=A333),1,0)</f>
        <v>0</v>
      </c>
      <c r="AA333" s="5" t="n">
        <f aca="false">U333*Z333</f>
        <v>0</v>
      </c>
      <c r="AC333" s="115" t="n">
        <f aca="false">IF(G326=2,F333*(S333-Q333),F333*(Q333-S333))</f>
        <v>0</v>
      </c>
      <c r="AE333" s="116" t="n">
        <f aca="false">IF($G$3=1,F333*(R333-Q333),F333*(Q333-R333))</f>
        <v>0</v>
      </c>
      <c r="AG333" s="116" t="n">
        <f aca="false">AC333+AE333</f>
        <v>0</v>
      </c>
    </row>
    <row r="334" customFormat="false" ht="12" hidden="false" customHeight="true" outlineLevel="0" collapsed="false">
      <c r="A334" s="120" t="n">
        <f aca="false">EDATE(A333,1)</f>
        <v>47150</v>
      </c>
      <c r="B334" s="121" t="e">
        <f aca="false">VLOOKUP(A334,'Inputs-Summary'!$A$32:$E$41,3,FALSE())</f>
        <v>#N/A</v>
      </c>
      <c r="C334" s="122"/>
      <c r="D334" s="123" t="e">
        <f aca="false">B334+C334</f>
        <v>#N/A</v>
      </c>
      <c r="E334" s="111" t="n">
        <f aca="false">IF(Z334=0,0,IF(AND(Z334=1,$H$3=1),D334*U334,IF($H$3=2,D334,"N/A")))</f>
        <v>0</v>
      </c>
      <c r="F334" s="111" t="n">
        <f aca="false">E334*Y334</f>
        <v>0</v>
      </c>
      <c r="G334" s="124" t="n">
        <f aca="false">VLOOKUP($A334,Table,MATCH(G$4,Curves,0))</f>
        <v>3</v>
      </c>
      <c r="H334" s="125" t="n">
        <f aca="false">G334+$H$7</f>
        <v>3</v>
      </c>
      <c r="I334" s="124" t="n">
        <f aca="false">H334</f>
        <v>3</v>
      </c>
      <c r="J334" s="124" t="n">
        <f aca="false">VLOOKUP($A334,Table,MATCH(J$4,Curves,0))</f>
        <v>4</v>
      </c>
      <c r="K334" s="125" t="n">
        <f aca="false">J334+$K$7</f>
        <v>4</v>
      </c>
      <c r="L334" s="126" t="n">
        <f aca="false">K334</f>
        <v>4</v>
      </c>
      <c r="M334" s="124" t="n">
        <f aca="false">VLOOKUP($A334,Table,MATCH(M$4,Curves,0))</f>
        <v>4</v>
      </c>
      <c r="N334" s="125" t="n">
        <f aca="false">M334+$N$7</f>
        <v>4</v>
      </c>
      <c r="O334" s="126" t="n">
        <v>0.12</v>
      </c>
      <c r="P334" s="114"/>
      <c r="Q334" s="126" t="n">
        <f aca="false">M334+J334+G334</f>
        <v>11</v>
      </c>
      <c r="R334" s="126" t="n">
        <f aca="false">N334+K334+H334</f>
        <v>11</v>
      </c>
      <c r="S334" s="126" t="n">
        <f aca="false">O334+L334+I334</f>
        <v>7.12</v>
      </c>
      <c r="T334" s="127"/>
      <c r="U334" s="5" t="n">
        <f aca="false">A335-A334</f>
        <v>28</v>
      </c>
      <c r="V334" s="128" t="n">
        <f aca="false">CHOOSE(F$3,A335+24,A334)</f>
        <v>47150</v>
      </c>
      <c r="W334" s="5" t="n">
        <f aca="false">V334-C$3</f>
        <v>9919</v>
      </c>
      <c r="X334" s="124" t="n">
        <f aca="false">VLOOKUP($A334,Table,MATCH(X$4,Curves,0))</f>
        <v>2</v>
      </c>
      <c r="Y334" s="129" t="n">
        <f aca="false">1/(1+CHOOSE(F$3,(X335+($K$3/10000))/2,(X334+($K$3/10000))/2))^(2*W334/365.25)</f>
        <v>4.46696112105772E-017</v>
      </c>
      <c r="Z334" s="5" t="n">
        <f aca="false">IF(AND(mthbeg&lt;=A334,mthend&gt;=A334),1,0)</f>
        <v>0</v>
      </c>
      <c r="AA334" s="5" t="n">
        <f aca="false">U334*Z334</f>
        <v>0</v>
      </c>
      <c r="AC334" s="115" t="n">
        <f aca="false">IF(G327=2,F334*(S334-Q334),F334*(Q334-S334))</f>
        <v>0</v>
      </c>
      <c r="AE334" s="116" t="n">
        <f aca="false">IF($G$3=1,F334*(R334-Q334),F334*(Q334-R334))</f>
        <v>0</v>
      </c>
      <c r="AG334" s="116" t="n">
        <f aca="false">AC334+AE334</f>
        <v>0</v>
      </c>
    </row>
    <row r="335" customFormat="false" ht="12" hidden="false" customHeight="true" outlineLevel="0" collapsed="false">
      <c r="A335" s="120" t="n">
        <f aca="false">EDATE(A334,1)</f>
        <v>47178</v>
      </c>
      <c r="B335" s="121" t="e">
        <f aca="false">VLOOKUP(A335,'Inputs-Summary'!$A$32:$E$41,3,FALSE())</f>
        <v>#N/A</v>
      </c>
      <c r="C335" s="122"/>
      <c r="D335" s="123" t="e">
        <f aca="false">B335+C335</f>
        <v>#N/A</v>
      </c>
      <c r="E335" s="111" t="n">
        <f aca="false">IF(Z335=0,0,IF(AND(Z335=1,$H$3=1),D335*U335,IF($H$3=2,D335,"N/A")))</f>
        <v>0</v>
      </c>
      <c r="F335" s="111" t="n">
        <f aca="false">E335*Y335</f>
        <v>0</v>
      </c>
      <c r="G335" s="124" t="n">
        <f aca="false">VLOOKUP($A335,Table,MATCH(G$4,Curves,0))</f>
        <v>3</v>
      </c>
      <c r="H335" s="125" t="n">
        <f aca="false">G335+$H$7</f>
        <v>3</v>
      </c>
      <c r="I335" s="124" t="n">
        <f aca="false">H335</f>
        <v>3</v>
      </c>
      <c r="J335" s="124" t="n">
        <f aca="false">VLOOKUP($A335,Table,MATCH(J$4,Curves,0))</f>
        <v>4</v>
      </c>
      <c r="K335" s="125" t="n">
        <f aca="false">J335+$K$7</f>
        <v>4</v>
      </c>
      <c r="L335" s="126" t="n">
        <f aca="false">K335</f>
        <v>4</v>
      </c>
      <c r="M335" s="124" t="n">
        <f aca="false">VLOOKUP($A335,Table,MATCH(M$4,Curves,0))</f>
        <v>4</v>
      </c>
      <c r="N335" s="125" t="n">
        <f aca="false">M335+$N$7</f>
        <v>4</v>
      </c>
      <c r="O335" s="126" t="n">
        <v>0.12</v>
      </c>
      <c r="P335" s="114"/>
      <c r="Q335" s="126" t="n">
        <f aca="false">M335+J335+G335</f>
        <v>11</v>
      </c>
      <c r="R335" s="126" t="n">
        <f aca="false">N335+K335+H335</f>
        <v>11</v>
      </c>
      <c r="S335" s="126" t="n">
        <f aca="false">O335+L335+I335</f>
        <v>7.12</v>
      </c>
      <c r="T335" s="127"/>
      <c r="U335" s="5" t="n">
        <f aca="false">A336-A335</f>
        <v>31</v>
      </c>
      <c r="V335" s="128" t="n">
        <f aca="false">CHOOSE(F$3,A336+24,A335)</f>
        <v>47178</v>
      </c>
      <c r="W335" s="5" t="n">
        <f aca="false">V335-C$3</f>
        <v>9947</v>
      </c>
      <c r="X335" s="124" t="n">
        <f aca="false">VLOOKUP($A335,Table,MATCH(X$4,Curves,0))</f>
        <v>2</v>
      </c>
      <c r="Y335" s="129" t="n">
        <f aca="false">1/(1+CHOOSE(F$3,(X336+($K$3/10000))/2,(X335+($K$3/10000))/2))^(2*W335/365.25)</f>
        <v>4.01659793587898E-017</v>
      </c>
      <c r="Z335" s="5" t="n">
        <f aca="false">IF(AND(mthbeg&lt;=A335,mthend&gt;=A335),1,0)</f>
        <v>0</v>
      </c>
      <c r="AA335" s="5" t="n">
        <f aca="false">U335*Z335</f>
        <v>0</v>
      </c>
      <c r="AC335" s="115" t="n">
        <f aca="false">IF(G328=2,F335*(S335-Q335),F335*(Q335-S335))</f>
        <v>0</v>
      </c>
      <c r="AE335" s="116" t="n">
        <f aca="false">IF($G$3=1,F335*(R335-Q335),F335*(Q335-R335))</f>
        <v>0</v>
      </c>
      <c r="AG335" s="116" t="n">
        <f aca="false">AC335+AE335</f>
        <v>0</v>
      </c>
    </row>
    <row r="336" customFormat="false" ht="12" hidden="false" customHeight="true" outlineLevel="0" collapsed="false">
      <c r="A336" s="120" t="n">
        <f aca="false">EDATE(A335,1)</f>
        <v>47209</v>
      </c>
      <c r="B336" s="121" t="e">
        <f aca="false">VLOOKUP(A336,'Inputs-Summary'!$A$32:$E$41,3,FALSE())</f>
        <v>#N/A</v>
      </c>
      <c r="C336" s="122"/>
      <c r="D336" s="123" t="e">
        <f aca="false">B336+C336</f>
        <v>#N/A</v>
      </c>
      <c r="E336" s="111" t="n">
        <f aca="false">IF(Z336=0,0,IF(AND(Z336=1,$H$3=1),D336*U336,IF($H$3=2,D336,"N/A")))</f>
        <v>0</v>
      </c>
      <c r="F336" s="111" t="n">
        <f aca="false">E336*Y336</f>
        <v>0</v>
      </c>
      <c r="G336" s="124" t="n">
        <f aca="false">VLOOKUP($A336,Table,MATCH(G$4,Curves,0))</f>
        <v>3</v>
      </c>
      <c r="H336" s="125" t="n">
        <f aca="false">G336+$H$7</f>
        <v>3</v>
      </c>
      <c r="I336" s="124" t="n">
        <f aca="false">H336</f>
        <v>3</v>
      </c>
      <c r="J336" s="124" t="n">
        <f aca="false">VLOOKUP($A336,Table,MATCH(J$4,Curves,0))</f>
        <v>4</v>
      </c>
      <c r="K336" s="125" t="n">
        <f aca="false">J336+$K$7</f>
        <v>4</v>
      </c>
      <c r="L336" s="126" t="n">
        <f aca="false">K336</f>
        <v>4</v>
      </c>
      <c r="M336" s="124" t="n">
        <f aca="false">VLOOKUP($A336,Table,MATCH(M$4,Curves,0))</f>
        <v>4</v>
      </c>
      <c r="N336" s="125" t="n">
        <f aca="false">M336+$N$7</f>
        <v>4</v>
      </c>
      <c r="O336" s="126" t="n">
        <v>0.12</v>
      </c>
      <c r="P336" s="114"/>
      <c r="Q336" s="126" t="n">
        <f aca="false">M336+J336+G336</f>
        <v>11</v>
      </c>
      <c r="R336" s="126" t="n">
        <f aca="false">N336+K336+H336</f>
        <v>11</v>
      </c>
      <c r="S336" s="126" t="n">
        <f aca="false">O336+L336+I336</f>
        <v>7.12</v>
      </c>
      <c r="T336" s="127"/>
      <c r="U336" s="5" t="n">
        <f aca="false">A337-A336</f>
        <v>30</v>
      </c>
      <c r="V336" s="128" t="n">
        <f aca="false">CHOOSE(F$3,A337+24,A336)</f>
        <v>47209</v>
      </c>
      <c r="W336" s="5" t="n">
        <f aca="false">V336-C$3</f>
        <v>9978</v>
      </c>
      <c r="X336" s="124" t="n">
        <f aca="false">VLOOKUP($A336,Table,MATCH(X$4,Curves,0))</f>
        <v>2</v>
      </c>
      <c r="Y336" s="129" t="n">
        <f aca="false">1/(1+CHOOSE(F$3,(X337+($K$3/10000))/2,(X336+($K$3/10000))/2))^(2*W336/365.25)</f>
        <v>3.57075043427705E-017</v>
      </c>
      <c r="Z336" s="5" t="n">
        <f aca="false">IF(AND(mthbeg&lt;=A336,mthend&gt;=A336),1,0)</f>
        <v>0</v>
      </c>
      <c r="AA336" s="5" t="n">
        <f aca="false">U336*Z336</f>
        <v>0</v>
      </c>
      <c r="AC336" s="115" t="n">
        <f aca="false">IF(G329=2,F336*(S336-Q336),F336*(Q336-S336))</f>
        <v>0</v>
      </c>
      <c r="AE336" s="116" t="n">
        <f aca="false">IF($G$3=1,F336*(R336-Q336),F336*(Q336-R336))</f>
        <v>0</v>
      </c>
      <c r="AG336" s="116" t="n">
        <f aca="false">AC336+AE336</f>
        <v>0</v>
      </c>
    </row>
    <row r="337" customFormat="false" ht="12" hidden="false" customHeight="true" outlineLevel="0" collapsed="false">
      <c r="A337" s="120" t="n">
        <f aca="false">EDATE(A336,1)</f>
        <v>47239</v>
      </c>
      <c r="B337" s="121" t="e">
        <f aca="false">VLOOKUP(A337,'Inputs-Summary'!$A$32:$E$41,3,FALSE())</f>
        <v>#N/A</v>
      </c>
      <c r="C337" s="122"/>
      <c r="D337" s="123" t="e">
        <f aca="false">B337+C337</f>
        <v>#N/A</v>
      </c>
      <c r="E337" s="111" t="n">
        <f aca="false">IF(Z337=0,0,IF(AND(Z337=1,$H$3=1),D337*U337,IF($H$3=2,D337,"N/A")))</f>
        <v>0</v>
      </c>
      <c r="F337" s="111" t="n">
        <f aca="false">E337*Y337</f>
        <v>0</v>
      </c>
      <c r="G337" s="124" t="n">
        <f aca="false">VLOOKUP($A337,Table,MATCH(G$4,Curves,0))</f>
        <v>3</v>
      </c>
      <c r="H337" s="125" t="n">
        <f aca="false">G337+$H$7</f>
        <v>3</v>
      </c>
      <c r="I337" s="124" t="n">
        <f aca="false">H337</f>
        <v>3</v>
      </c>
      <c r="J337" s="124" t="n">
        <f aca="false">VLOOKUP($A337,Table,MATCH(J$4,Curves,0))</f>
        <v>4</v>
      </c>
      <c r="K337" s="125" t="n">
        <f aca="false">J337+$K$7</f>
        <v>4</v>
      </c>
      <c r="L337" s="126" t="n">
        <f aca="false">K337</f>
        <v>4</v>
      </c>
      <c r="M337" s="124" t="n">
        <f aca="false">VLOOKUP($A337,Table,MATCH(M$4,Curves,0))</f>
        <v>4</v>
      </c>
      <c r="N337" s="125" t="n">
        <f aca="false">M337+$N$7</f>
        <v>4</v>
      </c>
      <c r="O337" s="126" t="n">
        <v>0.12</v>
      </c>
      <c r="P337" s="114"/>
      <c r="Q337" s="126" t="n">
        <f aca="false">M337+J337+G337</f>
        <v>11</v>
      </c>
      <c r="R337" s="126" t="n">
        <f aca="false">N337+K337+H337</f>
        <v>11</v>
      </c>
      <c r="S337" s="126" t="n">
        <f aca="false">O337+L337+I337</f>
        <v>7.12</v>
      </c>
      <c r="T337" s="127"/>
      <c r="U337" s="5" t="n">
        <f aca="false">A338-A337</f>
        <v>31</v>
      </c>
      <c r="V337" s="128" t="n">
        <f aca="false">CHOOSE(F$3,A338+24,A337)</f>
        <v>47239</v>
      </c>
      <c r="W337" s="5" t="n">
        <f aca="false">V337-C$3</f>
        <v>10008</v>
      </c>
      <c r="X337" s="124" t="n">
        <f aca="false">VLOOKUP($A337,Table,MATCH(X$4,Curves,0))</f>
        <v>2</v>
      </c>
      <c r="Y337" s="129" t="n">
        <f aca="false">1/(1+CHOOSE(F$3,(X338+($K$3/10000))/2,(X337+($K$3/10000))/2))^(2*W337/365.25)</f>
        <v>3.18646377089715E-017</v>
      </c>
      <c r="Z337" s="5" t="n">
        <f aca="false">IF(AND(mthbeg&lt;=A337,mthend&gt;=A337),1,0)</f>
        <v>0</v>
      </c>
      <c r="AA337" s="5" t="n">
        <f aca="false">U337*Z337</f>
        <v>0</v>
      </c>
      <c r="AC337" s="115" t="n">
        <f aca="false">IF(G330=2,F337*(S337-Q337),F337*(Q337-S337))</f>
        <v>0</v>
      </c>
      <c r="AE337" s="116" t="n">
        <f aca="false">IF($G$3=1,F337*(R337-Q337),F337*(Q337-R337))</f>
        <v>0</v>
      </c>
      <c r="AG337" s="116" t="n">
        <f aca="false">AC337+AE337</f>
        <v>0</v>
      </c>
    </row>
    <row r="338" customFormat="false" ht="12" hidden="false" customHeight="true" outlineLevel="0" collapsed="false">
      <c r="A338" s="120" t="n">
        <f aca="false">EDATE(A337,1)</f>
        <v>47270</v>
      </c>
      <c r="B338" s="121" t="e">
        <f aca="false">VLOOKUP(A338,'Inputs-Summary'!$A$32:$E$41,3,FALSE())</f>
        <v>#N/A</v>
      </c>
      <c r="C338" s="122"/>
      <c r="D338" s="123" t="e">
        <f aca="false">B338+C338</f>
        <v>#N/A</v>
      </c>
      <c r="E338" s="111" t="n">
        <f aca="false">IF(Z338=0,0,IF(AND(Z338=1,$H$3=1),D338*U338,IF($H$3=2,D338,"N/A")))</f>
        <v>0</v>
      </c>
      <c r="F338" s="111" t="n">
        <f aca="false">E338*Y338</f>
        <v>0</v>
      </c>
      <c r="G338" s="124" t="n">
        <f aca="false">VLOOKUP($A338,Table,MATCH(G$4,Curves,0))</f>
        <v>3</v>
      </c>
      <c r="H338" s="125" t="n">
        <f aca="false">G338+$H$7</f>
        <v>3</v>
      </c>
      <c r="I338" s="124" t="n">
        <f aca="false">H338</f>
        <v>3</v>
      </c>
      <c r="J338" s="124" t="n">
        <f aca="false">VLOOKUP($A338,Table,MATCH(J$4,Curves,0))</f>
        <v>4</v>
      </c>
      <c r="K338" s="125" t="n">
        <f aca="false">J338+$K$7</f>
        <v>4</v>
      </c>
      <c r="L338" s="126" t="n">
        <f aca="false">K338</f>
        <v>4</v>
      </c>
      <c r="M338" s="124" t="n">
        <f aca="false">VLOOKUP($A338,Table,MATCH(M$4,Curves,0))</f>
        <v>4</v>
      </c>
      <c r="N338" s="125" t="n">
        <f aca="false">M338+$N$7</f>
        <v>4</v>
      </c>
      <c r="O338" s="126" t="n">
        <v>0.12</v>
      </c>
      <c r="P338" s="114"/>
      <c r="Q338" s="126" t="n">
        <f aca="false">M338+J338+G338</f>
        <v>11</v>
      </c>
      <c r="R338" s="126" t="n">
        <f aca="false">N338+K338+H338</f>
        <v>11</v>
      </c>
      <c r="S338" s="126" t="n">
        <f aca="false">O338+L338+I338</f>
        <v>7.12</v>
      </c>
      <c r="T338" s="127"/>
      <c r="U338" s="5" t="n">
        <f aca="false">A339-A338</f>
        <v>30</v>
      </c>
      <c r="V338" s="128" t="n">
        <f aca="false">CHOOSE(F$3,A339+24,A338)</f>
        <v>47270</v>
      </c>
      <c r="W338" s="5" t="n">
        <f aca="false">V338-C$3</f>
        <v>10039</v>
      </c>
      <c r="X338" s="124" t="n">
        <f aca="false">VLOOKUP($A338,Table,MATCH(X$4,Curves,0))</f>
        <v>2</v>
      </c>
      <c r="Y338" s="129" t="n">
        <f aca="false">1/(1+CHOOSE(F$3,(X339+($K$3/10000))/2,(X338+($K$3/10000))/2))^(2*W338/365.25)</f>
        <v>2.83276222200446E-017</v>
      </c>
      <c r="Z338" s="5" t="n">
        <f aca="false">IF(AND(mthbeg&lt;=A338,mthend&gt;=A338),1,0)</f>
        <v>0</v>
      </c>
      <c r="AA338" s="5" t="n">
        <f aca="false">U338*Z338</f>
        <v>0</v>
      </c>
      <c r="AC338" s="115" t="n">
        <f aca="false">IF(G331=2,F338*(S338-Q338),F338*(Q338-S338))</f>
        <v>0</v>
      </c>
      <c r="AE338" s="116" t="n">
        <f aca="false">IF($G$3=1,F338*(R338-Q338),F338*(Q338-R338))</f>
        <v>0</v>
      </c>
      <c r="AG338" s="116" t="n">
        <f aca="false">AC338+AE338</f>
        <v>0</v>
      </c>
    </row>
    <row r="339" customFormat="false" ht="12" hidden="false" customHeight="true" outlineLevel="0" collapsed="false">
      <c r="A339" s="120" t="n">
        <f aca="false">EDATE(A338,1)</f>
        <v>47300</v>
      </c>
      <c r="B339" s="121" t="e">
        <f aca="false">VLOOKUP(A339,'Inputs-Summary'!$A$32:$E$41,3,FALSE())</f>
        <v>#N/A</v>
      </c>
      <c r="C339" s="122"/>
      <c r="D339" s="123" t="e">
        <f aca="false">B339+C339</f>
        <v>#N/A</v>
      </c>
      <c r="E339" s="111" t="n">
        <f aca="false">IF(Z339=0,0,IF(AND(Z339=1,$H$3=1),D339*U339,IF($H$3=2,D339,"N/A")))</f>
        <v>0</v>
      </c>
      <c r="F339" s="111" t="n">
        <f aca="false">E339*Y339</f>
        <v>0</v>
      </c>
      <c r="G339" s="124" t="n">
        <f aca="false">VLOOKUP($A339,Table,MATCH(G$4,Curves,0))</f>
        <v>3</v>
      </c>
      <c r="H339" s="125" t="n">
        <f aca="false">G339+$H$7</f>
        <v>3</v>
      </c>
      <c r="I339" s="124" t="n">
        <f aca="false">H339</f>
        <v>3</v>
      </c>
      <c r="J339" s="124" t="n">
        <f aca="false">VLOOKUP($A339,Table,MATCH(J$4,Curves,0))</f>
        <v>4</v>
      </c>
      <c r="K339" s="125" t="n">
        <f aca="false">J339+$K$7</f>
        <v>4</v>
      </c>
      <c r="L339" s="126" t="n">
        <f aca="false">K339</f>
        <v>4</v>
      </c>
      <c r="M339" s="124" t="n">
        <f aca="false">VLOOKUP($A339,Table,MATCH(M$4,Curves,0))</f>
        <v>4</v>
      </c>
      <c r="N339" s="125" t="n">
        <f aca="false">M339+$N$7</f>
        <v>4</v>
      </c>
      <c r="O339" s="126" t="n">
        <v>0.12</v>
      </c>
      <c r="P339" s="114"/>
      <c r="Q339" s="126" t="n">
        <f aca="false">M339+J339+G339</f>
        <v>11</v>
      </c>
      <c r="R339" s="126" t="n">
        <f aca="false">N339+K339+H339</f>
        <v>11</v>
      </c>
      <c r="S339" s="126" t="n">
        <f aca="false">O339+L339+I339</f>
        <v>7.12</v>
      </c>
      <c r="T339" s="127"/>
      <c r="U339" s="5" t="n">
        <f aca="false">A340-A339</f>
        <v>31</v>
      </c>
      <c r="V339" s="128" t="n">
        <f aca="false">CHOOSE(F$3,A340+24,A339)</f>
        <v>47300</v>
      </c>
      <c r="W339" s="5" t="n">
        <f aca="false">V339-C$3</f>
        <v>10069</v>
      </c>
      <c r="X339" s="124" t="n">
        <f aca="false">VLOOKUP($A339,Table,MATCH(X$4,Curves,0))</f>
        <v>2</v>
      </c>
      <c r="Y339" s="129" t="n">
        <f aca="false">1/(1+CHOOSE(F$3,(X340+($K$3/10000))/2,(X339+($K$3/10000))/2))^(2*W339/365.25)</f>
        <v>2.52789836705877E-017</v>
      </c>
      <c r="Z339" s="5" t="n">
        <f aca="false">IF(AND(mthbeg&lt;=A339,mthend&gt;=A339),1,0)</f>
        <v>0</v>
      </c>
      <c r="AA339" s="5" t="n">
        <f aca="false">U339*Z339</f>
        <v>0</v>
      </c>
      <c r="AC339" s="115" t="n">
        <f aca="false">IF(G332=2,F339*(S339-Q339),F339*(Q339-S339))</f>
        <v>0</v>
      </c>
      <c r="AE339" s="116" t="n">
        <f aca="false">IF($G$3=1,F339*(R339-Q339),F339*(Q339-R339))</f>
        <v>0</v>
      </c>
      <c r="AG339" s="116" t="n">
        <f aca="false">AC339+AE339</f>
        <v>0</v>
      </c>
    </row>
    <row r="340" customFormat="false" ht="12" hidden="false" customHeight="true" outlineLevel="0" collapsed="false">
      <c r="A340" s="120" t="n">
        <f aca="false">EDATE(A339,1)</f>
        <v>47331</v>
      </c>
      <c r="B340" s="121" t="e">
        <f aca="false">VLOOKUP(A340,'Inputs-Summary'!$A$32:$E$41,3,FALSE())</f>
        <v>#N/A</v>
      </c>
      <c r="C340" s="122"/>
      <c r="D340" s="123" t="e">
        <f aca="false">B340+C340</f>
        <v>#N/A</v>
      </c>
      <c r="E340" s="111" t="n">
        <f aca="false">IF(Z340=0,0,IF(AND(Z340=1,$H$3=1),D340*U340,IF($H$3=2,D340,"N/A")))</f>
        <v>0</v>
      </c>
      <c r="F340" s="111" t="n">
        <f aca="false">E340*Y340</f>
        <v>0</v>
      </c>
      <c r="G340" s="124" t="n">
        <f aca="false">VLOOKUP($A340,Table,MATCH(G$4,Curves,0))</f>
        <v>3</v>
      </c>
      <c r="H340" s="125" t="n">
        <f aca="false">G340+$H$7</f>
        <v>3</v>
      </c>
      <c r="I340" s="124" t="n">
        <f aca="false">H340</f>
        <v>3</v>
      </c>
      <c r="J340" s="124" t="n">
        <f aca="false">VLOOKUP($A340,Table,MATCH(J$4,Curves,0))</f>
        <v>4</v>
      </c>
      <c r="K340" s="125" t="n">
        <f aca="false">J340+$K$7</f>
        <v>4</v>
      </c>
      <c r="L340" s="126" t="n">
        <f aca="false">K340</f>
        <v>4</v>
      </c>
      <c r="M340" s="124" t="n">
        <f aca="false">VLOOKUP($A340,Table,MATCH(M$4,Curves,0))</f>
        <v>4</v>
      </c>
      <c r="N340" s="125" t="n">
        <f aca="false">M340+$N$7</f>
        <v>4</v>
      </c>
      <c r="O340" s="126" t="n">
        <v>0.12</v>
      </c>
      <c r="P340" s="114"/>
      <c r="Q340" s="126" t="n">
        <f aca="false">M340+J340+G340</f>
        <v>11</v>
      </c>
      <c r="R340" s="126" t="n">
        <f aca="false">N340+K340+H340</f>
        <v>11</v>
      </c>
      <c r="S340" s="126" t="n">
        <f aca="false">O340+L340+I340</f>
        <v>7.12</v>
      </c>
      <c r="T340" s="127"/>
      <c r="U340" s="5" t="n">
        <f aca="false">A341-A340</f>
        <v>31</v>
      </c>
      <c r="V340" s="128" t="n">
        <f aca="false">CHOOSE(F$3,A341+24,A340)</f>
        <v>47331</v>
      </c>
      <c r="W340" s="5" t="n">
        <f aca="false">V340-C$3</f>
        <v>10100</v>
      </c>
      <c r="X340" s="124" t="n">
        <f aca="false">VLOOKUP($A340,Table,MATCH(X$4,Curves,0))</f>
        <v>2</v>
      </c>
      <c r="Y340" s="129" t="n">
        <f aca="false">1/(1+CHOOSE(F$3,(X341+($K$3/10000))/2,(X340+($K$3/10000))/2))^(2*W340/365.25)</f>
        <v>2.24729841923E-017</v>
      </c>
      <c r="Z340" s="5" t="n">
        <f aca="false">IF(AND(mthbeg&lt;=A340,mthend&gt;=A340),1,0)</f>
        <v>0</v>
      </c>
      <c r="AA340" s="5" t="n">
        <f aca="false">U340*Z340</f>
        <v>0</v>
      </c>
      <c r="AC340" s="115" t="n">
        <f aca="false">IF(G333=2,F340*(S340-Q340),F340*(Q340-S340))</f>
        <v>0</v>
      </c>
      <c r="AE340" s="116" t="n">
        <f aca="false">IF($G$3=1,F340*(R340-Q340),F340*(Q340-R340))</f>
        <v>0</v>
      </c>
      <c r="AG340" s="116" t="n">
        <f aca="false">AC340+AE340</f>
        <v>0</v>
      </c>
    </row>
    <row r="341" customFormat="false" ht="12" hidden="false" customHeight="true" outlineLevel="0" collapsed="false">
      <c r="A341" s="120" t="n">
        <f aca="false">EDATE(A340,1)</f>
        <v>47362</v>
      </c>
      <c r="B341" s="121" t="e">
        <f aca="false">VLOOKUP(A341,'Inputs-Summary'!$A$32:$E$41,3,FALSE())</f>
        <v>#N/A</v>
      </c>
      <c r="C341" s="122"/>
      <c r="D341" s="123" t="e">
        <f aca="false">B341+C341</f>
        <v>#N/A</v>
      </c>
      <c r="E341" s="111" t="n">
        <f aca="false">IF(Z341=0,0,IF(AND(Z341=1,$H$3=1),D341*U341,IF($H$3=2,D341,"N/A")))</f>
        <v>0</v>
      </c>
      <c r="F341" s="111" t="n">
        <f aca="false">E341*Y341</f>
        <v>0</v>
      </c>
      <c r="G341" s="124" t="n">
        <f aca="false">VLOOKUP($A341,Table,MATCH(G$4,Curves,0))</f>
        <v>3</v>
      </c>
      <c r="H341" s="125" t="n">
        <f aca="false">G341+$H$7</f>
        <v>3</v>
      </c>
      <c r="I341" s="124" t="n">
        <f aca="false">H341</f>
        <v>3</v>
      </c>
      <c r="J341" s="124" t="n">
        <f aca="false">VLOOKUP($A341,Table,MATCH(J$4,Curves,0))</f>
        <v>4</v>
      </c>
      <c r="K341" s="125" t="n">
        <f aca="false">J341+$K$7</f>
        <v>4</v>
      </c>
      <c r="L341" s="126" t="n">
        <f aca="false">K341</f>
        <v>4</v>
      </c>
      <c r="M341" s="124" t="n">
        <f aca="false">VLOOKUP($A341,Table,MATCH(M$4,Curves,0))</f>
        <v>4</v>
      </c>
      <c r="N341" s="125" t="n">
        <f aca="false">M341+$N$7</f>
        <v>4</v>
      </c>
      <c r="O341" s="126" t="n">
        <v>0.12</v>
      </c>
      <c r="P341" s="114"/>
      <c r="Q341" s="126" t="n">
        <f aca="false">M341+J341+G341</f>
        <v>11</v>
      </c>
      <c r="R341" s="126" t="n">
        <f aca="false">N341+K341+H341</f>
        <v>11</v>
      </c>
      <c r="S341" s="126" t="n">
        <f aca="false">O341+L341+I341</f>
        <v>7.12</v>
      </c>
      <c r="T341" s="127"/>
      <c r="U341" s="5" t="n">
        <f aca="false">A342-A341</f>
        <v>30</v>
      </c>
      <c r="V341" s="128" t="n">
        <f aca="false">CHOOSE(F$3,A342+24,A341)</f>
        <v>47362</v>
      </c>
      <c r="W341" s="5" t="n">
        <f aca="false">V341-C$3</f>
        <v>10131</v>
      </c>
      <c r="X341" s="124" t="n">
        <f aca="false">VLOOKUP($A341,Table,MATCH(X$4,Curves,0))</f>
        <v>2</v>
      </c>
      <c r="Y341" s="129" t="n">
        <f aca="false">1/(1+CHOOSE(F$3,(X342+($K$3/10000))/2,(X341+($K$3/10000))/2))^(2*W341/365.25)</f>
        <v>1.99784542404282E-017</v>
      </c>
      <c r="Z341" s="5" t="n">
        <f aca="false">IF(AND(mthbeg&lt;=A341,mthend&gt;=A341),1,0)</f>
        <v>0</v>
      </c>
      <c r="AA341" s="5" t="n">
        <f aca="false">U341*Z341</f>
        <v>0</v>
      </c>
      <c r="AC341" s="115" t="n">
        <f aca="false">IF(G334=2,F341*(S341-Q341),F341*(Q341-S341))</f>
        <v>0</v>
      </c>
      <c r="AE341" s="116" t="n">
        <f aca="false">IF($G$3=1,F341*(R341-Q341),F341*(Q341-R341))</f>
        <v>0</v>
      </c>
      <c r="AG341" s="116" t="n">
        <f aca="false">AC341+AE341</f>
        <v>0</v>
      </c>
    </row>
    <row r="342" customFormat="false" ht="12" hidden="false" customHeight="true" outlineLevel="0" collapsed="false">
      <c r="A342" s="120" t="n">
        <f aca="false">EDATE(A341,1)</f>
        <v>47392</v>
      </c>
      <c r="B342" s="121" t="e">
        <f aca="false">VLOOKUP(A342,'Inputs-Summary'!$A$32:$E$41,3,FALSE())</f>
        <v>#N/A</v>
      </c>
      <c r="C342" s="122"/>
      <c r="D342" s="123" t="e">
        <f aca="false">B342+C342</f>
        <v>#N/A</v>
      </c>
      <c r="E342" s="111" t="n">
        <f aca="false">IF(Z342=0,0,IF(AND(Z342=1,$H$3=1),D342*U342,IF($H$3=2,D342,"N/A")))</f>
        <v>0</v>
      </c>
      <c r="F342" s="111" t="n">
        <f aca="false">E342*Y342</f>
        <v>0</v>
      </c>
      <c r="G342" s="124" t="n">
        <f aca="false">VLOOKUP($A342,Table,MATCH(G$4,Curves,0))</f>
        <v>3</v>
      </c>
      <c r="H342" s="125" t="n">
        <f aca="false">G342+$H$7</f>
        <v>3</v>
      </c>
      <c r="I342" s="124" t="n">
        <f aca="false">H342</f>
        <v>3</v>
      </c>
      <c r="J342" s="124" t="n">
        <f aca="false">VLOOKUP($A342,Table,MATCH(J$4,Curves,0))</f>
        <v>4</v>
      </c>
      <c r="K342" s="125" t="n">
        <f aca="false">J342+$K$7</f>
        <v>4</v>
      </c>
      <c r="L342" s="126" t="n">
        <f aca="false">K342</f>
        <v>4</v>
      </c>
      <c r="M342" s="124" t="n">
        <f aca="false">VLOOKUP($A342,Table,MATCH(M$4,Curves,0))</f>
        <v>4</v>
      </c>
      <c r="N342" s="125" t="n">
        <f aca="false">M342+$N$7</f>
        <v>4</v>
      </c>
      <c r="O342" s="126" t="n">
        <v>0.12</v>
      </c>
      <c r="P342" s="114"/>
      <c r="Q342" s="126" t="n">
        <f aca="false">M342+J342+G342</f>
        <v>11</v>
      </c>
      <c r="R342" s="126" t="n">
        <f aca="false">N342+K342+H342</f>
        <v>11</v>
      </c>
      <c r="S342" s="126" t="n">
        <f aca="false">O342+L342+I342</f>
        <v>7.12</v>
      </c>
      <c r="T342" s="127"/>
      <c r="U342" s="5" t="n">
        <f aca="false">A343-A342</f>
        <v>31</v>
      </c>
      <c r="V342" s="128" t="n">
        <f aca="false">CHOOSE(F$3,A343+24,A342)</f>
        <v>47392</v>
      </c>
      <c r="W342" s="5" t="n">
        <f aca="false">V342-C$3</f>
        <v>10161</v>
      </c>
      <c r="X342" s="124" t="n">
        <f aca="false">VLOOKUP($A342,Table,MATCH(X$4,Curves,0))</f>
        <v>2</v>
      </c>
      <c r="Y342" s="129" t="n">
        <f aca="false">1/(1+CHOOSE(F$3,(X343+($K$3/10000))/2,(X342+($K$3/10000))/2))^(2*W342/365.25)</f>
        <v>1.78283589983067E-017</v>
      </c>
      <c r="Z342" s="5" t="n">
        <f aca="false">IF(AND(mthbeg&lt;=A342,mthend&gt;=A342),1,0)</f>
        <v>0</v>
      </c>
      <c r="AA342" s="5" t="n">
        <f aca="false">U342*Z342</f>
        <v>0</v>
      </c>
      <c r="AC342" s="115" t="n">
        <f aca="false">IF(G335=2,F342*(S342-Q342),F342*(Q342-S342))</f>
        <v>0</v>
      </c>
      <c r="AE342" s="116" t="n">
        <f aca="false">IF($G$3=1,F342*(R342-Q342),F342*(Q342-R342))</f>
        <v>0</v>
      </c>
      <c r="AG342" s="116" t="n">
        <f aca="false">AC342+AE342</f>
        <v>0</v>
      </c>
    </row>
    <row r="343" customFormat="false" ht="12" hidden="false" customHeight="true" outlineLevel="0" collapsed="false">
      <c r="A343" s="120" t="n">
        <f aca="false">EDATE(A342,1)</f>
        <v>47423</v>
      </c>
      <c r="B343" s="121" t="e">
        <f aca="false">VLOOKUP(A343,'Inputs-Summary'!$A$32:$E$41,3,FALSE())</f>
        <v>#N/A</v>
      </c>
      <c r="C343" s="122"/>
      <c r="D343" s="123" t="e">
        <f aca="false">B343+C343</f>
        <v>#N/A</v>
      </c>
      <c r="E343" s="111" t="n">
        <f aca="false">IF(Z343=0,0,IF(AND(Z343=1,$H$3=1),D343*U343,IF($H$3=2,D343,"N/A")))</f>
        <v>0</v>
      </c>
      <c r="F343" s="111" t="n">
        <f aca="false">E343*Y343</f>
        <v>0</v>
      </c>
      <c r="G343" s="124" t="n">
        <f aca="false">VLOOKUP($A343,Table,MATCH(G$4,Curves,0))</f>
        <v>3</v>
      </c>
      <c r="H343" s="125" t="n">
        <f aca="false">G343+$H$7</f>
        <v>3</v>
      </c>
      <c r="I343" s="124" t="n">
        <f aca="false">H343</f>
        <v>3</v>
      </c>
      <c r="J343" s="124" t="n">
        <f aca="false">VLOOKUP($A343,Table,MATCH(J$4,Curves,0))</f>
        <v>4</v>
      </c>
      <c r="K343" s="125" t="n">
        <f aca="false">J343+$K$7</f>
        <v>4</v>
      </c>
      <c r="L343" s="126" t="n">
        <f aca="false">K343</f>
        <v>4</v>
      </c>
      <c r="M343" s="124" t="n">
        <f aca="false">VLOOKUP($A343,Table,MATCH(M$4,Curves,0))</f>
        <v>4</v>
      </c>
      <c r="N343" s="125" t="n">
        <f aca="false">M343+$N$7</f>
        <v>4</v>
      </c>
      <c r="O343" s="126" t="n">
        <v>0.12</v>
      </c>
      <c r="P343" s="114"/>
      <c r="Q343" s="126" t="n">
        <f aca="false">M343+J343+G343</f>
        <v>11</v>
      </c>
      <c r="R343" s="126" t="n">
        <f aca="false">N343+K343+H343</f>
        <v>11</v>
      </c>
      <c r="S343" s="126" t="n">
        <f aca="false">O343+L343+I343</f>
        <v>7.12</v>
      </c>
      <c r="T343" s="127"/>
      <c r="U343" s="5" t="n">
        <f aca="false">A344-A343</f>
        <v>30</v>
      </c>
      <c r="V343" s="128" t="n">
        <f aca="false">CHOOSE(F$3,A344+24,A343)</f>
        <v>47423</v>
      </c>
      <c r="W343" s="5" t="n">
        <f aca="false">V343-C$3</f>
        <v>10192</v>
      </c>
      <c r="X343" s="124" t="n">
        <f aca="false">VLOOKUP($A343,Table,MATCH(X$4,Curves,0))</f>
        <v>2</v>
      </c>
      <c r="Y343" s="129" t="n">
        <f aca="false">1/(1+CHOOSE(F$3,(X344+($K$3/10000))/2,(X343+($K$3/10000))/2))^(2*W343/365.25)</f>
        <v>1.58493883759166E-017</v>
      </c>
      <c r="Z343" s="5" t="n">
        <f aca="false">IF(AND(mthbeg&lt;=A343,mthend&gt;=A343),1,0)</f>
        <v>0</v>
      </c>
      <c r="AA343" s="5" t="n">
        <f aca="false">U343*Z343</f>
        <v>0</v>
      </c>
      <c r="AC343" s="115" t="n">
        <f aca="false">IF(G336=2,F343*(S343-Q343),F343*(Q343-S343))</f>
        <v>0</v>
      </c>
      <c r="AE343" s="116" t="n">
        <f aca="false">IF($G$3=1,F343*(R343-Q343),F343*(Q343-R343))</f>
        <v>0</v>
      </c>
      <c r="AG343" s="116" t="n">
        <f aca="false">AC343+AE343</f>
        <v>0</v>
      </c>
    </row>
    <row r="344" customFormat="false" ht="12" hidden="false" customHeight="true" outlineLevel="0" collapsed="false">
      <c r="A344" s="120" t="n">
        <f aca="false">EDATE(A343,1)</f>
        <v>47453</v>
      </c>
      <c r="B344" s="121" t="e">
        <f aca="false">VLOOKUP(A344,'Inputs-Summary'!$A$32:$E$41,3,FALSE())</f>
        <v>#N/A</v>
      </c>
      <c r="C344" s="122"/>
      <c r="D344" s="123" t="e">
        <f aca="false">B344+C344</f>
        <v>#N/A</v>
      </c>
      <c r="E344" s="111" t="n">
        <f aca="false">IF(Z344=0,0,IF(AND(Z344=1,$H$3=1),D344*U344,IF($H$3=2,D344,"N/A")))</f>
        <v>0</v>
      </c>
      <c r="F344" s="111" t="n">
        <f aca="false">E344*Y344</f>
        <v>0</v>
      </c>
      <c r="G344" s="124" t="n">
        <f aca="false">VLOOKUP($A344,Table,MATCH(G$4,Curves,0))</f>
        <v>3</v>
      </c>
      <c r="H344" s="125" t="n">
        <f aca="false">G344+$H$7</f>
        <v>3</v>
      </c>
      <c r="I344" s="124" t="n">
        <f aca="false">H344</f>
        <v>3</v>
      </c>
      <c r="J344" s="124" t="n">
        <f aca="false">VLOOKUP($A344,Table,MATCH(J$4,Curves,0))</f>
        <v>4</v>
      </c>
      <c r="K344" s="125" t="n">
        <f aca="false">J344+$K$7</f>
        <v>4</v>
      </c>
      <c r="L344" s="126" t="n">
        <f aca="false">K344</f>
        <v>4</v>
      </c>
      <c r="M344" s="124" t="n">
        <f aca="false">VLOOKUP($A344,Table,MATCH(M$4,Curves,0))</f>
        <v>4</v>
      </c>
      <c r="N344" s="125" t="n">
        <f aca="false">M344+$N$7</f>
        <v>4</v>
      </c>
      <c r="O344" s="126" t="n">
        <v>0.12</v>
      </c>
      <c r="P344" s="114"/>
      <c r="Q344" s="126" t="n">
        <f aca="false">M344+J344+G344</f>
        <v>11</v>
      </c>
      <c r="R344" s="126" t="n">
        <f aca="false">N344+K344+H344</f>
        <v>11</v>
      </c>
      <c r="S344" s="126" t="n">
        <f aca="false">O344+L344+I344</f>
        <v>7.12</v>
      </c>
      <c r="T344" s="127"/>
      <c r="U344" s="5" t="n">
        <f aca="false">A345-A344</f>
        <v>31</v>
      </c>
      <c r="V344" s="128" t="n">
        <f aca="false">CHOOSE(F$3,A345+24,A344)</f>
        <v>47453</v>
      </c>
      <c r="W344" s="5" t="n">
        <f aca="false">V344-C$3</f>
        <v>10222</v>
      </c>
      <c r="X344" s="124" t="n">
        <f aca="false">VLOOKUP($A344,Table,MATCH(X$4,Curves,0))</f>
        <v>2</v>
      </c>
      <c r="Y344" s="129" t="n">
        <f aca="false">1/(1+CHOOSE(F$3,(X345+($K$3/10000))/2,(X344+($K$3/10000))/2))^(2*W344/365.25)</f>
        <v>1.41436660949288E-017</v>
      </c>
      <c r="Z344" s="5" t="n">
        <f aca="false">IF(AND(mthbeg&lt;=A344,mthend&gt;=A344),1,0)</f>
        <v>0</v>
      </c>
      <c r="AA344" s="5" t="n">
        <f aca="false">U344*Z344</f>
        <v>0</v>
      </c>
      <c r="AC344" s="115" t="n">
        <f aca="false">IF(G337=2,F344*(S344-Q344),F344*(Q344-S344))</f>
        <v>0</v>
      </c>
      <c r="AE344" s="116" t="n">
        <f aca="false">IF($G$3=1,F344*(R344-Q344),F344*(Q344-R344))</f>
        <v>0</v>
      </c>
      <c r="AG344" s="116" t="n">
        <f aca="false">AC344+AE344</f>
        <v>0</v>
      </c>
    </row>
    <row r="345" customFormat="false" ht="12" hidden="false" customHeight="true" outlineLevel="0" collapsed="false">
      <c r="A345" s="120" t="n">
        <f aca="false">EDATE(A344,1)</f>
        <v>47484</v>
      </c>
      <c r="B345" s="121" t="e">
        <f aca="false">VLOOKUP(A345,'Inputs-Summary'!$A$32:$E$41,3,FALSE())</f>
        <v>#N/A</v>
      </c>
      <c r="C345" s="122"/>
      <c r="D345" s="123" t="e">
        <f aca="false">B345+C345</f>
        <v>#N/A</v>
      </c>
      <c r="E345" s="111" t="n">
        <f aca="false">IF(Z345=0,0,IF(AND(Z345=1,$H$3=1),D345*U345,IF($H$3=2,D345,"N/A")))</f>
        <v>0</v>
      </c>
      <c r="F345" s="111" t="n">
        <f aca="false">E345*Y345</f>
        <v>0</v>
      </c>
      <c r="G345" s="124" t="n">
        <f aca="false">VLOOKUP($A345,Table,MATCH(G$4,Curves,0))</f>
        <v>3</v>
      </c>
      <c r="H345" s="125" t="n">
        <f aca="false">G345+$H$7</f>
        <v>3</v>
      </c>
      <c r="I345" s="124" t="n">
        <f aca="false">H345</f>
        <v>3</v>
      </c>
      <c r="J345" s="124" t="n">
        <f aca="false">VLOOKUP($A345,Table,MATCH(J$4,Curves,0))</f>
        <v>4</v>
      </c>
      <c r="K345" s="125" t="n">
        <f aca="false">J345+$K$7</f>
        <v>4</v>
      </c>
      <c r="L345" s="126" t="n">
        <f aca="false">K345</f>
        <v>4</v>
      </c>
      <c r="M345" s="124" t="n">
        <f aca="false">VLOOKUP($A345,Table,MATCH(M$4,Curves,0))</f>
        <v>4</v>
      </c>
      <c r="N345" s="125" t="n">
        <f aca="false">M345+$N$7</f>
        <v>4</v>
      </c>
      <c r="O345" s="126" t="n">
        <v>0.12</v>
      </c>
      <c r="P345" s="114"/>
      <c r="Q345" s="126" t="n">
        <f aca="false">M345+J345+G345</f>
        <v>11</v>
      </c>
      <c r="R345" s="126" t="n">
        <f aca="false">N345+K345+H345</f>
        <v>11</v>
      </c>
      <c r="S345" s="126" t="n">
        <f aca="false">O345+L345+I345</f>
        <v>7.12</v>
      </c>
      <c r="T345" s="127"/>
      <c r="U345" s="5" t="n">
        <f aca="false">A346-A345</f>
        <v>31</v>
      </c>
      <c r="V345" s="128" t="n">
        <f aca="false">CHOOSE(F$3,A346+24,A345)</f>
        <v>47484</v>
      </c>
      <c r="W345" s="5" t="n">
        <f aca="false">V345-C$3</f>
        <v>10253</v>
      </c>
      <c r="X345" s="124" t="n">
        <f aca="false">VLOOKUP($A345,Table,MATCH(X$4,Curves,0))</f>
        <v>2</v>
      </c>
      <c r="Y345" s="129" t="n">
        <f aca="false">1/(1+CHOOSE(F$3,(X346+($K$3/10000))/2,(X345+($K$3/10000))/2))^(2*W345/365.25)</f>
        <v>1.25737010915643E-017</v>
      </c>
      <c r="Z345" s="5" t="n">
        <f aca="false">IF(AND(mthbeg&lt;=A345,mthend&gt;=A345),1,0)</f>
        <v>0</v>
      </c>
      <c r="AA345" s="5" t="n">
        <f aca="false">U345*Z345</f>
        <v>0</v>
      </c>
      <c r="AC345" s="115" t="n">
        <f aca="false">IF(G338=2,F345*(S345-Q345),F345*(Q345-S345))</f>
        <v>0</v>
      </c>
      <c r="AE345" s="116" t="n">
        <f aca="false">IF($G$3=1,F345*(R345-Q345),F345*(Q345-R345))</f>
        <v>0</v>
      </c>
      <c r="AG345" s="116" t="n">
        <f aca="false">AC345+AE345</f>
        <v>0</v>
      </c>
    </row>
    <row r="346" customFormat="false" ht="12" hidden="false" customHeight="true" outlineLevel="0" collapsed="false">
      <c r="A346" s="120" t="n">
        <f aca="false">EDATE(A345,1)</f>
        <v>47515</v>
      </c>
      <c r="B346" s="121" t="e">
        <f aca="false">VLOOKUP(A346,'Inputs-Summary'!$A$32:$E$41,3,FALSE())</f>
        <v>#N/A</v>
      </c>
      <c r="C346" s="122"/>
      <c r="D346" s="123" t="e">
        <f aca="false">B346+C346</f>
        <v>#N/A</v>
      </c>
      <c r="E346" s="111" t="n">
        <f aca="false">IF(Z346=0,0,IF(AND(Z346=1,$H$3=1),D346*U346,IF($H$3=2,D346,"N/A")))</f>
        <v>0</v>
      </c>
      <c r="F346" s="111" t="n">
        <f aca="false">E346*Y346</f>
        <v>0</v>
      </c>
      <c r="G346" s="124" t="n">
        <f aca="false">VLOOKUP($A346,Table,MATCH(G$4,Curves,0))</f>
        <v>3</v>
      </c>
      <c r="H346" s="125" t="n">
        <f aca="false">G346+$H$7</f>
        <v>3</v>
      </c>
      <c r="I346" s="124" t="n">
        <f aca="false">H346</f>
        <v>3</v>
      </c>
      <c r="J346" s="124" t="n">
        <f aca="false">VLOOKUP($A346,Table,MATCH(J$4,Curves,0))</f>
        <v>4</v>
      </c>
      <c r="K346" s="125" t="n">
        <f aca="false">J346+$K$7</f>
        <v>4</v>
      </c>
      <c r="L346" s="126" t="n">
        <f aca="false">K346</f>
        <v>4</v>
      </c>
      <c r="M346" s="124" t="n">
        <f aca="false">VLOOKUP($A346,Table,MATCH(M$4,Curves,0))</f>
        <v>4</v>
      </c>
      <c r="N346" s="125" t="n">
        <f aca="false">M346+$N$7</f>
        <v>4</v>
      </c>
      <c r="O346" s="126" t="n">
        <v>0.12</v>
      </c>
      <c r="P346" s="114"/>
      <c r="Q346" s="126" t="n">
        <f aca="false">M346+J346+G346</f>
        <v>11</v>
      </c>
      <c r="R346" s="126" t="n">
        <f aca="false">N346+K346+H346</f>
        <v>11</v>
      </c>
      <c r="S346" s="126" t="n">
        <f aca="false">O346+L346+I346</f>
        <v>7.12</v>
      </c>
      <c r="T346" s="127"/>
      <c r="U346" s="5" t="n">
        <f aca="false">A347-A346</f>
        <v>28</v>
      </c>
      <c r="V346" s="128" t="n">
        <f aca="false">CHOOSE(F$3,A347+24,A346)</f>
        <v>47515</v>
      </c>
      <c r="W346" s="5" t="n">
        <f aca="false">V346-C$3</f>
        <v>10284</v>
      </c>
      <c r="X346" s="124" t="n">
        <f aca="false">VLOOKUP($A346,Table,MATCH(X$4,Curves,0))</f>
        <v>2</v>
      </c>
      <c r="Y346" s="129" t="n">
        <f aca="false">1/(1+CHOOSE(F$3,(X347+($K$3/10000))/2,(X346+($K$3/10000))/2))^(2*W346/365.25)</f>
        <v>1.11780042090142E-017</v>
      </c>
      <c r="Z346" s="5" t="n">
        <f aca="false">IF(AND(mthbeg&lt;=A346,mthend&gt;=A346),1,0)</f>
        <v>0</v>
      </c>
      <c r="AA346" s="5" t="n">
        <f aca="false">U346*Z346</f>
        <v>0</v>
      </c>
      <c r="AC346" s="115" t="n">
        <f aca="false">IF(G339=2,F346*(S346-Q346),F346*(Q346-S346))</f>
        <v>0</v>
      </c>
      <c r="AE346" s="116" t="n">
        <f aca="false">IF($G$3=1,F346*(R346-Q346),F346*(Q346-R346))</f>
        <v>0</v>
      </c>
      <c r="AG346" s="116" t="n">
        <f aca="false">AC346+AE346</f>
        <v>0</v>
      </c>
    </row>
    <row r="347" customFormat="false" ht="12" hidden="false" customHeight="true" outlineLevel="0" collapsed="false">
      <c r="A347" s="120" t="n">
        <f aca="false">EDATE(A346,1)</f>
        <v>47543</v>
      </c>
      <c r="B347" s="121" t="e">
        <f aca="false">VLOOKUP(A347,'Inputs-Summary'!$A$32:$E$41,3,FALSE())</f>
        <v>#N/A</v>
      </c>
      <c r="C347" s="122"/>
      <c r="D347" s="123" t="e">
        <f aca="false">B347+C347</f>
        <v>#N/A</v>
      </c>
      <c r="E347" s="111" t="n">
        <f aca="false">IF(Z347=0,0,IF(AND(Z347=1,$H$3=1),D347*U347,IF($H$3=2,D347,"N/A")))</f>
        <v>0</v>
      </c>
      <c r="F347" s="111" t="n">
        <f aca="false">E347*Y347</f>
        <v>0</v>
      </c>
      <c r="G347" s="124" t="n">
        <f aca="false">VLOOKUP($A347,Table,MATCH(G$4,Curves,0))</f>
        <v>3</v>
      </c>
      <c r="H347" s="125" t="n">
        <f aca="false">G347+$H$7</f>
        <v>3</v>
      </c>
      <c r="I347" s="124" t="n">
        <f aca="false">H347</f>
        <v>3</v>
      </c>
      <c r="J347" s="124" t="n">
        <f aca="false">VLOOKUP($A347,Table,MATCH(J$4,Curves,0))</f>
        <v>4</v>
      </c>
      <c r="K347" s="125" t="n">
        <f aca="false">J347+$K$7</f>
        <v>4</v>
      </c>
      <c r="L347" s="126" t="n">
        <f aca="false">K347</f>
        <v>4</v>
      </c>
      <c r="M347" s="124" t="n">
        <f aca="false">VLOOKUP($A347,Table,MATCH(M$4,Curves,0))</f>
        <v>4</v>
      </c>
      <c r="N347" s="125" t="n">
        <f aca="false">M347+$N$7</f>
        <v>4</v>
      </c>
      <c r="O347" s="126" t="n">
        <v>0.12</v>
      </c>
      <c r="P347" s="114"/>
      <c r="Q347" s="126" t="n">
        <f aca="false">M347+J347+G347</f>
        <v>11</v>
      </c>
      <c r="R347" s="126" t="n">
        <f aca="false">N347+K347+H347</f>
        <v>11</v>
      </c>
      <c r="S347" s="126" t="n">
        <f aca="false">O347+L347+I347</f>
        <v>7.12</v>
      </c>
      <c r="T347" s="127"/>
      <c r="U347" s="5" t="n">
        <f aca="false">A348-A347</f>
        <v>31</v>
      </c>
      <c r="V347" s="128" t="n">
        <f aca="false">CHOOSE(F$3,A348+24,A347)</f>
        <v>47543</v>
      </c>
      <c r="W347" s="5" t="n">
        <f aca="false">V347-C$3</f>
        <v>10312</v>
      </c>
      <c r="X347" s="124" t="n">
        <f aca="false">VLOOKUP($A347,Table,MATCH(X$4,Curves,0))</f>
        <v>2</v>
      </c>
      <c r="Y347" s="129" t="n">
        <f aca="false">1/(1+CHOOSE(F$3,(X348+($K$3/10000))/2,(X347+($K$3/10000))/2))^(2*W347/365.25)</f>
        <v>1.00510274023925E-017</v>
      </c>
      <c r="Z347" s="5" t="n">
        <f aca="false">IF(AND(mthbeg&lt;=A347,mthend&gt;=A347),1,0)</f>
        <v>0</v>
      </c>
      <c r="AA347" s="5" t="n">
        <f aca="false">U347*Z347</f>
        <v>0</v>
      </c>
      <c r="AC347" s="115" t="n">
        <f aca="false">IF(G340=2,F347*(S347-Q347),F347*(Q347-S347))</f>
        <v>0</v>
      </c>
      <c r="AE347" s="116" t="n">
        <f aca="false">IF($G$3=1,F347*(R347-Q347),F347*(Q347-R347))</f>
        <v>0</v>
      </c>
      <c r="AG347" s="116" t="n">
        <f aca="false">AC347+AE347</f>
        <v>0</v>
      </c>
    </row>
    <row r="348" customFormat="false" ht="12" hidden="false" customHeight="true" outlineLevel="0" collapsed="false">
      <c r="A348" s="120" t="n">
        <f aca="false">EDATE(A347,1)</f>
        <v>47574</v>
      </c>
      <c r="B348" s="121" t="e">
        <f aca="false">VLOOKUP(A348,'Inputs-Summary'!$A$32:$E$41,3,FALSE())</f>
        <v>#N/A</v>
      </c>
      <c r="C348" s="122"/>
      <c r="D348" s="123" t="e">
        <f aca="false">B348+C348</f>
        <v>#N/A</v>
      </c>
      <c r="E348" s="111" t="n">
        <f aca="false">IF(Z348=0,0,IF(AND(Z348=1,$H$3=1),D348*U348,IF($H$3=2,D348,"N/A")))</f>
        <v>0</v>
      </c>
      <c r="F348" s="111" t="n">
        <f aca="false">E348*Y348</f>
        <v>0</v>
      </c>
      <c r="G348" s="124" t="n">
        <f aca="false">VLOOKUP($A348,Table,MATCH(G$4,Curves,0))</f>
        <v>3</v>
      </c>
      <c r="H348" s="125" t="n">
        <f aca="false">G348+$H$7</f>
        <v>3</v>
      </c>
      <c r="I348" s="124" t="n">
        <f aca="false">H348</f>
        <v>3</v>
      </c>
      <c r="J348" s="124" t="n">
        <f aca="false">VLOOKUP($A348,Table,MATCH(J$4,Curves,0))</f>
        <v>4</v>
      </c>
      <c r="K348" s="125" t="n">
        <f aca="false">J348+$K$7</f>
        <v>4</v>
      </c>
      <c r="L348" s="126" t="n">
        <f aca="false">K348</f>
        <v>4</v>
      </c>
      <c r="M348" s="124" t="n">
        <f aca="false">VLOOKUP($A348,Table,MATCH(M$4,Curves,0))</f>
        <v>4</v>
      </c>
      <c r="N348" s="125" t="n">
        <f aca="false">M348+$N$7</f>
        <v>4</v>
      </c>
      <c r="O348" s="126" t="n">
        <v>0.12</v>
      </c>
      <c r="P348" s="114"/>
      <c r="Q348" s="126" t="n">
        <f aca="false">M348+J348+G348</f>
        <v>11</v>
      </c>
      <c r="R348" s="126" t="n">
        <f aca="false">N348+K348+H348</f>
        <v>11</v>
      </c>
      <c r="S348" s="126" t="n">
        <f aca="false">O348+L348+I348</f>
        <v>7.12</v>
      </c>
      <c r="T348" s="127"/>
      <c r="U348" s="5" t="n">
        <f aca="false">A349-A348</f>
        <v>30</v>
      </c>
      <c r="V348" s="128" t="n">
        <f aca="false">CHOOSE(F$3,A349+24,A348)</f>
        <v>47574</v>
      </c>
      <c r="W348" s="5" t="n">
        <f aca="false">V348-C$3</f>
        <v>10343</v>
      </c>
      <c r="X348" s="124" t="n">
        <f aca="false">VLOOKUP($A348,Table,MATCH(X$4,Curves,0))</f>
        <v>2</v>
      </c>
      <c r="Y348" s="129" t="n">
        <f aca="false">1/(1+CHOOSE(F$3,(X349+($K$3/10000))/2,(X348+($K$3/10000))/2))^(2*W348/365.25)</f>
        <v>8.93535052175182E-018</v>
      </c>
      <c r="Z348" s="5" t="n">
        <f aca="false">IF(AND(mthbeg&lt;=A348,mthend&gt;=A348),1,0)</f>
        <v>0</v>
      </c>
      <c r="AA348" s="5" t="n">
        <f aca="false">U348*Z348</f>
        <v>0</v>
      </c>
      <c r="AC348" s="115" t="n">
        <f aca="false">IF(G341=2,F348*(S348-Q348),F348*(Q348-S348))</f>
        <v>0</v>
      </c>
      <c r="AE348" s="116" t="n">
        <f aca="false">IF($G$3=1,F348*(R348-Q348),F348*(Q348-R348))</f>
        <v>0</v>
      </c>
      <c r="AG348" s="116" t="n">
        <f aca="false">AC348+AE348</f>
        <v>0</v>
      </c>
    </row>
    <row r="349" customFormat="false" ht="12" hidden="false" customHeight="true" outlineLevel="0" collapsed="false">
      <c r="A349" s="120" t="n">
        <f aca="false">EDATE(A348,1)</f>
        <v>47604</v>
      </c>
      <c r="B349" s="121" t="e">
        <f aca="false">VLOOKUP(A349,'Inputs-Summary'!$A$32:$E$41,3,FALSE())</f>
        <v>#N/A</v>
      </c>
      <c r="C349" s="122"/>
      <c r="D349" s="123" t="e">
        <f aca="false">B349+C349</f>
        <v>#N/A</v>
      </c>
      <c r="E349" s="111" t="n">
        <f aca="false">IF(Z349=0,0,IF(AND(Z349=1,$H$3=1),D349*U349,IF($H$3=2,D349,"N/A")))</f>
        <v>0</v>
      </c>
      <c r="F349" s="111" t="n">
        <f aca="false">E349*Y349</f>
        <v>0</v>
      </c>
      <c r="G349" s="124" t="n">
        <f aca="false">VLOOKUP($A349,Table,MATCH(G$4,Curves,0))</f>
        <v>3</v>
      </c>
      <c r="H349" s="125" t="n">
        <f aca="false">G349+$H$7</f>
        <v>3</v>
      </c>
      <c r="I349" s="124" t="n">
        <f aca="false">H349</f>
        <v>3</v>
      </c>
      <c r="J349" s="124" t="n">
        <f aca="false">VLOOKUP($A349,Table,MATCH(J$4,Curves,0))</f>
        <v>4</v>
      </c>
      <c r="K349" s="125" t="n">
        <f aca="false">J349+$K$7</f>
        <v>4</v>
      </c>
      <c r="L349" s="126" t="n">
        <f aca="false">K349</f>
        <v>4</v>
      </c>
      <c r="M349" s="124" t="n">
        <f aca="false">VLOOKUP($A349,Table,MATCH(M$4,Curves,0))</f>
        <v>4</v>
      </c>
      <c r="N349" s="125" t="n">
        <f aca="false">M349+$N$7</f>
        <v>4</v>
      </c>
      <c r="O349" s="126" t="n">
        <v>0.12</v>
      </c>
      <c r="P349" s="114"/>
      <c r="Q349" s="126" t="n">
        <f aca="false">M349+J349+G349</f>
        <v>11</v>
      </c>
      <c r="R349" s="126" t="n">
        <f aca="false">N349+K349+H349</f>
        <v>11</v>
      </c>
      <c r="S349" s="126" t="n">
        <f aca="false">O349+L349+I349</f>
        <v>7.12</v>
      </c>
      <c r="T349" s="127"/>
      <c r="U349" s="5" t="n">
        <f aca="false">A350-A349</f>
        <v>31</v>
      </c>
      <c r="V349" s="128" t="n">
        <f aca="false">CHOOSE(F$3,A350+24,A349)</f>
        <v>47604</v>
      </c>
      <c r="W349" s="5" t="n">
        <f aca="false">V349-C$3</f>
        <v>10373</v>
      </c>
      <c r="X349" s="124" t="n">
        <f aca="false">VLOOKUP($A349,Table,MATCH(X$4,Curves,0))</f>
        <v>2</v>
      </c>
      <c r="Y349" s="129" t="n">
        <f aca="false">1/(1+CHOOSE(F$3,(X350+($K$3/10000))/2,(X349+($K$3/10000))/2))^(2*W349/365.25)</f>
        <v>7.97372183855626E-018</v>
      </c>
      <c r="Z349" s="5" t="n">
        <f aca="false">IF(AND(mthbeg&lt;=A349,mthend&gt;=A349),1,0)</f>
        <v>0</v>
      </c>
      <c r="AA349" s="5" t="n">
        <f aca="false">U349*Z349</f>
        <v>0</v>
      </c>
      <c r="AC349" s="115" t="n">
        <f aca="false">IF(G342=2,F349*(S349-Q349),F349*(Q349-S349))</f>
        <v>0</v>
      </c>
      <c r="AE349" s="116" t="n">
        <f aca="false">IF($G$3=1,F349*(R349-Q349),F349*(Q349-R349))</f>
        <v>0</v>
      </c>
      <c r="AG349" s="116" t="n">
        <f aca="false">AC349+AE349</f>
        <v>0</v>
      </c>
    </row>
    <row r="350" customFormat="false" ht="12" hidden="false" customHeight="true" outlineLevel="0" collapsed="false">
      <c r="A350" s="120" t="n">
        <f aca="false">EDATE(A349,1)</f>
        <v>47635</v>
      </c>
      <c r="B350" s="121" t="e">
        <f aca="false">VLOOKUP(A350,'Inputs-Summary'!$A$32:$E$41,3,FALSE())</f>
        <v>#N/A</v>
      </c>
      <c r="C350" s="122"/>
      <c r="D350" s="123" t="e">
        <f aca="false">B350+C350</f>
        <v>#N/A</v>
      </c>
      <c r="E350" s="111" t="n">
        <f aca="false">IF(Z350=0,0,IF(AND(Z350=1,$H$3=1),D350*U350,IF($H$3=2,D350,"N/A")))</f>
        <v>0</v>
      </c>
      <c r="F350" s="111" t="n">
        <f aca="false">E350*Y350</f>
        <v>0</v>
      </c>
      <c r="G350" s="124" t="n">
        <f aca="false">VLOOKUP($A350,Table,MATCH(G$4,Curves,0))</f>
        <v>3</v>
      </c>
      <c r="H350" s="125" t="n">
        <f aca="false">G350+$H$7</f>
        <v>3</v>
      </c>
      <c r="I350" s="124" t="n">
        <f aca="false">H350</f>
        <v>3</v>
      </c>
      <c r="J350" s="124" t="n">
        <f aca="false">VLOOKUP($A350,Table,MATCH(J$4,Curves,0))</f>
        <v>4</v>
      </c>
      <c r="K350" s="125" t="n">
        <f aca="false">J350+$K$7</f>
        <v>4</v>
      </c>
      <c r="L350" s="126" t="n">
        <f aca="false">K350</f>
        <v>4</v>
      </c>
      <c r="M350" s="124" t="n">
        <f aca="false">VLOOKUP($A350,Table,MATCH(M$4,Curves,0))</f>
        <v>4</v>
      </c>
      <c r="N350" s="125" t="n">
        <f aca="false">M350+$N$7</f>
        <v>4</v>
      </c>
      <c r="O350" s="126" t="n">
        <v>0.12</v>
      </c>
      <c r="P350" s="114"/>
      <c r="Q350" s="126" t="n">
        <f aca="false">M350+J350+G350</f>
        <v>11</v>
      </c>
      <c r="R350" s="126" t="n">
        <f aca="false">N350+K350+H350</f>
        <v>11</v>
      </c>
      <c r="S350" s="126" t="n">
        <f aca="false">O350+L350+I350</f>
        <v>7.12</v>
      </c>
      <c r="T350" s="127"/>
      <c r="U350" s="5" t="n">
        <f aca="false">A351-A350</f>
        <v>30</v>
      </c>
      <c r="V350" s="128" t="n">
        <f aca="false">CHOOSE(F$3,A351+24,A350)</f>
        <v>47635</v>
      </c>
      <c r="W350" s="5" t="n">
        <f aca="false">V350-C$3</f>
        <v>10404</v>
      </c>
      <c r="X350" s="124" t="n">
        <f aca="false">VLOOKUP($A350,Table,MATCH(X$4,Curves,0))</f>
        <v>2</v>
      </c>
      <c r="Y350" s="129" t="n">
        <f aca="false">1/(1+CHOOSE(F$3,(X351+($K$3/10000))/2,(X350+($K$3/10000))/2))^(2*W350/365.25)</f>
        <v>7.08862852900868E-018</v>
      </c>
      <c r="Z350" s="5" t="n">
        <f aca="false">IF(AND(mthbeg&lt;=A350,mthend&gt;=A350),1,0)</f>
        <v>0</v>
      </c>
      <c r="AA350" s="5" t="n">
        <f aca="false">U350*Z350</f>
        <v>0</v>
      </c>
      <c r="AC350" s="115" t="n">
        <f aca="false">IF(G343=2,F350*(S350-Q350),F350*(Q350-S350))</f>
        <v>0</v>
      </c>
      <c r="AE350" s="116" t="n">
        <f aca="false">IF($G$3=1,F350*(R350-Q350),F350*(Q350-R350))</f>
        <v>0</v>
      </c>
      <c r="AG350" s="116" t="n">
        <f aca="false">AC350+AE350</f>
        <v>0</v>
      </c>
    </row>
    <row r="351" customFormat="false" ht="12" hidden="false" customHeight="true" outlineLevel="0" collapsed="false">
      <c r="A351" s="120" t="n">
        <f aca="false">EDATE(A350,1)</f>
        <v>47665</v>
      </c>
      <c r="B351" s="121" t="e">
        <f aca="false">VLOOKUP(A351,'Inputs-Summary'!$A$32:$E$41,3,FALSE())</f>
        <v>#N/A</v>
      </c>
      <c r="C351" s="122"/>
      <c r="D351" s="123" t="e">
        <f aca="false">B351+C351</f>
        <v>#N/A</v>
      </c>
      <c r="E351" s="111" t="n">
        <f aca="false">IF(Z351=0,0,IF(AND(Z351=1,$H$3=1),D351*U351,IF($H$3=2,D351,"N/A")))</f>
        <v>0</v>
      </c>
      <c r="F351" s="111" t="n">
        <f aca="false">E351*Y351</f>
        <v>0</v>
      </c>
      <c r="G351" s="124" t="n">
        <f aca="false">VLOOKUP($A351,Table,MATCH(G$4,Curves,0))</f>
        <v>3</v>
      </c>
      <c r="H351" s="125" t="n">
        <f aca="false">G351+$H$7</f>
        <v>3</v>
      </c>
      <c r="I351" s="124" t="n">
        <f aca="false">H351</f>
        <v>3</v>
      </c>
      <c r="J351" s="124" t="n">
        <f aca="false">VLOOKUP($A351,Table,MATCH(J$4,Curves,0))</f>
        <v>4</v>
      </c>
      <c r="K351" s="125" t="n">
        <f aca="false">J351+$K$7</f>
        <v>4</v>
      </c>
      <c r="L351" s="126" t="n">
        <f aca="false">K351</f>
        <v>4</v>
      </c>
      <c r="M351" s="124" t="n">
        <f aca="false">VLOOKUP($A351,Table,MATCH(M$4,Curves,0))</f>
        <v>4</v>
      </c>
      <c r="N351" s="125" t="n">
        <f aca="false">M351+$N$7</f>
        <v>4</v>
      </c>
      <c r="O351" s="126" t="n">
        <v>0.12</v>
      </c>
      <c r="P351" s="114"/>
      <c r="Q351" s="126" t="n">
        <f aca="false">M351+J351+G351</f>
        <v>11</v>
      </c>
      <c r="R351" s="126" t="n">
        <f aca="false">N351+K351+H351</f>
        <v>11</v>
      </c>
      <c r="S351" s="126" t="n">
        <f aca="false">O351+L351+I351</f>
        <v>7.12</v>
      </c>
      <c r="T351" s="127"/>
      <c r="U351" s="5" t="n">
        <f aca="false">A352-A351</f>
        <v>31</v>
      </c>
      <c r="V351" s="128" t="n">
        <f aca="false">CHOOSE(F$3,A352+24,A351)</f>
        <v>47665</v>
      </c>
      <c r="W351" s="5" t="n">
        <f aca="false">V351-C$3</f>
        <v>10434</v>
      </c>
      <c r="X351" s="124" t="n">
        <f aca="false">VLOOKUP($A351,Table,MATCH(X$4,Curves,0))</f>
        <v>2</v>
      </c>
      <c r="Y351" s="129" t="n">
        <f aca="false">1/(1+CHOOSE(F$3,(X352+($K$3/10000))/2,(X351+($K$3/10000))/2))^(2*W351/365.25)</f>
        <v>6.32574536047276E-018</v>
      </c>
      <c r="Z351" s="5" t="n">
        <f aca="false">IF(AND(mthbeg&lt;=A351,mthend&gt;=A351),1,0)</f>
        <v>0</v>
      </c>
      <c r="AA351" s="5" t="n">
        <f aca="false">U351*Z351</f>
        <v>0</v>
      </c>
      <c r="AC351" s="115" t="n">
        <f aca="false">IF(G344=2,F351*(S351-Q351),F351*(Q351-S351))</f>
        <v>0</v>
      </c>
      <c r="AE351" s="116" t="n">
        <f aca="false">IF($G$3=1,F351*(R351-Q351),F351*(Q351-R351))</f>
        <v>0</v>
      </c>
      <c r="AG351" s="116" t="n">
        <f aca="false">AC351+AE351</f>
        <v>0</v>
      </c>
    </row>
    <row r="352" customFormat="false" ht="12" hidden="false" customHeight="true" outlineLevel="0" collapsed="false">
      <c r="A352" s="120" t="n">
        <f aca="false">EDATE(A351,1)</f>
        <v>47696</v>
      </c>
      <c r="B352" s="121" t="e">
        <f aca="false">VLOOKUP(A352,'Inputs-Summary'!$A$32:$E$41,3,FALSE())</f>
        <v>#N/A</v>
      </c>
      <c r="C352" s="122"/>
      <c r="D352" s="123" t="e">
        <f aca="false">B352+C352</f>
        <v>#N/A</v>
      </c>
      <c r="E352" s="111" t="n">
        <f aca="false">IF(Z352=0,0,IF(AND(Z352=1,$H$3=1),D352*U352,IF($H$3=2,D352,"N/A")))</f>
        <v>0</v>
      </c>
      <c r="F352" s="111" t="n">
        <f aca="false">E352*Y352</f>
        <v>0</v>
      </c>
      <c r="G352" s="124" t="n">
        <f aca="false">VLOOKUP($A352,Table,MATCH(G$4,Curves,0))</f>
        <v>3</v>
      </c>
      <c r="H352" s="125" t="n">
        <f aca="false">G352+$H$7</f>
        <v>3</v>
      </c>
      <c r="I352" s="124" t="n">
        <f aca="false">H352</f>
        <v>3</v>
      </c>
      <c r="J352" s="124" t="n">
        <f aca="false">VLOOKUP($A352,Table,MATCH(J$4,Curves,0))</f>
        <v>4</v>
      </c>
      <c r="K352" s="125" t="n">
        <f aca="false">J352+$K$7</f>
        <v>4</v>
      </c>
      <c r="L352" s="126" t="n">
        <f aca="false">K352</f>
        <v>4</v>
      </c>
      <c r="M352" s="124" t="n">
        <f aca="false">VLOOKUP($A352,Table,MATCH(M$4,Curves,0))</f>
        <v>4</v>
      </c>
      <c r="N352" s="125" t="n">
        <f aca="false">M352+$N$7</f>
        <v>4</v>
      </c>
      <c r="O352" s="126" t="n">
        <v>0.12</v>
      </c>
      <c r="P352" s="114"/>
      <c r="Q352" s="126" t="n">
        <f aca="false">M352+J352+G352</f>
        <v>11</v>
      </c>
      <c r="R352" s="126" t="n">
        <f aca="false">N352+K352+H352</f>
        <v>11</v>
      </c>
      <c r="S352" s="126" t="n">
        <f aca="false">O352+L352+I352</f>
        <v>7.12</v>
      </c>
      <c r="T352" s="127"/>
      <c r="U352" s="5" t="n">
        <f aca="false">A353-A352</f>
        <v>31</v>
      </c>
      <c r="V352" s="128" t="n">
        <f aca="false">CHOOSE(F$3,A353+24,A352)</f>
        <v>47696</v>
      </c>
      <c r="W352" s="5" t="n">
        <f aca="false">V352-C$3</f>
        <v>10465</v>
      </c>
      <c r="X352" s="124" t="n">
        <f aca="false">VLOOKUP($A352,Table,MATCH(X$4,Curves,0))</f>
        <v>2</v>
      </c>
      <c r="Y352" s="129" t="n">
        <f aca="false">1/(1+CHOOSE(F$3,(X353+($K$3/10000))/2,(X352+($K$3/10000))/2))^(2*W352/365.25)</f>
        <v>5.62357954508362E-018</v>
      </c>
      <c r="Z352" s="5" t="n">
        <f aca="false">IF(AND(mthbeg&lt;=A352,mthend&gt;=A352),1,0)</f>
        <v>0</v>
      </c>
      <c r="AA352" s="5" t="n">
        <f aca="false">U352*Z352</f>
        <v>0</v>
      </c>
      <c r="AC352" s="115" t="n">
        <f aca="false">IF(G345=2,F352*(S352-Q352),F352*(Q352-S352))</f>
        <v>0</v>
      </c>
      <c r="AE352" s="116" t="n">
        <f aca="false">IF($G$3=1,F352*(R352-Q352),F352*(Q352-R352))</f>
        <v>0</v>
      </c>
      <c r="AG352" s="116" t="n">
        <f aca="false">AC352+AE352</f>
        <v>0</v>
      </c>
    </row>
    <row r="353" customFormat="false" ht="12" hidden="false" customHeight="true" outlineLevel="0" collapsed="false">
      <c r="A353" s="120" t="n">
        <f aca="false">EDATE(A352,1)</f>
        <v>47727</v>
      </c>
      <c r="B353" s="121" t="e">
        <f aca="false">VLOOKUP(A353,'Inputs-Summary'!$A$32:$E$41,3,FALSE())</f>
        <v>#N/A</v>
      </c>
      <c r="C353" s="122"/>
      <c r="D353" s="123" t="e">
        <f aca="false">B353+C353</f>
        <v>#N/A</v>
      </c>
      <c r="E353" s="111" t="n">
        <f aca="false">IF(Z353=0,0,IF(AND(Z353=1,$H$3=1),D353*U353,IF($H$3=2,D353,"N/A")))</f>
        <v>0</v>
      </c>
      <c r="F353" s="111" t="n">
        <f aca="false">E353*Y353</f>
        <v>0</v>
      </c>
      <c r="G353" s="124" t="n">
        <f aca="false">VLOOKUP($A353,Table,MATCH(G$4,Curves,0))</f>
        <v>3</v>
      </c>
      <c r="H353" s="125" t="n">
        <f aca="false">G353+$H$7</f>
        <v>3</v>
      </c>
      <c r="I353" s="124" t="n">
        <f aca="false">H353</f>
        <v>3</v>
      </c>
      <c r="J353" s="124" t="n">
        <f aca="false">VLOOKUP($A353,Table,MATCH(J$4,Curves,0))</f>
        <v>4</v>
      </c>
      <c r="K353" s="125" t="n">
        <f aca="false">J353+$K$7</f>
        <v>4</v>
      </c>
      <c r="L353" s="126" t="n">
        <f aca="false">K353</f>
        <v>4</v>
      </c>
      <c r="M353" s="124" t="n">
        <f aca="false">VLOOKUP($A353,Table,MATCH(M$4,Curves,0))</f>
        <v>4</v>
      </c>
      <c r="N353" s="125" t="n">
        <f aca="false">M353+$N$7</f>
        <v>4</v>
      </c>
      <c r="O353" s="126" t="n">
        <v>0.12</v>
      </c>
      <c r="P353" s="114"/>
      <c r="Q353" s="126" t="n">
        <f aca="false">M353+J353+G353</f>
        <v>11</v>
      </c>
      <c r="R353" s="126" t="n">
        <f aca="false">N353+K353+H353</f>
        <v>11</v>
      </c>
      <c r="S353" s="126" t="n">
        <f aca="false">O353+L353+I353</f>
        <v>7.12</v>
      </c>
      <c r="T353" s="127"/>
      <c r="U353" s="5" t="n">
        <f aca="false">A354-A353</f>
        <v>30</v>
      </c>
      <c r="V353" s="128" t="n">
        <f aca="false">CHOOSE(F$3,A354+24,A353)</f>
        <v>47727</v>
      </c>
      <c r="W353" s="5" t="n">
        <f aca="false">V353-C$3</f>
        <v>10496</v>
      </c>
      <c r="X353" s="124" t="n">
        <f aca="false">VLOOKUP($A353,Table,MATCH(X$4,Curves,0))</f>
        <v>2</v>
      </c>
      <c r="Y353" s="129" t="n">
        <f aca="false">1/(1+CHOOSE(F$3,(X354+($K$3/10000))/2,(X353+($K$3/10000))/2))^(2*W353/365.25)</f>
        <v>4.9993550321348E-018</v>
      </c>
      <c r="Z353" s="5" t="n">
        <f aca="false">IF(AND(mthbeg&lt;=A353,mthend&gt;=A353),1,0)</f>
        <v>0</v>
      </c>
      <c r="AA353" s="5" t="n">
        <f aca="false">U353*Z353</f>
        <v>0</v>
      </c>
      <c r="AC353" s="115" t="n">
        <f aca="false">IF(G346=2,F353*(S353-Q353),F353*(Q353-S353))</f>
        <v>0</v>
      </c>
      <c r="AE353" s="116" t="n">
        <f aca="false">IF($G$3=1,F353*(R353-Q353),F353*(Q353-R353))</f>
        <v>0</v>
      </c>
      <c r="AG353" s="116" t="n">
        <f aca="false">AC353+AE353</f>
        <v>0</v>
      </c>
    </row>
    <row r="354" customFormat="false" ht="12" hidden="false" customHeight="true" outlineLevel="0" collapsed="false">
      <c r="A354" s="120" t="n">
        <f aca="false">EDATE(A353,1)</f>
        <v>47757</v>
      </c>
      <c r="B354" s="121" t="e">
        <f aca="false">VLOOKUP(A354,'Inputs-Summary'!$A$32:$E$41,3,FALSE())</f>
        <v>#N/A</v>
      </c>
      <c r="C354" s="122"/>
      <c r="D354" s="123" t="e">
        <f aca="false">B354+C354</f>
        <v>#N/A</v>
      </c>
      <c r="E354" s="111" t="n">
        <f aca="false">IF(Z354=0,0,IF(AND(Z354=1,$H$3=1),D354*U354,IF($H$3=2,D354,"N/A")))</f>
        <v>0</v>
      </c>
      <c r="F354" s="111" t="n">
        <f aca="false">E354*Y354</f>
        <v>0</v>
      </c>
      <c r="G354" s="124" t="n">
        <f aca="false">VLOOKUP($A354,Table,MATCH(G$4,Curves,0))</f>
        <v>3</v>
      </c>
      <c r="H354" s="125" t="n">
        <f aca="false">G354+$H$7</f>
        <v>3</v>
      </c>
      <c r="I354" s="124" t="n">
        <f aca="false">H354</f>
        <v>3</v>
      </c>
      <c r="J354" s="124" t="n">
        <f aca="false">VLOOKUP($A354,Table,MATCH(J$4,Curves,0))</f>
        <v>4</v>
      </c>
      <c r="K354" s="125" t="n">
        <f aca="false">J354+$K$7</f>
        <v>4</v>
      </c>
      <c r="L354" s="126" t="n">
        <f aca="false">K354</f>
        <v>4</v>
      </c>
      <c r="M354" s="124" t="n">
        <f aca="false">VLOOKUP($A354,Table,MATCH(M$4,Curves,0))</f>
        <v>4</v>
      </c>
      <c r="N354" s="125" t="n">
        <f aca="false">M354+$N$7</f>
        <v>4</v>
      </c>
      <c r="O354" s="126" t="n">
        <v>0.12</v>
      </c>
      <c r="P354" s="114"/>
      <c r="Q354" s="126" t="n">
        <f aca="false">M354+J354+G354</f>
        <v>11</v>
      </c>
      <c r="R354" s="126" t="n">
        <f aca="false">N354+K354+H354</f>
        <v>11</v>
      </c>
      <c r="S354" s="126" t="n">
        <f aca="false">O354+L354+I354</f>
        <v>7.12</v>
      </c>
      <c r="T354" s="127"/>
      <c r="U354" s="5" t="n">
        <f aca="false">A355-A354</f>
        <v>31</v>
      </c>
      <c r="V354" s="128" t="n">
        <f aca="false">CHOOSE(F$3,A355+24,A354)</f>
        <v>47757</v>
      </c>
      <c r="W354" s="5" t="n">
        <f aca="false">V354-C$3</f>
        <v>10526</v>
      </c>
      <c r="X354" s="124" t="n">
        <f aca="false">VLOOKUP($A354,Table,MATCH(X$4,Curves,0))</f>
        <v>2</v>
      </c>
      <c r="Y354" s="129" t="n">
        <f aca="false">1/(1+CHOOSE(F$3,(X355+($K$3/10000))/2,(X354+($K$3/10000))/2))^(2*W354/365.25)</f>
        <v>4.46132094106298E-018</v>
      </c>
      <c r="Z354" s="5" t="n">
        <f aca="false">IF(AND(mthbeg&lt;=A354,mthend&gt;=A354),1,0)</f>
        <v>0</v>
      </c>
      <c r="AA354" s="5" t="n">
        <f aca="false">U354*Z354</f>
        <v>0</v>
      </c>
      <c r="AC354" s="115" t="n">
        <f aca="false">IF(G347=2,F354*(S354-Q354),F354*(Q354-S354))</f>
        <v>0</v>
      </c>
      <c r="AE354" s="116" t="n">
        <f aca="false">IF($G$3=1,F354*(R354-Q354),F354*(Q354-R354))</f>
        <v>0</v>
      </c>
      <c r="AG354" s="116" t="n">
        <f aca="false">AC354+AE354</f>
        <v>0</v>
      </c>
    </row>
    <row r="355" customFormat="false" ht="12" hidden="false" customHeight="true" outlineLevel="0" collapsed="false">
      <c r="A355" s="120" t="n">
        <f aca="false">EDATE(A354,1)</f>
        <v>47788</v>
      </c>
      <c r="B355" s="121" t="e">
        <f aca="false">VLOOKUP(A355,'Inputs-Summary'!$A$32:$E$41,3,FALSE())</f>
        <v>#N/A</v>
      </c>
      <c r="C355" s="122"/>
      <c r="D355" s="123" t="e">
        <f aca="false">B355+C355</f>
        <v>#N/A</v>
      </c>
      <c r="E355" s="111" t="n">
        <f aca="false">IF(Z355=0,0,IF(AND(Z355=1,$H$3=1),D355*U355,IF($H$3=2,D355,"N/A")))</f>
        <v>0</v>
      </c>
      <c r="F355" s="111" t="n">
        <f aca="false">E355*Y355</f>
        <v>0</v>
      </c>
      <c r="G355" s="124" t="n">
        <f aca="false">VLOOKUP($A355,Table,MATCH(G$4,Curves,0))</f>
        <v>3</v>
      </c>
      <c r="H355" s="125" t="n">
        <f aca="false">G355+$H$7</f>
        <v>3</v>
      </c>
      <c r="I355" s="124" t="n">
        <f aca="false">H355</f>
        <v>3</v>
      </c>
      <c r="J355" s="124" t="n">
        <f aca="false">VLOOKUP($A355,Table,MATCH(J$4,Curves,0))</f>
        <v>4</v>
      </c>
      <c r="K355" s="125" t="n">
        <f aca="false">J355+$K$7</f>
        <v>4</v>
      </c>
      <c r="L355" s="126" t="n">
        <f aca="false">K355</f>
        <v>4</v>
      </c>
      <c r="M355" s="124" t="n">
        <f aca="false">VLOOKUP($A355,Table,MATCH(M$4,Curves,0))</f>
        <v>4</v>
      </c>
      <c r="N355" s="125" t="n">
        <f aca="false">M355+$N$7</f>
        <v>4</v>
      </c>
      <c r="O355" s="126" t="n">
        <v>0.12</v>
      </c>
      <c r="P355" s="114"/>
      <c r="Q355" s="126" t="n">
        <f aca="false">M355+J355+G355</f>
        <v>11</v>
      </c>
      <c r="R355" s="126" t="n">
        <f aca="false">N355+K355+H355</f>
        <v>11</v>
      </c>
      <c r="S355" s="126" t="n">
        <f aca="false">O355+L355+I355</f>
        <v>7.12</v>
      </c>
      <c r="T355" s="127"/>
      <c r="U355" s="5" t="n">
        <f aca="false">A356-A355</f>
        <v>30</v>
      </c>
      <c r="V355" s="128" t="n">
        <f aca="false">CHOOSE(F$3,A356+24,A355)</f>
        <v>47788</v>
      </c>
      <c r="W355" s="5" t="n">
        <f aca="false">V355-C$3</f>
        <v>10557</v>
      </c>
      <c r="X355" s="124" t="n">
        <f aca="false">VLOOKUP($A355,Table,MATCH(X$4,Curves,0))</f>
        <v>2</v>
      </c>
      <c r="Y355" s="129" t="n">
        <f aca="false">1/(1+CHOOSE(F$3,(X356+($K$3/10000))/2,(X355+($K$3/10000))/2))^(2*W355/365.25)</f>
        <v>3.96610861780562E-018</v>
      </c>
      <c r="Z355" s="5" t="n">
        <f aca="false">IF(AND(mthbeg&lt;=A355,mthend&gt;=A355),1,0)</f>
        <v>0</v>
      </c>
      <c r="AA355" s="5" t="n">
        <f aca="false">U355*Z355</f>
        <v>0</v>
      </c>
      <c r="AC355" s="115" t="n">
        <f aca="false">IF(G348=2,F355*(S355-Q355),F355*(Q355-S355))</f>
        <v>0</v>
      </c>
      <c r="AE355" s="116" t="n">
        <f aca="false">IF($G$3=1,F355*(R355-Q355),F355*(Q355-R355))</f>
        <v>0</v>
      </c>
      <c r="AG355" s="116" t="n">
        <f aca="false">AC355+AE355</f>
        <v>0</v>
      </c>
    </row>
    <row r="356" customFormat="false" ht="12" hidden="false" customHeight="true" outlineLevel="0" collapsed="false">
      <c r="A356" s="120" t="n">
        <f aca="false">EDATE(A355,1)</f>
        <v>47818</v>
      </c>
      <c r="B356" s="121" t="e">
        <f aca="false">VLOOKUP(A356,'Inputs-Summary'!$A$32:$E$41,3,FALSE())</f>
        <v>#N/A</v>
      </c>
      <c r="C356" s="122"/>
      <c r="D356" s="123" t="e">
        <f aca="false">B356+C356</f>
        <v>#N/A</v>
      </c>
      <c r="E356" s="111" t="n">
        <f aca="false">IF(Z356=0,0,IF(AND(Z356=1,$H$3=1),D356*U356,IF($H$3=2,D356,"N/A")))</f>
        <v>0</v>
      </c>
      <c r="F356" s="111" t="n">
        <f aca="false">E356*Y356</f>
        <v>0</v>
      </c>
      <c r="G356" s="124" t="n">
        <f aca="false">VLOOKUP($A356,Table,MATCH(G$4,Curves,0))</f>
        <v>3</v>
      </c>
      <c r="H356" s="125" t="n">
        <f aca="false">G356+$H$7</f>
        <v>3</v>
      </c>
      <c r="I356" s="124" t="n">
        <f aca="false">H356</f>
        <v>3</v>
      </c>
      <c r="J356" s="124" t="n">
        <f aca="false">VLOOKUP($A356,Table,MATCH(J$4,Curves,0))</f>
        <v>4</v>
      </c>
      <c r="K356" s="125" t="n">
        <f aca="false">J356+$K$7</f>
        <v>4</v>
      </c>
      <c r="L356" s="126" t="n">
        <f aca="false">K356</f>
        <v>4</v>
      </c>
      <c r="M356" s="124" t="n">
        <f aca="false">VLOOKUP($A356,Table,MATCH(M$4,Curves,0))</f>
        <v>4</v>
      </c>
      <c r="N356" s="125" t="n">
        <f aca="false">M356+$N$7</f>
        <v>4</v>
      </c>
      <c r="O356" s="126" t="n">
        <v>0.12</v>
      </c>
      <c r="P356" s="114"/>
      <c r="Q356" s="126" t="n">
        <f aca="false">M356+J356+G356</f>
        <v>11</v>
      </c>
      <c r="R356" s="126" t="n">
        <f aca="false">N356+K356+H356</f>
        <v>11</v>
      </c>
      <c r="S356" s="126" t="n">
        <f aca="false">O356+L356+I356</f>
        <v>7.12</v>
      </c>
      <c r="T356" s="127"/>
      <c r="U356" s="5" t="n">
        <f aca="false">A357-A356</f>
        <v>31</v>
      </c>
      <c r="V356" s="128" t="n">
        <f aca="false">CHOOSE(F$3,A357+24,A356)</f>
        <v>47818</v>
      </c>
      <c r="W356" s="5" t="n">
        <f aca="false">V356-C$3</f>
        <v>10587</v>
      </c>
      <c r="X356" s="124" t="n">
        <f aca="false">VLOOKUP($A356,Table,MATCH(X$4,Curves,0))</f>
        <v>2</v>
      </c>
      <c r="Y356" s="129" t="n">
        <f aca="false">1/(1+CHOOSE(F$3,(X357+($K$3/10000))/2,(X356+($K$3/10000))/2))^(2*W356/365.25)</f>
        <v>3.5392732297292E-018</v>
      </c>
      <c r="Z356" s="5" t="n">
        <f aca="false">IF(AND(mthbeg&lt;=A356,mthend&gt;=A356),1,0)</f>
        <v>0</v>
      </c>
      <c r="AA356" s="5" t="n">
        <f aca="false">U356*Z356</f>
        <v>0</v>
      </c>
      <c r="AC356" s="115" t="n">
        <f aca="false">IF(G349=2,F356*(S356-Q356),F356*(Q356-S356))</f>
        <v>0</v>
      </c>
      <c r="AE356" s="116" t="n">
        <f aca="false">IF($G$3=1,F356*(R356-Q356),F356*(Q356-R356))</f>
        <v>0</v>
      </c>
      <c r="AG356" s="116" t="n">
        <f aca="false">AC356+AE356</f>
        <v>0</v>
      </c>
    </row>
    <row r="357" customFormat="false" ht="12" hidden="false" customHeight="true" outlineLevel="0" collapsed="false">
      <c r="A357" s="120" t="n">
        <f aca="false">EDATE(A356,1)</f>
        <v>47849</v>
      </c>
      <c r="B357" s="121" t="e">
        <f aca="false">VLOOKUP(A357,'Inputs-Summary'!$A$32:$E$41,3,FALSE())</f>
        <v>#N/A</v>
      </c>
      <c r="C357" s="122"/>
      <c r="D357" s="123" t="e">
        <f aca="false">B357+C357</f>
        <v>#N/A</v>
      </c>
      <c r="E357" s="111" t="n">
        <f aca="false">IF(Z357=0,0,IF(AND(Z357=1,$H$3=1),D357*U357,IF($H$3=2,D357,"N/A")))</f>
        <v>0</v>
      </c>
      <c r="F357" s="111" t="n">
        <f aca="false">E357*Y357</f>
        <v>0</v>
      </c>
      <c r="G357" s="124" t="n">
        <f aca="false">VLOOKUP($A357,Table,MATCH(G$4,Curves,0))</f>
        <v>3</v>
      </c>
      <c r="H357" s="125" t="n">
        <f aca="false">G357+$H$7</f>
        <v>3</v>
      </c>
      <c r="I357" s="124" t="n">
        <f aca="false">H357</f>
        <v>3</v>
      </c>
      <c r="J357" s="124" t="n">
        <f aca="false">VLOOKUP($A357,Table,MATCH(J$4,Curves,0))</f>
        <v>4</v>
      </c>
      <c r="K357" s="125" t="n">
        <f aca="false">J357+$K$7</f>
        <v>4</v>
      </c>
      <c r="L357" s="126" t="n">
        <f aca="false">K357</f>
        <v>4</v>
      </c>
      <c r="M357" s="124" t="n">
        <f aca="false">VLOOKUP($A357,Table,MATCH(M$4,Curves,0))</f>
        <v>4</v>
      </c>
      <c r="N357" s="125" t="n">
        <f aca="false">M357+$N$7</f>
        <v>4</v>
      </c>
      <c r="O357" s="126" t="n">
        <v>0.12</v>
      </c>
      <c r="P357" s="114"/>
      <c r="Q357" s="126" t="n">
        <f aca="false">M357+J357+G357</f>
        <v>11</v>
      </c>
      <c r="R357" s="126" t="n">
        <f aca="false">N357+K357+H357</f>
        <v>11</v>
      </c>
      <c r="S357" s="126" t="n">
        <f aca="false">O357+L357+I357</f>
        <v>7.12</v>
      </c>
      <c r="T357" s="127"/>
      <c r="U357" s="5" t="n">
        <f aca="false">A358-A357</f>
        <v>31</v>
      </c>
      <c r="V357" s="128" t="n">
        <f aca="false">CHOOSE(F$3,A358+24,A357)</f>
        <v>47849</v>
      </c>
      <c r="W357" s="5" t="n">
        <f aca="false">V357-C$3</f>
        <v>10618</v>
      </c>
      <c r="X357" s="124" t="n">
        <f aca="false">VLOOKUP($A357,Table,MATCH(X$4,Curves,0))</f>
        <v>2</v>
      </c>
      <c r="Y357" s="129" t="n">
        <f aca="false">1/(1+CHOOSE(F$3,(X358+($K$3/10000))/2,(X357+($K$3/10000))/2))^(2*W357/365.25)</f>
        <v>3.14640938023462E-018</v>
      </c>
      <c r="Z357" s="5" t="n">
        <f aca="false">IF(AND(mthbeg&lt;=A357,mthend&gt;=A357),1,0)</f>
        <v>0</v>
      </c>
      <c r="AA357" s="5" t="n">
        <f aca="false">U357*Z357</f>
        <v>0</v>
      </c>
      <c r="AC357" s="115" t="n">
        <f aca="false">IF(G350=2,F357*(S357-Q357),F357*(Q357-S357))</f>
        <v>0</v>
      </c>
      <c r="AE357" s="116" t="n">
        <f aca="false">IF($G$3=1,F357*(R357-Q357),F357*(Q357-R357))</f>
        <v>0</v>
      </c>
      <c r="AG357" s="116" t="n">
        <f aca="false">AC357+AE357</f>
        <v>0</v>
      </c>
    </row>
    <row r="358" customFormat="false" ht="12" hidden="false" customHeight="true" outlineLevel="0" collapsed="false">
      <c r="A358" s="120" t="n">
        <f aca="false">EDATE(A357,1)</f>
        <v>47880</v>
      </c>
      <c r="B358" s="121" t="e">
        <f aca="false">VLOOKUP(A358,'Inputs-Summary'!$A$32:$E$41,3,FALSE())</f>
        <v>#N/A</v>
      </c>
      <c r="C358" s="122"/>
      <c r="D358" s="123" t="e">
        <f aca="false">B358+C358</f>
        <v>#N/A</v>
      </c>
      <c r="E358" s="111" t="n">
        <f aca="false">IF(Z358=0,0,IF(AND(Z358=1,$H$3=1),D358*U358,IF($H$3=2,D358,"N/A")))</f>
        <v>0</v>
      </c>
      <c r="F358" s="111" t="n">
        <f aca="false">E358*Y358</f>
        <v>0</v>
      </c>
      <c r="G358" s="124" t="n">
        <f aca="false">VLOOKUP($A358,Table,MATCH(G$4,Curves,0))</f>
        <v>3</v>
      </c>
      <c r="H358" s="125" t="n">
        <f aca="false">G358+$H$7</f>
        <v>3</v>
      </c>
      <c r="I358" s="124" t="n">
        <f aca="false">H358</f>
        <v>3</v>
      </c>
      <c r="J358" s="124" t="n">
        <f aca="false">VLOOKUP($A358,Table,MATCH(J$4,Curves,0))</f>
        <v>4</v>
      </c>
      <c r="K358" s="125" t="n">
        <f aca="false">J358+$K$7</f>
        <v>4</v>
      </c>
      <c r="L358" s="126" t="n">
        <f aca="false">K358</f>
        <v>4</v>
      </c>
      <c r="M358" s="124" t="n">
        <f aca="false">VLOOKUP($A358,Table,MATCH(M$4,Curves,0))</f>
        <v>4</v>
      </c>
      <c r="N358" s="125" t="n">
        <f aca="false">M358+$N$7</f>
        <v>4</v>
      </c>
      <c r="O358" s="126" t="n">
        <v>0.12</v>
      </c>
      <c r="P358" s="114"/>
      <c r="Q358" s="126" t="n">
        <f aca="false">M358+J358+G358</f>
        <v>11</v>
      </c>
      <c r="R358" s="126" t="n">
        <f aca="false">N358+K358+H358</f>
        <v>11</v>
      </c>
      <c r="S358" s="126" t="n">
        <f aca="false">O358+L358+I358</f>
        <v>7.12</v>
      </c>
      <c r="T358" s="127"/>
      <c r="U358" s="5" t="n">
        <f aca="false">A359-A358</f>
        <v>28</v>
      </c>
      <c r="V358" s="128" t="n">
        <f aca="false">CHOOSE(F$3,A359+24,A358)</f>
        <v>47880</v>
      </c>
      <c r="W358" s="5" t="n">
        <f aca="false">V358-C$3</f>
        <v>10649</v>
      </c>
      <c r="X358" s="124" t="n">
        <f aca="false">VLOOKUP($A358,Table,MATCH(X$4,Curves,0))</f>
        <v>2</v>
      </c>
      <c r="Y358" s="129" t="n">
        <f aca="false">1/(1+CHOOSE(F$3,(X359+($K$3/10000))/2,(X358+($K$3/10000))/2))^(2*W358/365.25)</f>
        <v>2.79715391987012E-018</v>
      </c>
      <c r="Z358" s="5" t="n">
        <f aca="false">IF(AND(mthbeg&lt;=A358,mthend&gt;=A358),1,0)</f>
        <v>0</v>
      </c>
      <c r="AA358" s="5" t="n">
        <f aca="false">U358*Z358</f>
        <v>0</v>
      </c>
      <c r="AC358" s="115" t="n">
        <f aca="false">IF(G351=2,F358*(S358-Q358),F358*(Q358-S358))</f>
        <v>0</v>
      </c>
      <c r="AE358" s="116" t="n">
        <f aca="false">IF($G$3=1,F358*(R358-Q358),F358*(Q358-R358))</f>
        <v>0</v>
      </c>
      <c r="AG358" s="116" t="n">
        <f aca="false">AC358+AE358</f>
        <v>0</v>
      </c>
    </row>
    <row r="359" customFormat="false" ht="12" hidden="false" customHeight="true" outlineLevel="0" collapsed="false">
      <c r="A359" s="120" t="n">
        <f aca="false">EDATE(A358,1)</f>
        <v>47908</v>
      </c>
      <c r="B359" s="121" t="e">
        <f aca="false">VLOOKUP(A359,'Inputs-Summary'!$A$32:$E$41,3,FALSE())</f>
        <v>#N/A</v>
      </c>
      <c r="C359" s="122"/>
      <c r="D359" s="123" t="e">
        <f aca="false">B359+C359</f>
        <v>#N/A</v>
      </c>
      <c r="E359" s="111" t="n">
        <f aca="false">IF(Z359=0,0,IF(AND(Z359=1,$H$3=1),D359*U359,IF($H$3=2,D359,"N/A")))</f>
        <v>0</v>
      </c>
      <c r="F359" s="111" t="n">
        <f aca="false">E359*Y359</f>
        <v>0</v>
      </c>
      <c r="G359" s="124" t="n">
        <f aca="false">VLOOKUP($A359,Table,MATCH(G$4,Curves,0))</f>
        <v>3</v>
      </c>
      <c r="H359" s="125" t="n">
        <f aca="false">G359+$H$7</f>
        <v>3</v>
      </c>
      <c r="I359" s="124" t="n">
        <f aca="false">H359</f>
        <v>3</v>
      </c>
      <c r="J359" s="124" t="n">
        <f aca="false">VLOOKUP($A359,Table,MATCH(J$4,Curves,0))</f>
        <v>4</v>
      </c>
      <c r="K359" s="125" t="n">
        <f aca="false">J359+$K$7</f>
        <v>4</v>
      </c>
      <c r="L359" s="126" t="n">
        <f aca="false">K359</f>
        <v>4</v>
      </c>
      <c r="M359" s="124" t="n">
        <f aca="false">VLOOKUP($A359,Table,MATCH(M$4,Curves,0))</f>
        <v>4</v>
      </c>
      <c r="N359" s="125" t="n">
        <f aca="false">M359+$N$7</f>
        <v>4</v>
      </c>
      <c r="O359" s="126" t="n">
        <v>0.12</v>
      </c>
      <c r="P359" s="114"/>
      <c r="Q359" s="126" t="n">
        <f aca="false">M359+J359+G359</f>
        <v>11</v>
      </c>
      <c r="R359" s="126" t="n">
        <f aca="false">N359+K359+H359</f>
        <v>11</v>
      </c>
      <c r="S359" s="126" t="n">
        <f aca="false">O359+L359+I359</f>
        <v>7.12</v>
      </c>
      <c r="T359" s="127"/>
      <c r="U359" s="5" t="n">
        <f aca="false">A360-A359</f>
        <v>31</v>
      </c>
      <c r="V359" s="128" t="n">
        <f aca="false">CHOOSE(F$3,A360+24,A359)</f>
        <v>47908</v>
      </c>
      <c r="W359" s="5" t="n">
        <f aca="false">V359-C$3</f>
        <v>10677</v>
      </c>
      <c r="X359" s="124" t="n">
        <f aca="false">VLOOKUP($A359,Table,MATCH(X$4,Curves,0))</f>
        <v>2</v>
      </c>
      <c r="Y359" s="129" t="n">
        <f aca="false">1/(1+CHOOSE(F$3,(X360+($K$3/10000))/2,(X359+($K$3/10000))/2))^(2*W359/365.25)</f>
        <v>2.51514225362807E-018</v>
      </c>
      <c r="Z359" s="5" t="n">
        <f aca="false">IF(AND(mthbeg&lt;=A359,mthend&gt;=A359),1,0)</f>
        <v>0</v>
      </c>
      <c r="AA359" s="5" t="n">
        <f aca="false">U359*Z359</f>
        <v>0</v>
      </c>
      <c r="AC359" s="115" t="n">
        <f aca="false">IF(G352=2,F359*(S359-Q359),F359*(Q359-S359))</f>
        <v>0</v>
      </c>
      <c r="AE359" s="116" t="n">
        <f aca="false">IF($G$3=1,F359*(R359-Q359),F359*(Q359-R359))</f>
        <v>0</v>
      </c>
      <c r="AG359" s="116" t="n">
        <f aca="false">AC359+AE359</f>
        <v>0</v>
      </c>
    </row>
    <row r="360" customFormat="false" ht="12" hidden="false" customHeight="true" outlineLevel="0" collapsed="false">
      <c r="A360" s="120" t="n">
        <f aca="false">EDATE(A359,1)</f>
        <v>47939</v>
      </c>
      <c r="B360" s="121" t="e">
        <f aca="false">VLOOKUP(A360,'Inputs-Summary'!$A$32:$E$41,3,FALSE())</f>
        <v>#N/A</v>
      </c>
      <c r="C360" s="122"/>
      <c r="D360" s="123" t="e">
        <f aca="false">B360+C360</f>
        <v>#N/A</v>
      </c>
      <c r="E360" s="111" t="n">
        <f aca="false">IF(Z360=0,0,IF(AND(Z360=1,$H$3=1),D360*U360,IF($H$3=2,D360,"N/A")))</f>
        <v>0</v>
      </c>
      <c r="F360" s="111" t="n">
        <f aca="false">E360*Y360</f>
        <v>0</v>
      </c>
      <c r="G360" s="124" t="n">
        <f aca="false">VLOOKUP($A360,Table,MATCH(G$4,Curves,0))</f>
        <v>3</v>
      </c>
      <c r="H360" s="125" t="n">
        <f aca="false">G360+$H$7</f>
        <v>3</v>
      </c>
      <c r="I360" s="124" t="n">
        <f aca="false">H360</f>
        <v>3</v>
      </c>
      <c r="J360" s="124" t="n">
        <f aca="false">VLOOKUP($A360,Table,MATCH(J$4,Curves,0))</f>
        <v>4</v>
      </c>
      <c r="K360" s="125" t="n">
        <f aca="false">J360+$K$7</f>
        <v>4</v>
      </c>
      <c r="L360" s="126" t="n">
        <f aca="false">K360</f>
        <v>4</v>
      </c>
      <c r="M360" s="124" t="n">
        <f aca="false">VLOOKUP($A360,Table,MATCH(M$4,Curves,0))</f>
        <v>4</v>
      </c>
      <c r="N360" s="125" t="n">
        <f aca="false">M360+$N$7</f>
        <v>4</v>
      </c>
      <c r="O360" s="126" t="n">
        <v>0.12</v>
      </c>
      <c r="P360" s="114"/>
      <c r="Q360" s="126" t="n">
        <f aca="false">M360+J360+G360</f>
        <v>11</v>
      </c>
      <c r="R360" s="126" t="n">
        <f aca="false">N360+K360+H360</f>
        <v>11</v>
      </c>
      <c r="S360" s="126" t="n">
        <f aca="false">O360+L360+I360</f>
        <v>7.12</v>
      </c>
      <c r="T360" s="127"/>
      <c r="U360" s="5" t="n">
        <f aca="false">A361-A360</f>
        <v>30</v>
      </c>
      <c r="V360" s="128" t="n">
        <f aca="false">CHOOSE(F$3,A361+24,A360)</f>
        <v>47939</v>
      </c>
      <c r="W360" s="5" t="n">
        <f aca="false">V360-C$3</f>
        <v>10708</v>
      </c>
      <c r="X360" s="124" t="n">
        <f aca="false">VLOOKUP($A360,Table,MATCH(X$4,Curves,0))</f>
        <v>2</v>
      </c>
      <c r="Y360" s="129" t="n">
        <f aca="false">1/(1+CHOOSE(F$3,(X361+($K$3/10000))/2,(X360+($K$3/10000))/2))^(2*W360/365.25)</f>
        <v>2.23595825068451E-018</v>
      </c>
      <c r="Z360" s="5" t="n">
        <f aca="false">IF(AND(mthbeg&lt;=A360,mthend&gt;=A360),1,0)</f>
        <v>0</v>
      </c>
      <c r="AA360" s="5" t="n">
        <f aca="false">U360*Z360</f>
        <v>0</v>
      </c>
      <c r="AC360" s="115" t="n">
        <f aca="false">IF(G353=2,F360*(S360-Q360),F360*(Q360-S360))</f>
        <v>0</v>
      </c>
      <c r="AE360" s="116" t="n">
        <f aca="false">IF($G$3=1,F360*(R360-Q360),F360*(Q360-R360))</f>
        <v>0</v>
      </c>
      <c r="AG360" s="116" t="n">
        <f aca="false">AC360+AE360</f>
        <v>0</v>
      </c>
    </row>
    <row r="361" customFormat="false" ht="12" hidden="false" customHeight="true" outlineLevel="0" collapsed="false">
      <c r="A361" s="120" t="n">
        <f aca="false">EDATE(A360,1)</f>
        <v>47969</v>
      </c>
      <c r="B361" s="121" t="e">
        <f aca="false">VLOOKUP(A361,'Inputs-Summary'!$A$32:$E$41,3,FALSE())</f>
        <v>#N/A</v>
      </c>
      <c r="C361" s="122"/>
      <c r="D361" s="123" t="e">
        <f aca="false">B361+C361</f>
        <v>#N/A</v>
      </c>
      <c r="E361" s="111" t="n">
        <f aca="false">IF(Z361=0,0,IF(AND(Z361=1,$H$3=1),D361*U361,IF($H$3=2,D361,"N/A")))</f>
        <v>0</v>
      </c>
      <c r="F361" s="111" t="n">
        <f aca="false">E361*Y361</f>
        <v>0</v>
      </c>
      <c r="G361" s="124" t="n">
        <f aca="false">VLOOKUP($A361,Table,MATCH(G$4,Curves,0))</f>
        <v>3</v>
      </c>
      <c r="H361" s="125" t="n">
        <f aca="false">G361+$H$7</f>
        <v>3</v>
      </c>
      <c r="I361" s="124" t="n">
        <f aca="false">H361</f>
        <v>3</v>
      </c>
      <c r="J361" s="124" t="n">
        <f aca="false">VLOOKUP($A361,Table,MATCH(J$4,Curves,0))</f>
        <v>4</v>
      </c>
      <c r="K361" s="125" t="n">
        <f aca="false">J361+$K$7</f>
        <v>4</v>
      </c>
      <c r="L361" s="126" t="n">
        <f aca="false">K361</f>
        <v>4</v>
      </c>
      <c r="M361" s="124" t="n">
        <f aca="false">VLOOKUP($A361,Table,MATCH(M$4,Curves,0))</f>
        <v>4</v>
      </c>
      <c r="N361" s="125" t="n">
        <f aca="false">M361+$N$7</f>
        <v>4</v>
      </c>
      <c r="O361" s="126" t="n">
        <v>0.12</v>
      </c>
      <c r="P361" s="114"/>
      <c r="Q361" s="126" t="n">
        <f aca="false">M361+J361+G361</f>
        <v>11</v>
      </c>
      <c r="R361" s="126" t="n">
        <f aca="false">N361+K361+H361</f>
        <v>11</v>
      </c>
      <c r="S361" s="126" t="n">
        <f aca="false">O361+L361+I361</f>
        <v>7.12</v>
      </c>
      <c r="T361" s="127"/>
      <c r="U361" s="5" t="n">
        <f aca="false">A362-A361</f>
        <v>31</v>
      </c>
      <c r="V361" s="128" t="n">
        <f aca="false">CHOOSE(F$3,A362+24,A361)</f>
        <v>47969</v>
      </c>
      <c r="W361" s="5" t="n">
        <f aca="false">V361-C$3</f>
        <v>10738</v>
      </c>
      <c r="X361" s="124" t="n">
        <f aca="false">VLOOKUP($A361,Table,MATCH(X$4,Curves,0))</f>
        <v>2</v>
      </c>
      <c r="Y361" s="129" t="n">
        <f aca="false">1/(1+CHOOSE(F$3,(X362+($K$3/10000))/2,(X361+($K$3/10000))/2))^(2*W361/365.25)</f>
        <v>1.99532285724899E-018</v>
      </c>
      <c r="Z361" s="5" t="n">
        <f aca="false">IF(AND(mthbeg&lt;=A361,mthend&gt;=A361),1,0)</f>
        <v>0</v>
      </c>
      <c r="AA361" s="5" t="n">
        <f aca="false">U361*Z361</f>
        <v>0</v>
      </c>
      <c r="AC361" s="115" t="n">
        <f aca="false">IF(G354=2,F361*(S361-Q361),F361*(Q361-S361))</f>
        <v>0</v>
      </c>
      <c r="AE361" s="116" t="n">
        <f aca="false">IF($G$3=1,F361*(R361-Q361),F361*(Q361-R361))</f>
        <v>0</v>
      </c>
      <c r="AG361" s="116" t="n">
        <f aca="false">AC361+AE361</f>
        <v>0</v>
      </c>
    </row>
    <row r="362" customFormat="false" ht="12" hidden="false" customHeight="true" outlineLevel="0" collapsed="false">
      <c r="A362" s="120" t="n">
        <f aca="false">EDATE(A361,1)</f>
        <v>48000</v>
      </c>
      <c r="B362" s="121" t="e">
        <f aca="false">VLOOKUP(A362,'Inputs-Summary'!$A$32:$E$41,3,FALSE())</f>
        <v>#N/A</v>
      </c>
      <c r="C362" s="122"/>
      <c r="D362" s="123" t="e">
        <f aca="false">B362+C362</f>
        <v>#N/A</v>
      </c>
      <c r="E362" s="111" t="n">
        <f aca="false">IF(Z362=0,0,IF(AND(Z362=1,$H$3=1),D362*U362,IF($H$3=2,D362,"N/A")))</f>
        <v>0</v>
      </c>
      <c r="F362" s="111" t="n">
        <f aca="false">E362*Y362</f>
        <v>0</v>
      </c>
      <c r="G362" s="124" t="n">
        <f aca="false">VLOOKUP($A362,Table,MATCH(G$4,Curves,0))</f>
        <v>3</v>
      </c>
      <c r="H362" s="125" t="n">
        <f aca="false">G362+$H$7</f>
        <v>3</v>
      </c>
      <c r="I362" s="124" t="n">
        <f aca="false">H362</f>
        <v>3</v>
      </c>
      <c r="J362" s="124" t="n">
        <f aca="false">VLOOKUP($A362,Table,MATCH(J$4,Curves,0))</f>
        <v>4</v>
      </c>
      <c r="K362" s="125" t="n">
        <f aca="false">J362+$K$7</f>
        <v>4</v>
      </c>
      <c r="L362" s="126" t="n">
        <f aca="false">K362</f>
        <v>4</v>
      </c>
      <c r="M362" s="124" t="n">
        <f aca="false">VLOOKUP($A362,Table,MATCH(M$4,Curves,0))</f>
        <v>4</v>
      </c>
      <c r="N362" s="125" t="n">
        <f aca="false">M362+$N$7</f>
        <v>4</v>
      </c>
      <c r="O362" s="126" t="n">
        <v>0.12</v>
      </c>
      <c r="P362" s="114"/>
      <c r="Q362" s="126" t="n">
        <f aca="false">M362+J362+G362</f>
        <v>11</v>
      </c>
      <c r="R362" s="126" t="n">
        <f aca="false">N362+K362+H362</f>
        <v>11</v>
      </c>
      <c r="S362" s="126" t="n">
        <f aca="false">O362+L362+I362</f>
        <v>7.12</v>
      </c>
      <c r="T362" s="127"/>
      <c r="U362" s="5" t="n">
        <f aca="false">A363-A362</f>
        <v>30</v>
      </c>
      <c r="V362" s="128" t="n">
        <f aca="false">CHOOSE(F$3,A363+24,A362)</f>
        <v>48000</v>
      </c>
      <c r="W362" s="5" t="n">
        <f aca="false">V362-C$3</f>
        <v>10769</v>
      </c>
      <c r="X362" s="124" t="n">
        <f aca="false">VLOOKUP($A362,Table,MATCH(X$4,Curves,0))</f>
        <v>2</v>
      </c>
      <c r="Y362" s="129" t="n">
        <f aca="false">1/(1+CHOOSE(F$3,(X363+($K$3/10000))/2,(X362+($K$3/10000))/2))^(2*W362/365.25)</f>
        <v>1.77383947131009E-018</v>
      </c>
      <c r="Z362" s="5" t="n">
        <f aca="false">IF(AND(mthbeg&lt;=A362,mthend&gt;=A362),1,0)</f>
        <v>0</v>
      </c>
      <c r="AA362" s="5" t="n">
        <f aca="false">U362*Z362</f>
        <v>0</v>
      </c>
      <c r="AC362" s="115" t="n">
        <f aca="false">IF(G355=2,F362*(S362-Q362),F362*(Q362-S362))</f>
        <v>0</v>
      </c>
      <c r="AE362" s="116" t="n">
        <f aca="false">IF($G$3=1,F362*(R362-Q362),F362*(Q362-R362))</f>
        <v>0</v>
      </c>
      <c r="AG362" s="116" t="n">
        <f aca="false">AC362+AE362</f>
        <v>0</v>
      </c>
    </row>
    <row r="363" customFormat="false" ht="12" hidden="false" customHeight="true" outlineLevel="0" collapsed="false">
      <c r="A363" s="120" t="n">
        <f aca="false">EDATE(A362,1)</f>
        <v>48030</v>
      </c>
      <c r="B363" s="121" t="e">
        <f aca="false">VLOOKUP(A363,'Inputs-Summary'!$A$32:$E$41,3,FALSE())</f>
        <v>#N/A</v>
      </c>
      <c r="C363" s="122"/>
      <c r="D363" s="123" t="e">
        <f aca="false">B363+C363</f>
        <v>#N/A</v>
      </c>
      <c r="E363" s="111" t="n">
        <f aca="false">IF(Z363=0,0,IF(AND(Z363=1,$H$3=1),D363*U363,IF($H$3=2,D363,"N/A")))</f>
        <v>0</v>
      </c>
      <c r="F363" s="111" t="n">
        <f aca="false">E363*Y363</f>
        <v>0</v>
      </c>
      <c r="G363" s="124" t="n">
        <f aca="false">VLOOKUP($A363,Table,MATCH(G$4,Curves,0))</f>
        <v>3</v>
      </c>
      <c r="H363" s="125" t="n">
        <f aca="false">G363+$H$7</f>
        <v>3</v>
      </c>
      <c r="I363" s="124" t="n">
        <f aca="false">H363</f>
        <v>3</v>
      </c>
      <c r="J363" s="124" t="n">
        <f aca="false">VLOOKUP($A363,Table,MATCH(J$4,Curves,0))</f>
        <v>4</v>
      </c>
      <c r="K363" s="125" t="n">
        <f aca="false">J363+$K$7</f>
        <v>4</v>
      </c>
      <c r="L363" s="126" t="n">
        <f aca="false">K363</f>
        <v>4</v>
      </c>
      <c r="M363" s="124" t="n">
        <f aca="false">VLOOKUP($A363,Table,MATCH(M$4,Curves,0))</f>
        <v>4</v>
      </c>
      <c r="N363" s="125" t="n">
        <f aca="false">M363+$N$7</f>
        <v>4</v>
      </c>
      <c r="O363" s="126" t="n">
        <v>0.12</v>
      </c>
      <c r="P363" s="114"/>
      <c r="Q363" s="126" t="n">
        <f aca="false">M363+J363+G363</f>
        <v>11</v>
      </c>
      <c r="R363" s="126" t="n">
        <f aca="false">N363+K363+H363</f>
        <v>11</v>
      </c>
      <c r="S363" s="126" t="n">
        <f aca="false">O363+L363+I363</f>
        <v>7.12</v>
      </c>
      <c r="T363" s="127"/>
      <c r="U363" s="5" t="n">
        <f aca="false">A364-A363</f>
        <v>31</v>
      </c>
      <c r="V363" s="128" t="n">
        <f aca="false">CHOOSE(F$3,A364+24,A363)</f>
        <v>48030</v>
      </c>
      <c r="W363" s="5" t="n">
        <f aca="false">V363-C$3</f>
        <v>10799</v>
      </c>
      <c r="X363" s="124" t="n">
        <f aca="false">VLOOKUP($A363,Table,MATCH(X$4,Curves,0))</f>
        <v>2</v>
      </c>
      <c r="Y363" s="129" t="n">
        <f aca="false">1/(1+CHOOSE(F$3,(X364+($K$3/10000))/2,(X363+($K$3/10000))/2))^(2*W363/365.25)</f>
        <v>1.58293762466807E-018</v>
      </c>
      <c r="Z363" s="5" t="n">
        <f aca="false">IF(AND(mthbeg&lt;=A363,mthend&gt;=A363),1,0)</f>
        <v>0</v>
      </c>
      <c r="AA363" s="5" t="n">
        <f aca="false">U363*Z363</f>
        <v>0</v>
      </c>
      <c r="AC363" s="115" t="n">
        <f aca="false">IF(G356=2,F363*(S363-Q363),F363*(Q363-S363))</f>
        <v>0</v>
      </c>
      <c r="AE363" s="116" t="n">
        <f aca="false">IF($G$3=1,F363*(R363-Q363),F363*(Q363-R363))</f>
        <v>0</v>
      </c>
      <c r="AG363" s="116" t="n">
        <f aca="false">AC363+AE363</f>
        <v>0</v>
      </c>
    </row>
    <row r="364" customFormat="false" ht="12" hidden="false" customHeight="true" outlineLevel="0" collapsed="false">
      <c r="A364" s="120" t="n">
        <f aca="false">EDATE(A363,1)</f>
        <v>48061</v>
      </c>
      <c r="B364" s="121" t="e">
        <f aca="false">VLOOKUP(A364,'Inputs-Summary'!$A$32:$E$41,3,FALSE())</f>
        <v>#N/A</v>
      </c>
      <c r="C364" s="122"/>
      <c r="D364" s="123" t="e">
        <f aca="false">B364+C364</f>
        <v>#N/A</v>
      </c>
      <c r="E364" s="111" t="n">
        <f aca="false">IF(Z364=0,0,IF(AND(Z364=1,$H$3=1),D364*U364,IF($H$3=2,D364,"N/A")))</f>
        <v>0</v>
      </c>
      <c r="F364" s="111" t="n">
        <f aca="false">E364*Y364</f>
        <v>0</v>
      </c>
      <c r="G364" s="124" t="n">
        <f aca="false">VLOOKUP($A364,Table,MATCH(G$4,Curves,0))</f>
        <v>3</v>
      </c>
      <c r="H364" s="125" t="n">
        <f aca="false">G364+$H$7</f>
        <v>3</v>
      </c>
      <c r="I364" s="124" t="n">
        <f aca="false">H364</f>
        <v>3</v>
      </c>
      <c r="J364" s="124" t="n">
        <f aca="false">VLOOKUP($A364,Table,MATCH(J$4,Curves,0))</f>
        <v>4</v>
      </c>
      <c r="K364" s="125" t="n">
        <f aca="false">J364+$K$7</f>
        <v>4</v>
      </c>
      <c r="L364" s="126" t="n">
        <f aca="false">K364</f>
        <v>4</v>
      </c>
      <c r="M364" s="124" t="n">
        <f aca="false">VLOOKUP($A364,Table,MATCH(M$4,Curves,0))</f>
        <v>4</v>
      </c>
      <c r="N364" s="125" t="n">
        <f aca="false">M364+$N$7</f>
        <v>4</v>
      </c>
      <c r="O364" s="126" t="n">
        <v>0.12</v>
      </c>
      <c r="P364" s="114"/>
      <c r="Q364" s="126" t="n">
        <f aca="false">M364+J364+G364</f>
        <v>11</v>
      </c>
      <c r="R364" s="126" t="n">
        <f aca="false">N364+K364+H364</f>
        <v>11</v>
      </c>
      <c r="S364" s="126" t="n">
        <f aca="false">O364+L364+I364</f>
        <v>7.12</v>
      </c>
      <c r="T364" s="127"/>
      <c r="U364" s="5" t="n">
        <f aca="false">A365-A364</f>
        <v>31</v>
      </c>
      <c r="V364" s="128" t="n">
        <f aca="false">CHOOSE(F$3,A365+24,A364)</f>
        <v>48061</v>
      </c>
      <c r="W364" s="5" t="n">
        <f aca="false">V364-C$3</f>
        <v>10830</v>
      </c>
      <c r="X364" s="124" t="n">
        <f aca="false">VLOOKUP($A364,Table,MATCH(X$4,Curves,0))</f>
        <v>2</v>
      </c>
      <c r="Y364" s="129" t="n">
        <f aca="false">1/(1+CHOOSE(F$3,(X365+($K$3/10000))/2,(X364+($K$3/10000))/2))^(2*W364/365.25)</f>
        <v>1.40722952631803E-018</v>
      </c>
      <c r="Z364" s="5" t="n">
        <f aca="false">IF(AND(mthbeg&lt;=A364,mthend&gt;=A364),1,0)</f>
        <v>0</v>
      </c>
      <c r="AA364" s="5" t="n">
        <f aca="false">U364*Z364</f>
        <v>0</v>
      </c>
      <c r="AC364" s="115" t="n">
        <f aca="false">IF(G357=2,F364*(S364-Q364),F364*(Q364-S364))</f>
        <v>0</v>
      </c>
      <c r="AE364" s="116" t="n">
        <f aca="false">IF($G$3=1,F364*(R364-Q364),F364*(Q364-R364))</f>
        <v>0</v>
      </c>
      <c r="AG364" s="116" t="n">
        <f aca="false">AC364+AE364</f>
        <v>0</v>
      </c>
    </row>
    <row r="365" customFormat="false" ht="12" hidden="false" customHeight="true" outlineLevel="0" collapsed="false">
      <c r="A365" s="120" t="n">
        <f aca="false">EDATE(A364,1)</f>
        <v>48092</v>
      </c>
      <c r="B365" s="121" t="e">
        <f aca="false">VLOOKUP(A365,'Inputs-Summary'!$A$32:$E$41,3,FALSE())</f>
        <v>#N/A</v>
      </c>
      <c r="C365" s="122"/>
      <c r="D365" s="123" t="e">
        <f aca="false">B365+C365</f>
        <v>#N/A</v>
      </c>
      <c r="E365" s="111" t="n">
        <f aca="false">IF(Z365=0,0,IF(AND(Z365=1,$H$3=1),D365*U365,IF($H$3=2,D365,"N/A")))</f>
        <v>0</v>
      </c>
      <c r="F365" s="111" t="n">
        <f aca="false">E365*Y365</f>
        <v>0</v>
      </c>
      <c r="G365" s="124" t="n">
        <f aca="false">VLOOKUP($A365,Table,MATCH(G$4,Curves,0))</f>
        <v>3</v>
      </c>
      <c r="H365" s="125" t="n">
        <f aca="false">G365+$H$7</f>
        <v>3</v>
      </c>
      <c r="I365" s="124" t="n">
        <f aca="false">H365</f>
        <v>3</v>
      </c>
      <c r="J365" s="124" t="n">
        <f aca="false">VLOOKUP($A365,Table,MATCH(J$4,Curves,0))</f>
        <v>4</v>
      </c>
      <c r="K365" s="125" t="n">
        <f aca="false">J365+$K$7</f>
        <v>4</v>
      </c>
      <c r="L365" s="126" t="n">
        <f aca="false">K365</f>
        <v>4</v>
      </c>
      <c r="M365" s="124" t="n">
        <f aca="false">VLOOKUP($A365,Table,MATCH(M$4,Curves,0))</f>
        <v>4</v>
      </c>
      <c r="N365" s="125" t="n">
        <f aca="false">M365+$N$7</f>
        <v>4</v>
      </c>
      <c r="O365" s="126" t="n">
        <v>0.12</v>
      </c>
      <c r="P365" s="114"/>
      <c r="Q365" s="126" t="n">
        <f aca="false">M365+J365+G365</f>
        <v>11</v>
      </c>
      <c r="R365" s="126" t="n">
        <f aca="false">N365+K365+H365</f>
        <v>11</v>
      </c>
      <c r="S365" s="126" t="n">
        <f aca="false">O365+L365+I365</f>
        <v>7.12</v>
      </c>
      <c r="T365" s="127"/>
      <c r="U365" s="5" t="n">
        <f aca="false">A366-A365</f>
        <v>30</v>
      </c>
      <c r="V365" s="128" t="n">
        <f aca="false">CHOOSE(F$3,A366+24,A365)</f>
        <v>48092</v>
      </c>
      <c r="W365" s="5" t="n">
        <f aca="false">V365-C$3</f>
        <v>10861</v>
      </c>
      <c r="X365" s="124" t="n">
        <f aca="false">VLOOKUP($A365,Table,MATCH(X$4,Curves,0))</f>
        <v>2</v>
      </c>
      <c r="Y365" s="129" t="n">
        <f aca="false">1/(1+CHOOSE(F$3,(X366+($K$3/10000))/2,(X365+($K$3/10000))/2))^(2*W365/365.25)</f>
        <v>1.25102525133076E-018</v>
      </c>
      <c r="Z365" s="5" t="n">
        <f aca="false">IF(AND(mthbeg&lt;=A365,mthend&gt;=A365),1,0)</f>
        <v>0</v>
      </c>
      <c r="AA365" s="5" t="n">
        <f aca="false">U365*Z365</f>
        <v>0</v>
      </c>
      <c r="AC365" s="115" t="n">
        <f aca="false">IF(G358=2,F365*(S365-Q365),F365*(Q365-S365))</f>
        <v>0</v>
      </c>
      <c r="AE365" s="116" t="n">
        <f aca="false">IF($G$3=1,F365*(R365-Q365),F365*(Q365-R365))</f>
        <v>0</v>
      </c>
      <c r="AG365" s="116" t="n">
        <f aca="false">AC365+AE365</f>
        <v>0</v>
      </c>
    </row>
    <row r="366" customFormat="false" ht="12" hidden="false" customHeight="true" outlineLevel="0" collapsed="false">
      <c r="A366" s="120" t="n">
        <f aca="false">EDATE(A365,1)</f>
        <v>48122</v>
      </c>
      <c r="B366" s="121" t="e">
        <f aca="false">VLOOKUP(A366,'Inputs-Summary'!$A$32:$E$41,3,FALSE())</f>
        <v>#N/A</v>
      </c>
      <c r="C366" s="122"/>
      <c r="D366" s="123" t="e">
        <f aca="false">B366+C366</f>
        <v>#N/A</v>
      </c>
      <c r="E366" s="111" t="n">
        <f aca="false">IF(Z366=0,0,IF(AND(Z366=1,$H$3=1),D366*U366,IF($H$3=2,D366,"N/A")))</f>
        <v>0</v>
      </c>
      <c r="F366" s="111" t="n">
        <f aca="false">E366*Y366</f>
        <v>0</v>
      </c>
      <c r="G366" s="124" t="n">
        <f aca="false">VLOOKUP($A366,Table,MATCH(G$4,Curves,0))</f>
        <v>3</v>
      </c>
      <c r="H366" s="125" t="n">
        <f aca="false">G366+$H$7</f>
        <v>3</v>
      </c>
      <c r="I366" s="124" t="n">
        <f aca="false">H366</f>
        <v>3</v>
      </c>
      <c r="J366" s="124" t="n">
        <f aca="false">VLOOKUP($A366,Table,MATCH(J$4,Curves,0))</f>
        <v>4</v>
      </c>
      <c r="K366" s="125" t="n">
        <f aca="false">J366+$K$7</f>
        <v>4</v>
      </c>
      <c r="L366" s="126" t="n">
        <f aca="false">K366</f>
        <v>4</v>
      </c>
      <c r="M366" s="124" t="n">
        <f aca="false">VLOOKUP($A366,Table,MATCH(M$4,Curves,0))</f>
        <v>4</v>
      </c>
      <c r="N366" s="125" t="n">
        <f aca="false">M366+$N$7</f>
        <v>4</v>
      </c>
      <c r="O366" s="126" t="n">
        <v>0.12</v>
      </c>
      <c r="P366" s="114"/>
      <c r="Q366" s="126" t="n">
        <f aca="false">M366+J366+G366</f>
        <v>11</v>
      </c>
      <c r="R366" s="126" t="n">
        <f aca="false">N366+K366+H366</f>
        <v>11</v>
      </c>
      <c r="S366" s="126" t="n">
        <f aca="false">O366+L366+I366</f>
        <v>7.12</v>
      </c>
      <c r="T366" s="127"/>
      <c r="U366" s="5" t="n">
        <f aca="false">A367-A366</f>
        <v>31</v>
      </c>
      <c r="V366" s="128" t="n">
        <f aca="false">CHOOSE(F$3,A367+24,A366)</f>
        <v>48122</v>
      </c>
      <c r="W366" s="5" t="n">
        <f aca="false">V366-C$3</f>
        <v>10891</v>
      </c>
      <c r="X366" s="124" t="n">
        <f aca="false">VLOOKUP($A366,Table,MATCH(X$4,Curves,0))</f>
        <v>2</v>
      </c>
      <c r="Y366" s="129" t="n">
        <f aca="false">1/(1+CHOOSE(F$3,(X367+($K$3/10000))/2,(X366+($K$3/10000))/2))^(2*W366/365.25)</f>
        <v>1.11638903732292E-018</v>
      </c>
      <c r="Z366" s="5" t="n">
        <f aca="false">IF(AND(mthbeg&lt;=A366,mthend&gt;=A366),1,0)</f>
        <v>0</v>
      </c>
      <c r="AA366" s="5" t="n">
        <f aca="false">U366*Z366</f>
        <v>0</v>
      </c>
      <c r="AC366" s="115" t="n">
        <f aca="false">IF(G359=2,F366*(S366-Q366),F366*(Q366-S366))</f>
        <v>0</v>
      </c>
      <c r="AE366" s="116" t="n">
        <f aca="false">IF($G$3=1,F366*(R366-Q366),F366*(Q366-R366))</f>
        <v>0</v>
      </c>
      <c r="AG366" s="116" t="n">
        <f aca="false">AC366+AE366</f>
        <v>0</v>
      </c>
    </row>
    <row r="367" customFormat="false" ht="12" hidden="false" customHeight="true" outlineLevel="0" collapsed="false">
      <c r="A367" s="120" t="n">
        <f aca="false">EDATE(A366,1)</f>
        <v>48153</v>
      </c>
      <c r="B367" s="121" t="e">
        <f aca="false">VLOOKUP(A367,'Inputs-Summary'!$A$32:$E$41,3,FALSE())</f>
        <v>#N/A</v>
      </c>
      <c r="C367" s="122"/>
      <c r="D367" s="123" t="e">
        <f aca="false">B367+C367</f>
        <v>#N/A</v>
      </c>
      <c r="E367" s="111" t="n">
        <f aca="false">IF(Z367=0,0,IF(AND(Z367=1,$H$3=1),D367*U367,IF($H$3=2,D367,"N/A")))</f>
        <v>0</v>
      </c>
      <c r="F367" s="111" t="n">
        <f aca="false">E367*Y367</f>
        <v>0</v>
      </c>
      <c r="G367" s="124" t="n">
        <f aca="false">VLOOKUP($A367,Table,MATCH(G$4,Curves,0))</f>
        <v>3</v>
      </c>
      <c r="H367" s="125" t="n">
        <f aca="false">G367+$H$7</f>
        <v>3</v>
      </c>
      <c r="I367" s="124" t="n">
        <f aca="false">H367</f>
        <v>3</v>
      </c>
      <c r="J367" s="124" t="n">
        <f aca="false">VLOOKUP($A367,Table,MATCH(J$4,Curves,0))</f>
        <v>4</v>
      </c>
      <c r="K367" s="125" t="n">
        <f aca="false">J367+$K$7</f>
        <v>4</v>
      </c>
      <c r="L367" s="126" t="n">
        <f aca="false">K367</f>
        <v>4</v>
      </c>
      <c r="M367" s="124" t="n">
        <f aca="false">VLOOKUP($A367,Table,MATCH(M$4,Curves,0))</f>
        <v>4</v>
      </c>
      <c r="N367" s="125" t="n">
        <f aca="false">M367+$N$7</f>
        <v>4</v>
      </c>
      <c r="O367" s="126" t="n">
        <v>0.12</v>
      </c>
      <c r="P367" s="114"/>
      <c r="Q367" s="126" t="n">
        <f aca="false">M367+J367+G367</f>
        <v>11</v>
      </c>
      <c r="R367" s="126" t="n">
        <f aca="false">N367+K367+H367</f>
        <v>11</v>
      </c>
      <c r="S367" s="126" t="n">
        <f aca="false">O367+L367+I367</f>
        <v>7.12</v>
      </c>
      <c r="T367" s="127"/>
      <c r="U367" s="5" t="n">
        <f aca="false">A368-A367</f>
        <v>30</v>
      </c>
      <c r="V367" s="128" t="n">
        <f aca="false">CHOOSE(F$3,A368+24,A367)</f>
        <v>48153</v>
      </c>
      <c r="W367" s="5" t="n">
        <f aca="false">V367-C$3</f>
        <v>10922</v>
      </c>
      <c r="X367" s="124" t="n">
        <f aca="false">VLOOKUP($A367,Table,MATCH(X$4,Curves,0))</f>
        <v>2</v>
      </c>
      <c r="Y367" s="129" t="n">
        <f aca="false">1/(1+CHOOSE(F$3,(X368+($K$3/10000))/2,(X367+($K$3/10000))/2))^(2*W367/365.25)</f>
        <v>9.92468428127745E-019</v>
      </c>
      <c r="Z367" s="5" t="n">
        <f aca="false">IF(AND(mthbeg&lt;=A367,mthend&gt;=A367),1,0)</f>
        <v>0</v>
      </c>
      <c r="AA367" s="5" t="n">
        <f aca="false">U367*Z367</f>
        <v>0</v>
      </c>
      <c r="AC367" s="115" t="n">
        <f aca="false">IF(G360=2,F367*(S367-Q367),F367*(Q367-S367))</f>
        <v>0</v>
      </c>
      <c r="AE367" s="116" t="n">
        <f aca="false">IF($G$3=1,F367*(R367-Q367),F367*(Q367-R367))</f>
        <v>0</v>
      </c>
      <c r="AG367" s="116" t="n">
        <f aca="false">AC367+AE367</f>
        <v>0</v>
      </c>
    </row>
    <row r="368" customFormat="false" ht="12" hidden="false" customHeight="true" outlineLevel="0" collapsed="false">
      <c r="A368" s="120" t="n">
        <f aca="false">EDATE(A367,1)</f>
        <v>48183</v>
      </c>
      <c r="B368" s="121" t="e">
        <f aca="false">VLOOKUP(A368,'Inputs-Summary'!$A$32:$E$41,3,FALSE())</f>
        <v>#N/A</v>
      </c>
      <c r="C368" s="122"/>
      <c r="D368" s="123" t="e">
        <f aca="false">B368+C368</f>
        <v>#N/A</v>
      </c>
      <c r="E368" s="111" t="n">
        <f aca="false">IF(Z368=0,0,IF(AND(Z368=1,$H$3=1),D368*U368,IF($H$3=2,D368,"N/A")))</f>
        <v>0</v>
      </c>
      <c r="F368" s="111" t="n">
        <f aca="false">E368*Y368</f>
        <v>0</v>
      </c>
      <c r="G368" s="124" t="n">
        <f aca="false">VLOOKUP($A368,Table,MATCH(G$4,Curves,0))</f>
        <v>3</v>
      </c>
      <c r="H368" s="125" t="n">
        <f aca="false">G368+$H$7</f>
        <v>3</v>
      </c>
      <c r="I368" s="124" t="n">
        <f aca="false">H368</f>
        <v>3</v>
      </c>
      <c r="J368" s="124" t="n">
        <f aca="false">VLOOKUP($A368,Table,MATCH(J$4,Curves,0))</f>
        <v>4</v>
      </c>
      <c r="K368" s="125" t="n">
        <f aca="false">J368+$K$7</f>
        <v>4</v>
      </c>
      <c r="L368" s="126" t="n">
        <f aca="false">K368</f>
        <v>4</v>
      </c>
      <c r="M368" s="124" t="n">
        <f aca="false">VLOOKUP($A368,Table,MATCH(M$4,Curves,0))</f>
        <v>4</v>
      </c>
      <c r="N368" s="125" t="n">
        <f aca="false">M368+$N$7</f>
        <v>4</v>
      </c>
      <c r="O368" s="126" t="n">
        <v>0.12</v>
      </c>
      <c r="P368" s="114"/>
      <c r="Q368" s="126" t="n">
        <f aca="false">M368+J368+G368</f>
        <v>11</v>
      </c>
      <c r="R368" s="126" t="n">
        <f aca="false">N368+K368+H368</f>
        <v>11</v>
      </c>
      <c r="S368" s="126" t="n">
        <f aca="false">O368+L368+I368</f>
        <v>7.12</v>
      </c>
      <c r="T368" s="127"/>
      <c r="U368" s="5" t="n">
        <f aca="false">A369-A368</f>
        <v>31</v>
      </c>
      <c r="V368" s="128" t="n">
        <f aca="false">CHOOSE(F$3,A369+24,A368)</f>
        <v>48183</v>
      </c>
      <c r="W368" s="5" t="n">
        <f aca="false">V368-C$3</f>
        <v>10952</v>
      </c>
      <c r="X368" s="124" t="n">
        <f aca="false">VLOOKUP($A368,Table,MATCH(X$4,Curves,0))</f>
        <v>2</v>
      </c>
      <c r="Y368" s="129" t="n">
        <f aca="false">1/(1+CHOOSE(F$3,(X369+($K$3/10000))/2,(X368+($K$3/10000))/2))^(2*W368/365.25)</f>
        <v>8.85658280576137E-019</v>
      </c>
      <c r="Z368" s="5" t="n">
        <f aca="false">IF(AND(mthbeg&lt;=A368,mthend&gt;=A368),1,0)</f>
        <v>0</v>
      </c>
      <c r="AA368" s="5" t="n">
        <f aca="false">U368*Z368</f>
        <v>0</v>
      </c>
      <c r="AC368" s="115" t="n">
        <f aca="false">IF(G361=2,F368*(S368-Q368),F368*(Q368-S368))</f>
        <v>0</v>
      </c>
      <c r="AE368" s="116" t="n">
        <f aca="false">IF($G$3=1,F368*(R368-Q368),F368*(Q368-R368))</f>
        <v>0</v>
      </c>
      <c r="AG368" s="116" t="n">
        <f aca="false">AC368+AE368</f>
        <v>0</v>
      </c>
    </row>
    <row r="369" customFormat="false" ht="12" hidden="false" customHeight="true" outlineLevel="0" collapsed="false">
      <c r="A369" s="120" t="n">
        <f aca="false">EDATE(A368,1)</f>
        <v>48214</v>
      </c>
      <c r="B369" s="121" t="e">
        <f aca="false">VLOOKUP(A369,'Inputs-Summary'!$A$32:$E$41,3,FALSE())</f>
        <v>#N/A</v>
      </c>
      <c r="C369" s="122"/>
      <c r="D369" s="123" t="e">
        <f aca="false">B369+C369</f>
        <v>#N/A</v>
      </c>
      <c r="E369" s="111" t="n">
        <f aca="false">IF(Z369=0,0,IF(AND(Z369=1,$H$3=1),D369*U369,IF($H$3=2,D369,"N/A")))</f>
        <v>0</v>
      </c>
      <c r="F369" s="111" t="n">
        <f aca="false">E369*Y369</f>
        <v>0</v>
      </c>
      <c r="G369" s="124" t="n">
        <f aca="false">VLOOKUP($A369,Table,MATCH(G$4,Curves,0))</f>
        <v>3</v>
      </c>
      <c r="H369" s="125" t="n">
        <f aca="false">G369+$H$7</f>
        <v>3</v>
      </c>
      <c r="I369" s="124" t="n">
        <f aca="false">H369</f>
        <v>3</v>
      </c>
      <c r="J369" s="124" t="n">
        <f aca="false">VLOOKUP($A369,Table,MATCH(J$4,Curves,0))</f>
        <v>4</v>
      </c>
      <c r="K369" s="125" t="n">
        <f aca="false">J369+$K$7</f>
        <v>4</v>
      </c>
      <c r="L369" s="126" t="n">
        <f aca="false">K369</f>
        <v>4</v>
      </c>
      <c r="M369" s="124" t="n">
        <f aca="false">VLOOKUP($A369,Table,MATCH(M$4,Curves,0))</f>
        <v>4</v>
      </c>
      <c r="N369" s="125" t="n">
        <f aca="false">M369+$N$7</f>
        <v>4</v>
      </c>
      <c r="O369" s="126" t="n">
        <v>0.12</v>
      </c>
      <c r="P369" s="114"/>
      <c r="Q369" s="126" t="n">
        <f aca="false">M369+J369+G369</f>
        <v>11</v>
      </c>
      <c r="R369" s="126" t="n">
        <f aca="false">N369+K369+H369</f>
        <v>11</v>
      </c>
      <c r="S369" s="126" t="n">
        <f aca="false">O369+L369+I369</f>
        <v>7.12</v>
      </c>
      <c r="T369" s="127"/>
      <c r="U369" s="5" t="n">
        <f aca="false">A370-A369</f>
        <v>31</v>
      </c>
      <c r="V369" s="128" t="n">
        <f aca="false">CHOOSE(F$3,A370+24,A369)</f>
        <v>48214</v>
      </c>
      <c r="W369" s="5" t="n">
        <f aca="false">V369-C$3</f>
        <v>10983</v>
      </c>
      <c r="X369" s="124" t="n">
        <f aca="false">VLOOKUP($A369,Table,MATCH(X$4,Curves,0))</f>
        <v>2</v>
      </c>
      <c r="Y369" s="129" t="n">
        <f aca="false">1/(1+CHOOSE(F$3,(X370+($K$3/10000))/2,(X369+($K$3/10000))/2))^(2*W369/365.25)</f>
        <v>7.87349080110563E-019</v>
      </c>
      <c r="Z369" s="5" t="n">
        <f aca="false">IF(AND(mthbeg&lt;=A369,mthend&gt;=A369),1,0)</f>
        <v>0</v>
      </c>
      <c r="AA369" s="5" t="n">
        <f aca="false">U369*Z369</f>
        <v>0</v>
      </c>
      <c r="AC369" s="115" t="n">
        <f aca="false">IF(G362=2,F369*(S369-Q369),F369*(Q369-S369))</f>
        <v>0</v>
      </c>
      <c r="AE369" s="116" t="n">
        <f aca="false">IF($G$3=1,F369*(R369-Q369),F369*(Q369-R369))</f>
        <v>0</v>
      </c>
      <c r="AG369" s="130" t="n">
        <f aca="false">AC369+AE369</f>
        <v>0</v>
      </c>
    </row>
    <row r="370" customFormat="false" ht="13.5" hidden="false" customHeight="false" outlineLevel="0" collapsed="false">
      <c r="A370" s="120" t="n">
        <f aca="false">EDATE(A369,1)</f>
        <v>48245</v>
      </c>
      <c r="X370" s="124" t="n">
        <f aca="false">VLOOKUP($A370,Table,MATCH(X$4,Curves,0))</f>
        <v>2</v>
      </c>
      <c r="AE370" s="130" t="n">
        <f aca="false">IF($G$3=1,F370*(R370-Q370),F370*(Q370-R370))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3" activeCellId="0" sqref="G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2" width="14.14"/>
    <col collapsed="false" customWidth="true" hidden="false" outlineLevel="0" max="2" min="2" style="72" width="14.56"/>
    <col collapsed="false" customWidth="true" hidden="false" outlineLevel="0" max="4" min="3" style="72" width="16.42"/>
    <col collapsed="false" customWidth="true" hidden="false" outlineLevel="0" max="5" min="5" style="72" width="14.85"/>
    <col collapsed="false" customWidth="true" hidden="false" outlineLevel="0" max="6" min="6" style="72" width="13.85"/>
    <col collapsed="false" customWidth="true" hidden="false" outlineLevel="0" max="7" min="7" style="72" width="10.71"/>
    <col collapsed="false" customWidth="true" hidden="false" outlineLevel="0" max="8" min="8" style="72" width="18.14"/>
    <col collapsed="false" customWidth="true" hidden="false" outlineLevel="0" max="9" min="9" style="72" width="22.56"/>
    <col collapsed="false" customWidth="true" hidden="false" outlineLevel="0" max="10" min="10" style="72" width="25.85"/>
    <col collapsed="false" customWidth="true" hidden="false" outlineLevel="0" max="12" min="11" style="5" width="19.28"/>
    <col collapsed="false" customWidth="true" hidden="false" outlineLevel="0" max="13" min="13" style="5" width="24.99"/>
    <col collapsed="false" customWidth="true" hidden="false" outlineLevel="0" max="15" min="14" style="5" width="19.28"/>
    <col collapsed="false" customWidth="true" hidden="false" outlineLevel="0" max="16" min="16" style="5" width="3.14"/>
    <col collapsed="false" customWidth="true" hidden="false" outlineLevel="0" max="17" min="17" style="5" width="16.7"/>
    <col collapsed="false" customWidth="true" hidden="false" outlineLevel="0" max="18" min="18" style="5" width="18.56"/>
    <col collapsed="false" customWidth="true" hidden="false" outlineLevel="0" max="19" min="19" style="5" width="16.7"/>
    <col collapsed="false" customWidth="true" hidden="false" outlineLevel="0" max="20" min="20" style="72" width="3.14"/>
    <col collapsed="false" customWidth="true" hidden="false" outlineLevel="0" max="27" min="21" style="5" width="10.71"/>
    <col collapsed="false" customWidth="true" hidden="false" outlineLevel="0" max="28" min="28" style="72" width="4.28"/>
    <col collapsed="false" customWidth="true" hidden="false" outlineLevel="0" max="29" min="29" style="72" width="18.41"/>
    <col collapsed="false" customWidth="true" hidden="false" outlineLevel="0" max="30" min="30" style="72" width="3.85"/>
    <col collapsed="false" customWidth="true" hidden="false" outlineLevel="0" max="31" min="31" style="72" width="13.85"/>
    <col collapsed="false" customWidth="true" hidden="false" outlineLevel="0" max="32" min="32" style="72" width="2.84"/>
    <col collapsed="false" customWidth="true" hidden="false" outlineLevel="0" max="33" min="33" style="72" width="12.14"/>
    <col collapsed="false" customWidth="false" hidden="false" outlineLevel="0" max="257" min="34" style="72" width="9.14"/>
  </cols>
  <sheetData>
    <row r="1" customFormat="false" ht="13.5" hidden="false" customHeight="false" outlineLevel="0" collapsed="false">
      <c r="A1" s="73"/>
      <c r="B1" s="74" t="s">
        <v>36</v>
      </c>
      <c r="C1" s="75"/>
      <c r="D1" s="75"/>
      <c r="E1" s="0"/>
      <c r="H1" s="76" t="s">
        <v>37</v>
      </c>
      <c r="I1" s="5" t="s">
        <v>38</v>
      </c>
      <c r="J1" s="5" t="s">
        <v>26</v>
      </c>
      <c r="K1" s="77" t="s">
        <v>39</v>
      </c>
      <c r="L1" s="78" t="s">
        <v>40</v>
      </c>
      <c r="M1" s="79"/>
    </row>
    <row r="2" customFormat="false" ht="12.75" hidden="false" customHeight="false" outlineLevel="0" collapsed="false">
      <c r="A2" s="76" t="s">
        <v>1</v>
      </c>
      <c r="B2" s="80" t="s">
        <v>41</v>
      </c>
      <c r="C2" s="80" t="s">
        <v>42</v>
      </c>
      <c r="D2" s="81" t="s">
        <v>3</v>
      </c>
      <c r="E2" s="80" t="s">
        <v>0</v>
      </c>
      <c r="F2" s="80" t="s">
        <v>43</v>
      </c>
      <c r="G2" s="80" t="s">
        <v>44</v>
      </c>
      <c r="H2" s="82" t="s">
        <v>45</v>
      </c>
      <c r="I2" s="80" t="s">
        <v>46</v>
      </c>
      <c r="J2" s="80" t="s">
        <v>46</v>
      </c>
      <c r="K2" s="83" t="s">
        <v>47</v>
      </c>
      <c r="L2" s="84"/>
    </row>
    <row r="3" customFormat="false" ht="13.5" hidden="false" customHeight="false" outlineLevel="0" collapsed="false">
      <c r="A3" s="85" t="n">
        <f aca="false">'Inputs-Summary'!B3</f>
        <v>37288</v>
      </c>
      <c r="B3" s="86" t="n">
        <f aca="false">'Inputs-Summary'!B4</f>
        <v>37530</v>
      </c>
      <c r="C3" s="87" t="n">
        <v>37231</v>
      </c>
      <c r="D3" s="87" t="n">
        <f aca="false">'Inputs-Summary'!B5</f>
        <v>37260</v>
      </c>
      <c r="E3" s="88" t="str">
        <f aca="false">CONCATENATE(INT(Z8/12)," Y - ",Z8-INT(Z8/12)*12," M")</f>
        <v>0 Y - 9 M</v>
      </c>
      <c r="F3" s="89" t="n">
        <v>2</v>
      </c>
      <c r="G3" s="89" t="n">
        <f aca="false">'Inputs-Summary'!B9</f>
        <v>1</v>
      </c>
      <c r="H3" s="90" t="n">
        <f aca="false">'Inputs-Summary'!B8</f>
        <v>1</v>
      </c>
      <c r="I3" s="91" t="s">
        <v>48</v>
      </c>
      <c r="J3" s="91" t="s">
        <v>48</v>
      </c>
      <c r="K3" s="92" t="n">
        <v>0</v>
      </c>
      <c r="L3" s="63"/>
      <c r="AC3" s="72" t="s">
        <v>49</v>
      </c>
      <c r="AE3" s="72" t="s">
        <v>50</v>
      </c>
      <c r="AG3" s="72" t="s">
        <v>51</v>
      </c>
    </row>
    <row r="4" customFormat="false" ht="12.75" hidden="false" customHeight="false" outlineLevel="0" collapsed="false">
      <c r="A4" s="93"/>
      <c r="B4" s="93"/>
      <c r="C4" s="94"/>
      <c r="D4" s="94" t="s">
        <v>52</v>
      </c>
      <c r="E4" s="94" t="s">
        <v>53</v>
      </c>
      <c r="F4" s="94" t="s">
        <v>54</v>
      </c>
      <c r="G4" s="95" t="s">
        <v>55</v>
      </c>
      <c r="H4" s="96"/>
      <c r="I4" s="96"/>
      <c r="J4" s="95" t="str">
        <f aca="false">CONCATENATE(I3,"-","D")</f>
        <v>IF-TENN/LA_OFF-D</v>
      </c>
      <c r="K4" s="96" t="str">
        <f aca="false">I3</f>
        <v>IF-TENN/LA_OFF</v>
      </c>
      <c r="L4" s="96" t="str">
        <f aca="false">I3</f>
        <v>IF-TENN/LA_OFF</v>
      </c>
      <c r="M4" s="95" t="str">
        <f aca="false">CONCATENATE(J3,"-","I")</f>
        <v>IF-TENN/LA_OFF-I</v>
      </c>
      <c r="N4" s="96" t="str">
        <f aca="false">J3</f>
        <v>IF-TENN/LA_OFF</v>
      </c>
      <c r="O4" s="96" t="str">
        <f aca="false">J3</f>
        <v>IF-TENN/LA_OFF</v>
      </c>
      <c r="Q4" s="96" t="str">
        <f aca="false">K4</f>
        <v>IF-TENN/LA_OFF</v>
      </c>
      <c r="R4" s="96" t="str">
        <f aca="false">J4</f>
        <v>IF-TENN/LA_OFF-D</v>
      </c>
      <c r="S4" s="96" t="str">
        <f aca="false">K4</f>
        <v>IF-TENN/LA_OFF</v>
      </c>
      <c r="U4" s="97"/>
      <c r="V4" s="97"/>
      <c r="W4" s="97" t="s">
        <v>56</v>
      </c>
      <c r="X4" s="95" t="s">
        <v>57</v>
      </c>
      <c r="Y4" s="97"/>
      <c r="Z4" s="97"/>
      <c r="AA4" s="97"/>
      <c r="AC4" s="98"/>
      <c r="AE4" s="99"/>
      <c r="AG4" s="99"/>
    </row>
    <row r="5" customFormat="false" ht="12.75" hidden="false" customHeight="false" outlineLevel="0" collapsed="false">
      <c r="A5" s="94" t="s">
        <v>58</v>
      </c>
      <c r="B5" s="94" t="str">
        <f aca="false">IF($H$3=1,"Daily","Monthly")</f>
        <v>Daily</v>
      </c>
      <c r="C5" s="94"/>
      <c r="D5" s="94" t="str">
        <f aca="false">IF($H$3=1,"Daily","Monthly")</f>
        <v>Daily</v>
      </c>
      <c r="E5" s="94" t="s">
        <v>59</v>
      </c>
      <c r="F5" s="94" t="s">
        <v>59</v>
      </c>
      <c r="G5" s="94" t="s">
        <v>60</v>
      </c>
      <c r="H5" s="94" t="s">
        <v>60</v>
      </c>
      <c r="I5" s="94" t="s">
        <v>60</v>
      </c>
      <c r="J5" s="94" t="s">
        <v>38</v>
      </c>
      <c r="K5" s="94" t="s">
        <v>38</v>
      </c>
      <c r="L5" s="94" t="s">
        <v>38</v>
      </c>
      <c r="M5" s="94" t="s">
        <v>26</v>
      </c>
      <c r="N5" s="94" t="s">
        <v>26</v>
      </c>
      <c r="O5" s="94" t="s">
        <v>26</v>
      </c>
      <c r="Q5" s="94" t="s">
        <v>24</v>
      </c>
      <c r="R5" s="94" t="s">
        <v>24</v>
      </c>
      <c r="S5" s="94" t="s">
        <v>24</v>
      </c>
      <c r="U5" s="100" t="s">
        <v>61</v>
      </c>
      <c r="V5" s="100" t="s">
        <v>62</v>
      </c>
      <c r="W5" s="100" t="s">
        <v>62</v>
      </c>
      <c r="X5" s="101" t="s">
        <v>63</v>
      </c>
      <c r="Y5" s="100" t="s">
        <v>62</v>
      </c>
      <c r="Z5" s="100" t="s">
        <v>64</v>
      </c>
      <c r="AA5" s="100" t="s">
        <v>64</v>
      </c>
      <c r="AC5" s="102" t="s">
        <v>65</v>
      </c>
      <c r="AE5" s="102" t="s">
        <v>66</v>
      </c>
      <c r="AG5" s="102" t="s">
        <v>67</v>
      </c>
    </row>
    <row r="6" customFormat="false" ht="12.75" hidden="false" customHeight="false" outlineLevel="0" collapsed="false">
      <c r="A6" s="103" t="s">
        <v>68</v>
      </c>
      <c r="B6" s="103" t="s">
        <v>69</v>
      </c>
      <c r="C6" s="103"/>
      <c r="D6" s="103" t="s">
        <v>69</v>
      </c>
      <c r="E6" s="103" t="s">
        <v>70</v>
      </c>
      <c r="F6" s="103" t="s">
        <v>70</v>
      </c>
      <c r="G6" s="103" t="s">
        <v>20</v>
      </c>
      <c r="H6" s="103" t="str">
        <f aca="false">CHOOSE(G3,"Bid","Offer")</f>
        <v>Bid</v>
      </c>
      <c r="I6" s="103" t="s">
        <v>22</v>
      </c>
      <c r="J6" s="103" t="s">
        <v>20</v>
      </c>
      <c r="K6" s="103" t="str">
        <f aca="false">H6</f>
        <v>Bid</v>
      </c>
      <c r="L6" s="103" t="s">
        <v>22</v>
      </c>
      <c r="M6" s="103" t="s">
        <v>20</v>
      </c>
      <c r="N6" s="103" t="str">
        <f aca="false">K6</f>
        <v>Bid</v>
      </c>
      <c r="O6" s="103" t="s">
        <v>22</v>
      </c>
      <c r="Q6" s="103" t="s">
        <v>20</v>
      </c>
      <c r="R6" s="103" t="str">
        <f aca="false">K6</f>
        <v>Bid</v>
      </c>
      <c r="S6" s="103" t="s">
        <v>22</v>
      </c>
      <c r="U6" s="104" t="s">
        <v>71</v>
      </c>
      <c r="V6" s="104" t="s">
        <v>72</v>
      </c>
      <c r="W6" s="104" t="s">
        <v>71</v>
      </c>
      <c r="X6" s="105" t="s">
        <v>73</v>
      </c>
      <c r="Y6" s="104" t="s">
        <v>74</v>
      </c>
      <c r="Z6" s="104" t="s">
        <v>75</v>
      </c>
      <c r="AA6" s="104" t="s">
        <v>71</v>
      </c>
      <c r="AC6" s="102" t="s">
        <v>76</v>
      </c>
      <c r="AE6" s="102" t="s">
        <v>77</v>
      </c>
      <c r="AG6" s="102" t="s">
        <v>77</v>
      </c>
    </row>
    <row r="7" customFormat="false" ht="13.5" hidden="false" customHeight="false" outlineLevel="0" collapsed="false">
      <c r="A7" s="106"/>
      <c r="B7" s="106"/>
      <c r="C7" s="106"/>
      <c r="D7" s="106"/>
      <c r="H7" s="107"/>
      <c r="K7" s="107"/>
      <c r="N7" s="107"/>
      <c r="W7" s="108"/>
      <c r="AC7" s="109"/>
      <c r="AE7" s="109"/>
      <c r="AG7" s="109"/>
    </row>
    <row r="8" customFormat="false" ht="13.5" hidden="false" customHeight="false" outlineLevel="0" collapsed="false">
      <c r="A8" s="110" t="s">
        <v>78</v>
      </c>
      <c r="B8" s="111"/>
      <c r="C8" s="111"/>
      <c r="D8" s="111" t="e">
        <f aca="false">SUM(D10:D370)</f>
        <v>#N/A</v>
      </c>
      <c r="E8" s="111" t="n">
        <f aca="false">SUM(E10:E370)</f>
        <v>273000</v>
      </c>
      <c r="F8" s="111" t="n">
        <f aca="false">SUM(F10:F370)</f>
        <v>144920.891997022</v>
      </c>
      <c r="G8" s="112" t="n">
        <f aca="false">SUMPRODUCT($F10:$F370,G10:G370)/SUM($F10:$F370)</f>
        <v>3</v>
      </c>
      <c r="H8" s="112" t="n">
        <f aca="false">SUMPRODUCT($F10:$F370,H10:H370)/SUM($F10:$F370)</f>
        <v>3</v>
      </c>
      <c r="I8" s="112" t="n">
        <f aca="false">SUMPRODUCT($F10:$F370,I10:I370)/SUM($F10:$F370)</f>
        <v>3</v>
      </c>
      <c r="J8" s="112" t="n">
        <f aca="false">SUMPRODUCT($F10:$F370,J10:J370)/SUM($F10:$F370)</f>
        <v>4</v>
      </c>
      <c r="K8" s="112" t="n">
        <f aca="false">SUMPRODUCT($F10:$F370,K10:K370)/SUM($F10:$F370)</f>
        <v>4</v>
      </c>
      <c r="L8" s="112" t="n">
        <f aca="false">SUMPRODUCT($F10:$F370,L10:L370)/SUM($F10:$F370)</f>
        <v>4</v>
      </c>
      <c r="M8" s="112" t="n">
        <f aca="false">SUMPRODUCT($F10:$F370,M10:M370)/SUM($F10:$F370)</f>
        <v>4</v>
      </c>
      <c r="N8" s="112" t="n">
        <f aca="false">SUMPRODUCT($F10:$F370,N10:N370)/SUM($F10:$F370)</f>
        <v>4</v>
      </c>
      <c r="O8" s="112" t="n">
        <f aca="false">SUMPRODUCT($F10:$F370,O10:O370)/SUM($F10:$F370)</f>
        <v>0.25</v>
      </c>
      <c r="P8" s="112"/>
      <c r="Q8" s="112" t="n">
        <f aca="false">SUMPRODUCT($F10:$F370,Q10:Q370)/SUM($F10:$F370)</f>
        <v>11</v>
      </c>
      <c r="R8" s="112" t="n">
        <f aca="false">SUMPRODUCT($F10:$F370,R10:R370)/SUM($F10:$F370)</f>
        <v>11</v>
      </c>
      <c r="S8" s="112" t="n">
        <f aca="false">SUMPRODUCT($F10:$F370,S10:S370)/SUM($F10:$F370)</f>
        <v>7.25</v>
      </c>
      <c r="X8" s="113"/>
      <c r="Z8" s="114" t="n">
        <f aca="false">SUM(Z10:Z370)</f>
        <v>9</v>
      </c>
      <c r="AA8" s="114" t="n">
        <f aca="false">SUM(AA10:AA370)</f>
        <v>273</v>
      </c>
      <c r="AC8" s="115" t="n">
        <f aca="false">SUM(AC10:AC370)</f>
        <v>543453.344988833</v>
      </c>
      <c r="AE8" s="116" t="n">
        <f aca="false">SUM(AE10:AE370)</f>
        <v>0</v>
      </c>
      <c r="AG8" s="116" t="n">
        <f aca="false">AC8+AE8</f>
        <v>543453.344988833</v>
      </c>
    </row>
    <row r="9" customFormat="false" ht="12.75" hidden="false" customHeight="false" outlineLevel="0" collapsed="false">
      <c r="B9" s="117"/>
      <c r="C9" s="117"/>
      <c r="D9" s="117"/>
      <c r="E9" s="117"/>
      <c r="F9" s="117"/>
      <c r="H9" s="118"/>
      <c r="I9" s="118"/>
      <c r="J9" s="118"/>
      <c r="K9" s="119"/>
      <c r="L9" s="119"/>
      <c r="M9" s="119"/>
      <c r="N9" s="119"/>
      <c r="O9" s="119"/>
      <c r="Q9" s="119"/>
      <c r="R9" s="119"/>
      <c r="S9" s="119"/>
      <c r="AC9" s="109"/>
      <c r="AE9" s="109"/>
      <c r="AG9" s="109"/>
    </row>
    <row r="10" customFormat="false" ht="12.75" hidden="false" customHeight="false" outlineLevel="0" collapsed="false">
      <c r="A10" s="120" t="n">
        <f aca="false">A3</f>
        <v>37288</v>
      </c>
      <c r="B10" s="121" t="n">
        <f aca="false">VLOOKUP(A10,'Inputs-Summary'!$A$32:$E$41,4,FALSE())</f>
        <v>1000</v>
      </c>
      <c r="C10" s="122"/>
      <c r="D10" s="123" t="n">
        <f aca="false">B10+C10</f>
        <v>1000</v>
      </c>
      <c r="E10" s="111" t="n">
        <f aca="false">IF(Z10=0,0,IF(AND(Z10=1,$H$3=1),D10*U10,IF($H$3=2,D10,"N/A")))</f>
        <v>28000</v>
      </c>
      <c r="F10" s="111" t="n">
        <f aca="false">E10*Y10</f>
        <v>22552.8825045271</v>
      </c>
      <c r="G10" s="124" t="n">
        <f aca="false">VLOOKUP($A10,Table,MATCH(G$4,Curves,0))</f>
        <v>3</v>
      </c>
      <c r="H10" s="125" t="n">
        <f aca="false">G10+$H$7</f>
        <v>3</v>
      </c>
      <c r="I10" s="124" t="n">
        <f aca="false">H10</f>
        <v>3</v>
      </c>
      <c r="J10" s="124" t="n">
        <f aca="false">VLOOKUP($A10,Table,MATCH(J$4,Curves,0))</f>
        <v>4</v>
      </c>
      <c r="K10" s="125" t="n">
        <f aca="false">J10+$K$7</f>
        <v>4</v>
      </c>
      <c r="L10" s="126" t="n">
        <f aca="false">K10</f>
        <v>4</v>
      </c>
      <c r="M10" s="124" t="n">
        <f aca="false">VLOOKUP($A10,Table,MATCH(M$4,Curves,0))</f>
        <v>4</v>
      </c>
      <c r="N10" s="125" t="n">
        <f aca="false">M10+$N$7</f>
        <v>4</v>
      </c>
      <c r="O10" s="126" t="n">
        <v>0.25</v>
      </c>
      <c r="P10" s="114"/>
      <c r="Q10" s="126" t="n">
        <f aca="false">M10+J10+G10</f>
        <v>11</v>
      </c>
      <c r="R10" s="126" t="n">
        <f aca="false">N10+K10+H10</f>
        <v>11</v>
      </c>
      <c r="S10" s="126" t="n">
        <f aca="false">O10+L10+I10</f>
        <v>7.25</v>
      </c>
      <c r="T10" s="127"/>
      <c r="U10" s="5" t="n">
        <f aca="false">A11-A10</f>
        <v>28</v>
      </c>
      <c r="V10" s="128" t="n">
        <f aca="false">CHOOSE(F$3,A11+24,A10)</f>
        <v>37288</v>
      </c>
      <c r="W10" s="5" t="n">
        <f aca="false">V10-C$3</f>
        <v>57</v>
      </c>
      <c r="X10" s="124" t="n">
        <f aca="false">VLOOKUP($A10,Table,MATCH(X$4,Curves,0))</f>
        <v>2</v>
      </c>
      <c r="Y10" s="129" t="n">
        <f aca="false">1/(1+CHOOSE(F$3,(X11+($K$3/10000))/2,(X10+($K$3/10000))/2))^(2*W10/365.25)</f>
        <v>0.805460089447397</v>
      </c>
      <c r="Z10" s="5" t="n">
        <f aca="false">IF(AND(mthbeg&lt;=A10,mthend&gt;=A10),1,0)</f>
        <v>1</v>
      </c>
      <c r="AA10" s="5" t="n">
        <f aca="false">U10*Z10</f>
        <v>28</v>
      </c>
      <c r="AC10" s="115" t="n">
        <f aca="false">IF(G3=1,F10*(Q10-S10),F10*(S10-Q10))</f>
        <v>84573.3093919767</v>
      </c>
      <c r="AE10" s="116" t="n">
        <f aca="false">IF($G$3=1,F10*(R10-Q10),F10*(Q10-R10))</f>
        <v>0</v>
      </c>
      <c r="AG10" s="116" t="n">
        <f aca="false">AC10+AE10</f>
        <v>84573.3093919767</v>
      </c>
    </row>
    <row r="11" customFormat="false" ht="12.75" hidden="false" customHeight="false" outlineLevel="0" collapsed="false">
      <c r="A11" s="120" t="n">
        <f aca="false">EDATE(A10,1)</f>
        <v>37316</v>
      </c>
      <c r="B11" s="121" t="n">
        <f aca="false">VLOOKUP(A11,'Inputs-Summary'!$A$32:$E$41,4,FALSE())</f>
        <v>1000</v>
      </c>
      <c r="C11" s="122"/>
      <c r="D11" s="123" t="n">
        <f aca="false">B11+C11</f>
        <v>1000</v>
      </c>
      <c r="E11" s="111" t="n">
        <f aca="false">IF(Z11=0,0,IF(AND(Z11=1,$H$3=1),D11*U11,IF($H$3=2,D11,"N/A")))</f>
        <v>31000</v>
      </c>
      <c r="F11" s="111" t="n">
        <f aca="false">E11*Y11</f>
        <v>22451.8384189964</v>
      </c>
      <c r="G11" s="124" t="n">
        <f aca="false">VLOOKUP($A11,Table,MATCH(G$4,Curves,0))</f>
        <v>3</v>
      </c>
      <c r="H11" s="125" t="n">
        <f aca="false">G11+$H$7</f>
        <v>3</v>
      </c>
      <c r="I11" s="124" t="n">
        <f aca="false">H11</f>
        <v>3</v>
      </c>
      <c r="J11" s="124" t="n">
        <f aca="false">VLOOKUP($A11,Table,MATCH(J$4,Curves,0))</f>
        <v>4</v>
      </c>
      <c r="K11" s="125" t="n">
        <f aca="false">J11+$K$7</f>
        <v>4</v>
      </c>
      <c r="L11" s="126" t="n">
        <f aca="false">K11</f>
        <v>4</v>
      </c>
      <c r="M11" s="124" t="n">
        <f aca="false">VLOOKUP($A11,Table,MATCH(M$4,Curves,0))</f>
        <v>4</v>
      </c>
      <c r="N11" s="125" t="n">
        <f aca="false">M11+$N$7</f>
        <v>4</v>
      </c>
      <c r="O11" s="126" t="n">
        <v>0.25</v>
      </c>
      <c r="P11" s="114"/>
      <c r="Q11" s="126" t="n">
        <f aca="false">M11+J11+G11</f>
        <v>11</v>
      </c>
      <c r="R11" s="126" t="n">
        <f aca="false">N11+K11+H11</f>
        <v>11</v>
      </c>
      <c r="S11" s="126" t="n">
        <f aca="false">O11+L11+I11</f>
        <v>7.25</v>
      </c>
      <c r="T11" s="127"/>
      <c r="U11" s="5" t="n">
        <f aca="false">A12-A11</f>
        <v>31</v>
      </c>
      <c r="V11" s="128" t="n">
        <f aca="false">CHOOSE(F$3,A12+24,A11)</f>
        <v>37316</v>
      </c>
      <c r="W11" s="5" t="n">
        <f aca="false">V11-C$3</f>
        <v>85</v>
      </c>
      <c r="X11" s="124" t="n">
        <f aca="false">VLOOKUP($A11,Table,MATCH(X$4,Curves,0))</f>
        <v>2</v>
      </c>
      <c r="Y11" s="129" t="n">
        <f aca="false">1/(1+CHOOSE(F$3,(X12+($K$3/10000))/2,(X11+($K$3/10000))/2))^(2*W11/365.25)</f>
        <v>0.724252852225689</v>
      </c>
      <c r="Z11" s="5" t="n">
        <f aca="false">IF(AND(mthbeg&lt;=A11,mthend&gt;=A11),1,0)</f>
        <v>1</v>
      </c>
      <c r="AA11" s="5" t="n">
        <f aca="false">U11*Z11</f>
        <v>31</v>
      </c>
      <c r="AC11" s="115" t="n">
        <f aca="false">IF(G4=2,F11*(S11-Q11),F11*(Q11-S11))</f>
        <v>84194.3940712364</v>
      </c>
      <c r="AE11" s="116" t="n">
        <f aca="false">IF($G$3=1,F11*(R11-Q11),F11*(Q11-R11))</f>
        <v>0</v>
      </c>
      <c r="AG11" s="116" t="n">
        <f aca="false">AC11+AE11</f>
        <v>84194.3940712364</v>
      </c>
    </row>
    <row r="12" customFormat="false" ht="12.75" hidden="false" customHeight="false" outlineLevel="0" collapsed="false">
      <c r="A12" s="120" t="n">
        <f aca="false">EDATE(A11,1)</f>
        <v>37347</v>
      </c>
      <c r="B12" s="121" t="n">
        <f aca="false">VLOOKUP(A12,'Inputs-Summary'!$A$32:$E$41,4,FALSE())</f>
        <v>1000</v>
      </c>
      <c r="C12" s="122"/>
      <c r="D12" s="123" t="n">
        <f aca="false">B12+C12</f>
        <v>1000</v>
      </c>
      <c r="E12" s="111" t="n">
        <f aca="false">IF(Z12=0,0,IF(AND(Z12=1,$H$3=1),D12*U12,IF($H$3=2,D12,"N/A")))</f>
        <v>30000</v>
      </c>
      <c r="F12" s="111" t="n">
        <f aca="false">E12*Y12</f>
        <v>19315.7958144894</v>
      </c>
      <c r="G12" s="124" t="n">
        <f aca="false">VLOOKUP($A12,Table,MATCH(G$4,Curves,0))</f>
        <v>3</v>
      </c>
      <c r="H12" s="125" t="n">
        <f aca="false">G12+$H$7</f>
        <v>3</v>
      </c>
      <c r="I12" s="124" t="n">
        <f aca="false">H12</f>
        <v>3</v>
      </c>
      <c r="J12" s="124" t="n">
        <f aca="false">VLOOKUP($A12,Table,MATCH(J$4,Curves,0))</f>
        <v>4</v>
      </c>
      <c r="K12" s="125" t="n">
        <f aca="false">J12+$K$7</f>
        <v>4</v>
      </c>
      <c r="L12" s="126" t="n">
        <f aca="false">K12</f>
        <v>4</v>
      </c>
      <c r="M12" s="124" t="n">
        <f aca="false">VLOOKUP($A12,Table,MATCH(M$4,Curves,0))</f>
        <v>4</v>
      </c>
      <c r="N12" s="125" t="n">
        <f aca="false">M12+$N$7</f>
        <v>4</v>
      </c>
      <c r="O12" s="126" t="n">
        <v>0.25</v>
      </c>
      <c r="P12" s="114"/>
      <c r="Q12" s="126" t="n">
        <f aca="false">M12+J12+G12</f>
        <v>11</v>
      </c>
      <c r="R12" s="126" t="n">
        <f aca="false">N12+K12+H12</f>
        <v>11</v>
      </c>
      <c r="S12" s="126" t="n">
        <f aca="false">O12+L12+I12</f>
        <v>7.25</v>
      </c>
      <c r="T12" s="127"/>
      <c r="U12" s="5" t="n">
        <f aca="false">A13-A12</f>
        <v>30</v>
      </c>
      <c r="V12" s="128" t="n">
        <f aca="false">CHOOSE(F$3,A13+24,A12)</f>
        <v>37347</v>
      </c>
      <c r="W12" s="5" t="n">
        <f aca="false">V12-C$3</f>
        <v>116</v>
      </c>
      <c r="X12" s="124" t="n">
        <f aca="false">VLOOKUP($A12,Table,MATCH(X$4,Curves,0))</f>
        <v>2</v>
      </c>
      <c r="Y12" s="129" t="n">
        <f aca="false">1/(1+CHOOSE(F$3,(X13+($K$3/10000))/2,(X12+($K$3/10000))/2))^(2*W12/365.25)</f>
        <v>0.64385986048298</v>
      </c>
      <c r="Z12" s="5" t="n">
        <f aca="false">IF(AND(mthbeg&lt;=A12,mthend&gt;=A12),1,0)</f>
        <v>1</v>
      </c>
      <c r="AA12" s="5" t="n">
        <f aca="false">U12*Z12</f>
        <v>30</v>
      </c>
      <c r="AC12" s="115" t="n">
        <f aca="false">IF(G5=2,F12*(S12-Q12),F12*(Q12-S12))</f>
        <v>72434.2343043353</v>
      </c>
      <c r="AE12" s="116" t="n">
        <f aca="false">IF($G$3=1,F12*(R12-Q12),F12*(Q12-R12))</f>
        <v>0</v>
      </c>
      <c r="AG12" s="116" t="n">
        <f aca="false">AC12+AE12</f>
        <v>72434.2343043353</v>
      </c>
    </row>
    <row r="13" customFormat="false" ht="12.75" hidden="false" customHeight="false" outlineLevel="0" collapsed="false">
      <c r="A13" s="120" t="n">
        <f aca="false">EDATE(A12,1)</f>
        <v>37377</v>
      </c>
      <c r="B13" s="121" t="n">
        <f aca="false">VLOOKUP(A13,'Inputs-Summary'!$A$32:$E$41,4,FALSE())</f>
        <v>1000</v>
      </c>
      <c r="C13" s="122"/>
      <c r="D13" s="123" t="n">
        <f aca="false">B13+C13</f>
        <v>1000</v>
      </c>
      <c r="E13" s="111" t="n">
        <f aca="false">IF(Z13=0,0,IF(AND(Z13=1,$H$3=1),D13*U13,IF($H$3=2,D13,"N/A")))</f>
        <v>31000</v>
      </c>
      <c r="F13" s="111" t="n">
        <f aca="false">E13*Y13</f>
        <v>17811.5835476355</v>
      </c>
      <c r="G13" s="124" t="n">
        <f aca="false">VLOOKUP($A13,Table,MATCH(G$4,Curves,0))</f>
        <v>3</v>
      </c>
      <c r="H13" s="125" t="n">
        <f aca="false">G13+$H$7</f>
        <v>3</v>
      </c>
      <c r="I13" s="124" t="n">
        <f aca="false">H13</f>
        <v>3</v>
      </c>
      <c r="J13" s="124" t="n">
        <f aca="false">VLOOKUP($A13,Table,MATCH(J$4,Curves,0))</f>
        <v>4</v>
      </c>
      <c r="K13" s="125" t="n">
        <f aca="false">J13+$K$7</f>
        <v>4</v>
      </c>
      <c r="L13" s="126" t="n">
        <f aca="false">K13</f>
        <v>4</v>
      </c>
      <c r="M13" s="124" t="n">
        <f aca="false">VLOOKUP($A13,Table,MATCH(M$4,Curves,0))</f>
        <v>4</v>
      </c>
      <c r="N13" s="125" t="n">
        <f aca="false">M13+$N$7</f>
        <v>4</v>
      </c>
      <c r="O13" s="126" t="n">
        <v>0.25</v>
      </c>
      <c r="P13" s="114"/>
      <c r="Q13" s="126" t="n">
        <f aca="false">M13+J13+G13</f>
        <v>11</v>
      </c>
      <c r="R13" s="126" t="n">
        <f aca="false">N13+K13+H13</f>
        <v>11</v>
      </c>
      <c r="S13" s="126" t="n">
        <f aca="false">O13+L13+I13</f>
        <v>7.25</v>
      </c>
      <c r="T13" s="127"/>
      <c r="U13" s="5" t="n">
        <f aca="false">A14-A13</f>
        <v>31</v>
      </c>
      <c r="V13" s="128" t="n">
        <f aca="false">CHOOSE(F$3,A14+24,A13)</f>
        <v>37377</v>
      </c>
      <c r="W13" s="5" t="n">
        <f aca="false">V13-C$3</f>
        <v>146</v>
      </c>
      <c r="X13" s="124" t="n">
        <f aca="false">VLOOKUP($A13,Table,MATCH(X$4,Curves,0))</f>
        <v>2</v>
      </c>
      <c r="Y13" s="129" t="n">
        <f aca="false">1/(1+CHOOSE(F$3,(X14+($K$3/10000))/2,(X13+($K$3/10000))/2))^(2*W13/365.25)</f>
        <v>0.574567211214048</v>
      </c>
      <c r="Z13" s="5" t="n">
        <f aca="false">IF(AND(mthbeg&lt;=A13,mthend&gt;=A13),1,0)</f>
        <v>1</v>
      </c>
      <c r="AA13" s="5" t="n">
        <f aca="false">U13*Z13</f>
        <v>31</v>
      </c>
      <c r="AC13" s="115" t="n">
        <f aca="false">IF(G6=2,F13*(S13-Q13),F13*(Q13-S13))</f>
        <v>66793.4383036331</v>
      </c>
      <c r="AE13" s="116" t="n">
        <f aca="false">IF($G$3=1,F13*(R13-Q13),F13*(Q13-R13))</f>
        <v>0</v>
      </c>
      <c r="AG13" s="116" t="n">
        <f aca="false">AC13+AE13</f>
        <v>66793.4383036331</v>
      </c>
    </row>
    <row r="14" customFormat="false" ht="12.75" hidden="false" customHeight="false" outlineLevel="0" collapsed="false">
      <c r="A14" s="120" t="n">
        <f aca="false">EDATE(A13,1)</f>
        <v>37408</v>
      </c>
      <c r="B14" s="121" t="n">
        <f aca="false">VLOOKUP(A14,'Inputs-Summary'!$A$32:$E$41,4,FALSE())</f>
        <v>1000</v>
      </c>
      <c r="C14" s="122"/>
      <c r="D14" s="123" t="n">
        <f aca="false">B14+C14</f>
        <v>1000</v>
      </c>
      <c r="E14" s="111" t="n">
        <f aca="false">IF(Z14=0,0,IF(AND(Z14=1,$H$3=1),D14*U14,IF($H$3=2,D14,"N/A")))</f>
        <v>30000</v>
      </c>
      <c r="F14" s="111" t="n">
        <f aca="false">E14*Y14</f>
        <v>15323.6855048695</v>
      </c>
      <c r="G14" s="124" t="n">
        <f aca="false">VLOOKUP($A14,Table,MATCH(G$4,Curves,0))</f>
        <v>3</v>
      </c>
      <c r="H14" s="125" t="n">
        <f aca="false">G14+$H$7</f>
        <v>3</v>
      </c>
      <c r="I14" s="124" t="n">
        <f aca="false">H14</f>
        <v>3</v>
      </c>
      <c r="J14" s="124" t="n">
        <f aca="false">VLOOKUP($A14,Table,MATCH(J$4,Curves,0))</f>
        <v>4</v>
      </c>
      <c r="K14" s="125" t="n">
        <f aca="false">J14+$K$7</f>
        <v>4</v>
      </c>
      <c r="L14" s="126" t="n">
        <f aca="false">K14</f>
        <v>4</v>
      </c>
      <c r="M14" s="124" t="n">
        <f aca="false">VLOOKUP($A14,Table,MATCH(M$4,Curves,0))</f>
        <v>4</v>
      </c>
      <c r="N14" s="125" t="n">
        <f aca="false">M14+$N$7</f>
        <v>4</v>
      </c>
      <c r="O14" s="126" t="n">
        <v>0.25</v>
      </c>
      <c r="P14" s="114"/>
      <c r="Q14" s="126" t="n">
        <f aca="false">M14+J14+G14</f>
        <v>11</v>
      </c>
      <c r="R14" s="126" t="n">
        <f aca="false">N14+K14+H14</f>
        <v>11</v>
      </c>
      <c r="S14" s="126" t="n">
        <f aca="false">O14+L14+I14</f>
        <v>7.25</v>
      </c>
      <c r="T14" s="127"/>
      <c r="U14" s="5" t="n">
        <f aca="false">A15-A14</f>
        <v>30</v>
      </c>
      <c r="V14" s="128" t="n">
        <f aca="false">CHOOSE(F$3,A15+24,A14)</f>
        <v>37408</v>
      </c>
      <c r="W14" s="5" t="n">
        <f aca="false">V14-C$3</f>
        <v>177</v>
      </c>
      <c r="X14" s="124" t="n">
        <f aca="false">VLOOKUP($A14,Table,MATCH(X$4,Curves,0))</f>
        <v>2</v>
      </c>
      <c r="Y14" s="129" t="n">
        <f aca="false">1/(1+CHOOSE(F$3,(X15+($K$3/10000))/2,(X14+($K$3/10000))/2))^(2*W14/365.25)</f>
        <v>0.510789516828982</v>
      </c>
      <c r="Z14" s="5" t="n">
        <f aca="false">IF(AND(mthbeg&lt;=A14,mthend&gt;=A14),1,0)</f>
        <v>1</v>
      </c>
      <c r="AA14" s="5" t="n">
        <f aca="false">U14*Z14</f>
        <v>30</v>
      </c>
      <c r="AC14" s="115" t="n">
        <f aca="false">IF(G7=2,F14*(S14-Q14),F14*(Q14-S14))</f>
        <v>57463.8206432605</v>
      </c>
      <c r="AE14" s="116" t="n">
        <f aca="false">IF($G$3=1,F14*(R14-Q14),F14*(Q14-R14))</f>
        <v>0</v>
      </c>
      <c r="AG14" s="116" t="n">
        <f aca="false">AC14+AE14</f>
        <v>57463.8206432605</v>
      </c>
    </row>
    <row r="15" customFormat="false" ht="12.75" hidden="false" customHeight="false" outlineLevel="0" collapsed="false">
      <c r="A15" s="120" t="n">
        <f aca="false">EDATE(A14,1)</f>
        <v>37438</v>
      </c>
      <c r="B15" s="121" t="n">
        <f aca="false">VLOOKUP(A15,'Inputs-Summary'!$A$32:$E$41,4,FALSE())</f>
        <v>1000</v>
      </c>
      <c r="C15" s="122"/>
      <c r="D15" s="123" t="n">
        <f aca="false">B15+C15</f>
        <v>1000</v>
      </c>
      <c r="E15" s="111" t="n">
        <f aca="false">IF(Z15=0,0,IF(AND(Z15=1,$H$3=1),D15*U15,IF($H$3=2,D15,"N/A")))</f>
        <v>31000</v>
      </c>
      <c r="F15" s="111" t="n">
        <f aca="false">E15*Y15</f>
        <v>14130.3577263399</v>
      </c>
      <c r="G15" s="124" t="n">
        <f aca="false">VLOOKUP($A15,Table,MATCH(G$4,Curves,0))</f>
        <v>3</v>
      </c>
      <c r="H15" s="125" t="n">
        <f aca="false">G15+$H$7</f>
        <v>3</v>
      </c>
      <c r="I15" s="124" t="n">
        <f aca="false">H15</f>
        <v>3</v>
      </c>
      <c r="J15" s="124" t="n">
        <f aca="false">VLOOKUP($A15,Table,MATCH(J$4,Curves,0))</f>
        <v>4</v>
      </c>
      <c r="K15" s="125" t="n">
        <f aca="false">J15+$K$7</f>
        <v>4</v>
      </c>
      <c r="L15" s="126" t="n">
        <f aca="false">K15</f>
        <v>4</v>
      </c>
      <c r="M15" s="124" t="n">
        <f aca="false">VLOOKUP($A15,Table,MATCH(M$4,Curves,0))</f>
        <v>4</v>
      </c>
      <c r="N15" s="125" t="n">
        <f aca="false">M15+$N$7</f>
        <v>4</v>
      </c>
      <c r="O15" s="126" t="n">
        <v>0.25</v>
      </c>
      <c r="P15" s="114"/>
      <c r="Q15" s="126" t="n">
        <f aca="false">M15+J15+G15</f>
        <v>11</v>
      </c>
      <c r="R15" s="126" t="n">
        <f aca="false">N15+K15+H15</f>
        <v>11</v>
      </c>
      <c r="S15" s="126" t="n">
        <f aca="false">O15+L15+I15</f>
        <v>7.25</v>
      </c>
      <c r="T15" s="127"/>
      <c r="U15" s="5" t="n">
        <f aca="false">A16-A15</f>
        <v>31</v>
      </c>
      <c r="V15" s="128" t="n">
        <f aca="false">CHOOSE(F$3,A16+24,A15)</f>
        <v>37438</v>
      </c>
      <c r="W15" s="5" t="n">
        <f aca="false">V15-C$3</f>
        <v>207</v>
      </c>
      <c r="X15" s="124" t="n">
        <f aca="false">VLOOKUP($A15,Table,MATCH(X$4,Curves,0))</f>
        <v>2</v>
      </c>
      <c r="Y15" s="129" t="n">
        <f aca="false">1/(1+CHOOSE(F$3,(X16+($K$3/10000))/2,(X15+($K$3/10000))/2))^(2*W15/365.25)</f>
        <v>0.455817991172253</v>
      </c>
      <c r="Z15" s="5" t="n">
        <f aca="false">IF(AND(mthbeg&lt;=A15,mthend&gt;=A15),1,0)</f>
        <v>1</v>
      </c>
      <c r="AA15" s="5" t="n">
        <f aca="false">U15*Z15</f>
        <v>31</v>
      </c>
      <c r="AC15" s="115" t="n">
        <f aca="false">IF(G8=2,F15*(S15-Q15),F15*(Q15-S15))</f>
        <v>52988.8414737744</v>
      </c>
      <c r="AE15" s="116" t="n">
        <f aca="false">IF($G$3=1,F15*(R15-Q15),F15*(Q15-R15))</f>
        <v>0</v>
      </c>
      <c r="AG15" s="116" t="n">
        <f aca="false">AC15+AE15</f>
        <v>52988.8414737744</v>
      </c>
    </row>
    <row r="16" customFormat="false" ht="12.75" hidden="false" customHeight="false" outlineLevel="0" collapsed="false">
      <c r="A16" s="120" t="n">
        <f aca="false">EDATE(A15,1)</f>
        <v>37469</v>
      </c>
      <c r="B16" s="121" t="n">
        <f aca="false">VLOOKUP(A16,'Inputs-Summary'!$A$32:$E$41,4,FALSE())</f>
        <v>1000</v>
      </c>
      <c r="C16" s="122"/>
      <c r="D16" s="123" t="n">
        <f aca="false">B16+C16</f>
        <v>1000</v>
      </c>
      <c r="E16" s="111" t="n">
        <f aca="false">IF(Z16=0,0,IF(AND(Z16=1,$H$3=1),D16*U16,IF($H$3=2,D16,"N/A")))</f>
        <v>31000</v>
      </c>
      <c r="F16" s="111" t="n">
        <f aca="false">E16*Y16</f>
        <v>12561.8699688886</v>
      </c>
      <c r="G16" s="124" t="n">
        <f aca="false">VLOOKUP($A16,Table,MATCH(G$4,Curves,0))</f>
        <v>3</v>
      </c>
      <c r="H16" s="125" t="n">
        <f aca="false">G16+$H$7</f>
        <v>3</v>
      </c>
      <c r="I16" s="124" t="n">
        <f aca="false">H16</f>
        <v>3</v>
      </c>
      <c r="J16" s="124" t="n">
        <f aca="false">VLOOKUP($A16,Table,MATCH(J$4,Curves,0))</f>
        <v>4</v>
      </c>
      <c r="K16" s="125" t="n">
        <f aca="false">J16+$K$7</f>
        <v>4</v>
      </c>
      <c r="L16" s="126" t="n">
        <f aca="false">K16</f>
        <v>4</v>
      </c>
      <c r="M16" s="124" t="n">
        <f aca="false">VLOOKUP($A16,Table,MATCH(M$4,Curves,0))</f>
        <v>4</v>
      </c>
      <c r="N16" s="125" t="n">
        <f aca="false">M16+$N$7</f>
        <v>4</v>
      </c>
      <c r="O16" s="126" t="n">
        <v>0.25</v>
      </c>
      <c r="P16" s="114"/>
      <c r="Q16" s="126" t="n">
        <f aca="false">M16+J16+G16</f>
        <v>11</v>
      </c>
      <c r="R16" s="126" t="n">
        <f aca="false">N16+K16+H16</f>
        <v>11</v>
      </c>
      <c r="S16" s="126" t="n">
        <f aca="false">O16+L16+I16</f>
        <v>7.25</v>
      </c>
      <c r="T16" s="127"/>
      <c r="U16" s="5" t="n">
        <f aca="false">A17-A16</f>
        <v>31</v>
      </c>
      <c r="V16" s="128" t="n">
        <f aca="false">CHOOSE(F$3,A17+24,A16)</f>
        <v>37469</v>
      </c>
      <c r="W16" s="5" t="n">
        <f aca="false">V16-C$3</f>
        <v>238</v>
      </c>
      <c r="X16" s="124" t="n">
        <f aca="false">VLOOKUP($A16,Table,MATCH(X$4,Curves,0))</f>
        <v>2</v>
      </c>
      <c r="Y16" s="129" t="n">
        <f aca="false">1/(1+CHOOSE(F$3,(X17+($K$3/10000))/2,(X16+($K$3/10000))/2))^(2*W16/365.25)</f>
        <v>0.405221611899631</v>
      </c>
      <c r="Z16" s="5" t="n">
        <f aca="false">IF(AND(mthbeg&lt;=A16,mthend&gt;=A16),1,0)</f>
        <v>1</v>
      </c>
      <c r="AA16" s="5" t="n">
        <f aca="false">U16*Z16</f>
        <v>31</v>
      </c>
      <c r="AC16" s="115" t="n">
        <f aca="false">IF(G9=2,F16*(S16-Q16),F16*(Q16-S16))</f>
        <v>47107.0123833321</v>
      </c>
      <c r="AE16" s="116" t="n">
        <f aca="false">IF($G$3=1,F16*(R16-Q16),F16*(Q16-R16))</f>
        <v>0</v>
      </c>
      <c r="AG16" s="116" t="n">
        <f aca="false">AC16+AE16</f>
        <v>47107.0123833321</v>
      </c>
    </row>
    <row r="17" customFormat="false" ht="12.75" hidden="false" customHeight="false" outlineLevel="0" collapsed="false">
      <c r="A17" s="120" t="n">
        <f aca="false">EDATE(A16,1)</f>
        <v>37500</v>
      </c>
      <c r="B17" s="121" t="n">
        <f aca="false">VLOOKUP(A17,'Inputs-Summary'!$A$32:$E$41,4,FALSE())</f>
        <v>1000</v>
      </c>
      <c r="C17" s="122"/>
      <c r="D17" s="123" t="n">
        <f aca="false">B17+C17</f>
        <v>1000</v>
      </c>
      <c r="E17" s="111" t="n">
        <f aca="false">IF(Z17=0,0,IF(AND(Z17=1,$H$3=1),D17*U17,IF($H$3=2,D17,"N/A")))</f>
        <v>30000</v>
      </c>
      <c r="F17" s="111" t="n">
        <f aca="false">E17*Y17</f>
        <v>10807.2448607113</v>
      </c>
      <c r="G17" s="124" t="n">
        <f aca="false">VLOOKUP($A17,Table,MATCH(G$4,Curves,0))</f>
        <v>3</v>
      </c>
      <c r="H17" s="125" t="n">
        <f aca="false">G17+$H$7</f>
        <v>3</v>
      </c>
      <c r="I17" s="124" t="n">
        <f aca="false">H17</f>
        <v>3</v>
      </c>
      <c r="J17" s="124" t="n">
        <f aca="false">VLOOKUP($A17,Table,MATCH(J$4,Curves,0))</f>
        <v>4</v>
      </c>
      <c r="K17" s="125" t="n">
        <f aca="false">J17+$K$7</f>
        <v>4</v>
      </c>
      <c r="L17" s="126" t="n">
        <f aca="false">K17</f>
        <v>4</v>
      </c>
      <c r="M17" s="124" t="n">
        <f aca="false">VLOOKUP($A17,Table,MATCH(M$4,Curves,0))</f>
        <v>4</v>
      </c>
      <c r="N17" s="125" t="n">
        <f aca="false">M17+$N$7</f>
        <v>4</v>
      </c>
      <c r="O17" s="126" t="n">
        <v>0.25</v>
      </c>
      <c r="P17" s="114"/>
      <c r="Q17" s="126" t="n">
        <f aca="false">M17+J17+G17</f>
        <v>11</v>
      </c>
      <c r="R17" s="126" t="n">
        <f aca="false">N17+K17+H17</f>
        <v>11</v>
      </c>
      <c r="S17" s="126" t="n">
        <f aca="false">O17+L17+I17</f>
        <v>7.25</v>
      </c>
      <c r="T17" s="127"/>
      <c r="U17" s="5" t="n">
        <f aca="false">A18-A17</f>
        <v>30</v>
      </c>
      <c r="V17" s="128" t="n">
        <f aca="false">CHOOSE(F$3,A18+24,A17)</f>
        <v>37500</v>
      </c>
      <c r="W17" s="5" t="n">
        <f aca="false">V17-C$3</f>
        <v>269</v>
      </c>
      <c r="X17" s="124" t="n">
        <f aca="false">VLOOKUP($A17,Table,MATCH(X$4,Curves,0))</f>
        <v>2</v>
      </c>
      <c r="Y17" s="129" t="n">
        <f aca="false">1/(1+CHOOSE(F$3,(X18+($K$3/10000))/2,(X17+($K$3/10000))/2))^(2*W17/365.25)</f>
        <v>0.360241495357042</v>
      </c>
      <c r="Z17" s="5" t="n">
        <f aca="false">IF(AND(mthbeg&lt;=A17,mthend&gt;=A17),1,0)</f>
        <v>1</v>
      </c>
      <c r="AA17" s="5" t="n">
        <f aca="false">U17*Z17</f>
        <v>30</v>
      </c>
      <c r="AC17" s="115" t="n">
        <f aca="false">IF(G10=2,F17*(S17-Q17),F17*(Q17-S17))</f>
        <v>40527.1682276672</v>
      </c>
      <c r="AE17" s="116" t="n">
        <f aca="false">IF($G$3=1,F17*(R17-Q17),F17*(Q17-R17))</f>
        <v>0</v>
      </c>
      <c r="AG17" s="116" t="n">
        <f aca="false">AC17+AE17</f>
        <v>40527.1682276672</v>
      </c>
    </row>
    <row r="18" customFormat="false" ht="12.75" hidden="false" customHeight="false" outlineLevel="0" collapsed="false">
      <c r="A18" s="120" t="n">
        <f aca="false">EDATE(A17,1)</f>
        <v>37530</v>
      </c>
      <c r="B18" s="121" t="n">
        <f aca="false">VLOOKUP(A18,'Inputs-Summary'!$A$32:$E$41,4,FALSE())</f>
        <v>1000</v>
      </c>
      <c r="C18" s="122"/>
      <c r="D18" s="123" t="n">
        <f aca="false">B18+C18</f>
        <v>1000</v>
      </c>
      <c r="E18" s="111" t="n">
        <f aca="false">IF(Z18=0,0,IF(AND(Z18=1,$H$3=1),D18*U18,IF($H$3=2,D18,"N/A")))</f>
        <v>31000</v>
      </c>
      <c r="F18" s="111" t="n">
        <f aca="false">E18*Y18</f>
        <v>9965.63365056472</v>
      </c>
      <c r="G18" s="124" t="n">
        <f aca="false">VLOOKUP($A18,Table,MATCH(G$4,Curves,0))</f>
        <v>3</v>
      </c>
      <c r="H18" s="125" t="n">
        <f aca="false">G18+$H$7</f>
        <v>3</v>
      </c>
      <c r="I18" s="124" t="n">
        <f aca="false">H18</f>
        <v>3</v>
      </c>
      <c r="J18" s="124" t="n">
        <f aca="false">VLOOKUP($A18,Table,MATCH(J$4,Curves,0))</f>
        <v>4</v>
      </c>
      <c r="K18" s="125" t="n">
        <f aca="false">J18+$K$7</f>
        <v>4</v>
      </c>
      <c r="L18" s="126" t="n">
        <f aca="false">K18</f>
        <v>4</v>
      </c>
      <c r="M18" s="124" t="n">
        <f aca="false">VLOOKUP($A18,Table,MATCH(M$4,Curves,0))</f>
        <v>4</v>
      </c>
      <c r="N18" s="125" t="n">
        <f aca="false">M18+$N$7</f>
        <v>4</v>
      </c>
      <c r="O18" s="126" t="n">
        <v>0.25</v>
      </c>
      <c r="P18" s="114"/>
      <c r="Q18" s="126" t="n">
        <f aca="false">M18+J18+G18</f>
        <v>11</v>
      </c>
      <c r="R18" s="126" t="n">
        <f aca="false">N18+K18+H18</f>
        <v>11</v>
      </c>
      <c r="S18" s="126" t="n">
        <f aca="false">O18+L18+I18</f>
        <v>7.25</v>
      </c>
      <c r="T18" s="127"/>
      <c r="U18" s="5" t="n">
        <f aca="false">A19-A18</f>
        <v>31</v>
      </c>
      <c r="V18" s="128" t="n">
        <f aca="false">CHOOSE(F$3,A19+24,A18)</f>
        <v>37530</v>
      </c>
      <c r="W18" s="5" t="n">
        <f aca="false">V18-C$3</f>
        <v>299</v>
      </c>
      <c r="X18" s="124" t="n">
        <f aca="false">VLOOKUP($A18,Table,MATCH(X$4,Curves,0))</f>
        <v>2</v>
      </c>
      <c r="Y18" s="129" t="n">
        <f aca="false">1/(1+CHOOSE(F$3,(X19+($K$3/10000))/2,(X18+($K$3/10000))/2))^(2*W18/365.25)</f>
        <v>0.321472053244023</v>
      </c>
      <c r="Z18" s="5" t="n">
        <f aca="false">IF(AND(mthbeg&lt;=A18,mthend&gt;=A18),1,0)</f>
        <v>1</v>
      </c>
      <c r="AA18" s="5" t="n">
        <f aca="false">U18*Z18</f>
        <v>31</v>
      </c>
      <c r="AC18" s="115" t="n">
        <f aca="false">IF(G11=2,F18*(S18-Q18),F18*(Q18-S18))</f>
        <v>37371.1261896177</v>
      </c>
      <c r="AE18" s="116" t="n">
        <f aca="false">IF($G$3=1,F18*(R18-Q18),F18*(Q18-R18))</f>
        <v>0</v>
      </c>
      <c r="AG18" s="116" t="n">
        <f aca="false">AC18+AE18</f>
        <v>37371.1261896177</v>
      </c>
    </row>
    <row r="19" customFormat="false" ht="12.75" hidden="false" customHeight="false" outlineLevel="0" collapsed="false">
      <c r="A19" s="120" t="n">
        <f aca="false">EDATE(A18,1)</f>
        <v>37561</v>
      </c>
      <c r="B19" s="121" t="e">
        <f aca="false">VLOOKUP(A19,'Inputs-Summary'!$A$32:$E$41,4,FALSE())</f>
        <v>#N/A</v>
      </c>
      <c r="C19" s="122"/>
      <c r="D19" s="123" t="e">
        <f aca="false">B19+C19</f>
        <v>#N/A</v>
      </c>
      <c r="E19" s="111" t="n">
        <f aca="false">IF(Z19=0,0,IF(AND(Z19=1,$H$3=1),D19*U19,IF($H$3=2,D19,"N/A")))</f>
        <v>0</v>
      </c>
      <c r="F19" s="111" t="n">
        <f aca="false">E19*Y19</f>
        <v>0</v>
      </c>
      <c r="G19" s="124" t="n">
        <f aca="false">VLOOKUP($A19,Table,MATCH(G$4,Curves,0))</f>
        <v>3</v>
      </c>
      <c r="H19" s="125" t="n">
        <f aca="false">G19+$H$7</f>
        <v>3</v>
      </c>
      <c r="I19" s="124" t="n">
        <f aca="false">H19</f>
        <v>3</v>
      </c>
      <c r="J19" s="124" t="n">
        <f aca="false">VLOOKUP($A19,Table,MATCH(J$4,Curves,0))</f>
        <v>4</v>
      </c>
      <c r="K19" s="125" t="n">
        <f aca="false">J19+$K$7</f>
        <v>4</v>
      </c>
      <c r="L19" s="126" t="n">
        <f aca="false">K19</f>
        <v>4</v>
      </c>
      <c r="M19" s="124" t="n">
        <f aca="false">VLOOKUP($A19,Table,MATCH(M$4,Curves,0))</f>
        <v>4</v>
      </c>
      <c r="N19" s="125" t="n">
        <f aca="false">M19+$N$7</f>
        <v>4</v>
      </c>
      <c r="O19" s="126" t="n">
        <v>0.25</v>
      </c>
      <c r="P19" s="114"/>
      <c r="Q19" s="126" t="n">
        <f aca="false">M19+J19+G19</f>
        <v>11</v>
      </c>
      <c r="R19" s="126" t="n">
        <f aca="false">N19+K19+H19</f>
        <v>11</v>
      </c>
      <c r="S19" s="126" t="n">
        <f aca="false">O19+L19+I19</f>
        <v>7.25</v>
      </c>
      <c r="T19" s="127"/>
      <c r="U19" s="5" t="n">
        <f aca="false">A20-A19</f>
        <v>30</v>
      </c>
      <c r="V19" s="128" t="n">
        <f aca="false">CHOOSE(F$3,A20+24,A19)</f>
        <v>37561</v>
      </c>
      <c r="W19" s="5" t="n">
        <f aca="false">V19-C$3</f>
        <v>330</v>
      </c>
      <c r="X19" s="124" t="n">
        <f aca="false">VLOOKUP($A19,Table,MATCH(X$4,Curves,0))</f>
        <v>2</v>
      </c>
      <c r="Y19" s="129" t="n">
        <f aca="false">1/(1+CHOOSE(F$3,(X20+($K$3/10000))/2,(X19+($K$3/10000))/2))^(2*W19/365.25)</f>
        <v>0.285788244692165</v>
      </c>
      <c r="Z19" s="5" t="n">
        <f aca="false">IF(AND(mthbeg&lt;=A19,mthend&gt;=A19),1,0)</f>
        <v>0</v>
      </c>
      <c r="AA19" s="5" t="n">
        <f aca="false">U19*Z19</f>
        <v>0</v>
      </c>
      <c r="AC19" s="115" t="n">
        <f aca="false">IF(G12=2,F19*(S19-Q19),F19*(Q19-S19))</f>
        <v>0</v>
      </c>
      <c r="AE19" s="116" t="n">
        <f aca="false">IF($G$3=1,F19*(R19-Q19),F19*(Q19-R19))</f>
        <v>0</v>
      </c>
      <c r="AG19" s="116" t="n">
        <f aca="false">AC19+AE19</f>
        <v>0</v>
      </c>
    </row>
    <row r="20" customFormat="false" ht="12.75" hidden="false" customHeight="false" outlineLevel="0" collapsed="false">
      <c r="A20" s="120" t="n">
        <f aca="false">EDATE(A19,1)</f>
        <v>37591</v>
      </c>
      <c r="B20" s="121" t="e">
        <f aca="false">VLOOKUP(A20,'Inputs-Summary'!$A$32:$E$41,4,FALSE())</f>
        <v>#N/A</v>
      </c>
      <c r="C20" s="122"/>
      <c r="D20" s="123" t="e">
        <f aca="false">B20+C20</f>
        <v>#N/A</v>
      </c>
      <c r="E20" s="111" t="n">
        <f aca="false">IF(Z20=0,0,IF(AND(Z20=1,$H$3=1),D20*U20,IF($H$3=2,D20,"N/A")))</f>
        <v>0</v>
      </c>
      <c r="F20" s="111" t="n">
        <f aca="false">E20*Y20</f>
        <v>0</v>
      </c>
      <c r="G20" s="124" t="n">
        <f aca="false">VLOOKUP($A20,Table,MATCH(G$4,Curves,0))</f>
        <v>3</v>
      </c>
      <c r="H20" s="125" t="n">
        <f aca="false">G20+$H$7</f>
        <v>3</v>
      </c>
      <c r="I20" s="124" t="n">
        <f aca="false">H20</f>
        <v>3</v>
      </c>
      <c r="J20" s="124" t="n">
        <f aca="false">VLOOKUP($A20,Table,MATCH(J$4,Curves,0))</f>
        <v>4</v>
      </c>
      <c r="K20" s="125" t="n">
        <f aca="false">J20+$K$7</f>
        <v>4</v>
      </c>
      <c r="L20" s="126" t="n">
        <f aca="false">K20</f>
        <v>4</v>
      </c>
      <c r="M20" s="124" t="n">
        <f aca="false">VLOOKUP($A20,Table,MATCH(M$4,Curves,0))</f>
        <v>4</v>
      </c>
      <c r="N20" s="125" t="n">
        <f aca="false">M20+$N$7</f>
        <v>4</v>
      </c>
      <c r="O20" s="126" t="n">
        <v>0.25</v>
      </c>
      <c r="P20" s="114"/>
      <c r="Q20" s="126" t="n">
        <f aca="false">M20+J20+G20</f>
        <v>11</v>
      </c>
      <c r="R20" s="126" t="n">
        <f aca="false">N20+K20+H20</f>
        <v>11</v>
      </c>
      <c r="S20" s="126" t="n">
        <f aca="false">O20+L20+I20</f>
        <v>7.25</v>
      </c>
      <c r="T20" s="127"/>
      <c r="U20" s="5" t="n">
        <f aca="false">A21-A20</f>
        <v>31</v>
      </c>
      <c r="V20" s="128" t="n">
        <f aca="false">CHOOSE(F$3,A21+24,A20)</f>
        <v>37591</v>
      </c>
      <c r="W20" s="5" t="n">
        <f aca="false">V20-C$3</f>
        <v>360</v>
      </c>
      <c r="X20" s="124" t="n">
        <f aca="false">VLOOKUP($A20,Table,MATCH(X$4,Curves,0))</f>
        <v>2</v>
      </c>
      <c r="Y20" s="129" t="n">
        <f aca="false">1/(1+CHOOSE(F$3,(X21+($K$3/10000))/2,(X20+($K$3/10000))/2))^(2*W20/365.25)</f>
        <v>0.255031513577132</v>
      </c>
      <c r="Z20" s="5" t="n">
        <f aca="false">IF(AND(mthbeg&lt;=A20,mthend&gt;=A20),1,0)</f>
        <v>0</v>
      </c>
      <c r="AA20" s="5" t="n">
        <f aca="false">U20*Z20</f>
        <v>0</v>
      </c>
      <c r="AC20" s="115" t="n">
        <f aca="false">IF(G13=2,F20*(S20-Q20),F20*(Q20-S20))</f>
        <v>0</v>
      </c>
      <c r="AE20" s="116" t="n">
        <f aca="false">IF($G$3=1,F20*(R20-Q20),F20*(Q20-R20))</f>
        <v>0</v>
      </c>
      <c r="AG20" s="116" t="n">
        <f aca="false">AC20+AE20</f>
        <v>0</v>
      </c>
    </row>
    <row r="21" customFormat="false" ht="12.75" hidden="false" customHeight="false" outlineLevel="0" collapsed="false">
      <c r="A21" s="120" t="n">
        <f aca="false">EDATE(A20,1)</f>
        <v>37622</v>
      </c>
      <c r="B21" s="121" t="e">
        <f aca="false">VLOOKUP(A21,'Inputs-Summary'!$A$32:$E$41,4,FALSE())</f>
        <v>#N/A</v>
      </c>
      <c r="C21" s="122"/>
      <c r="D21" s="123" t="e">
        <f aca="false">B21+C21</f>
        <v>#N/A</v>
      </c>
      <c r="E21" s="111" t="n">
        <f aca="false">IF(Z21=0,0,IF(AND(Z21=1,$H$3=1),D21*U21,IF($H$3=2,D21,"N/A")))</f>
        <v>0</v>
      </c>
      <c r="F21" s="111" t="n">
        <f aca="false">E21*Y21</f>
        <v>0</v>
      </c>
      <c r="G21" s="124" t="n">
        <f aca="false">VLOOKUP($A21,Table,MATCH(G$4,Curves,0))</f>
        <v>3</v>
      </c>
      <c r="H21" s="125" t="n">
        <f aca="false">G21+$H$7</f>
        <v>3</v>
      </c>
      <c r="I21" s="124" t="n">
        <f aca="false">H21</f>
        <v>3</v>
      </c>
      <c r="J21" s="124" t="n">
        <f aca="false">VLOOKUP($A21,Table,MATCH(J$4,Curves,0))</f>
        <v>4</v>
      </c>
      <c r="K21" s="125" t="n">
        <f aca="false">J21+$K$7</f>
        <v>4</v>
      </c>
      <c r="L21" s="126" t="n">
        <f aca="false">K21</f>
        <v>4</v>
      </c>
      <c r="M21" s="124" t="n">
        <f aca="false">VLOOKUP($A21,Table,MATCH(M$4,Curves,0))</f>
        <v>4</v>
      </c>
      <c r="N21" s="125" t="n">
        <f aca="false">M21+$N$7</f>
        <v>4</v>
      </c>
      <c r="O21" s="126" t="n">
        <v>0.25</v>
      </c>
      <c r="P21" s="114"/>
      <c r="Q21" s="126" t="n">
        <f aca="false">M21+J21+G21</f>
        <v>11</v>
      </c>
      <c r="R21" s="126" t="n">
        <f aca="false">N21+K21+H21</f>
        <v>11</v>
      </c>
      <c r="S21" s="126" t="n">
        <f aca="false">O21+L21+I21</f>
        <v>7.25</v>
      </c>
      <c r="T21" s="127"/>
      <c r="U21" s="5" t="n">
        <f aca="false">A22-A21</f>
        <v>31</v>
      </c>
      <c r="V21" s="128" t="n">
        <f aca="false">CHOOSE(F$3,A22+24,A21)</f>
        <v>37622</v>
      </c>
      <c r="W21" s="5" t="n">
        <f aca="false">V21-C$3</f>
        <v>391</v>
      </c>
      <c r="X21" s="124" t="n">
        <f aca="false">VLOOKUP($A21,Table,MATCH(X$4,Curves,0))</f>
        <v>2</v>
      </c>
      <c r="Y21" s="129" t="n">
        <f aca="false">1/(1+CHOOSE(F$3,(X22+($K$3/10000))/2,(X21+($K$3/10000))/2))^(2*W21/365.25)</f>
        <v>0.226722689798074</v>
      </c>
      <c r="Z21" s="5" t="n">
        <f aca="false">IF(AND(mthbeg&lt;=A21,mthend&gt;=A21),1,0)</f>
        <v>0</v>
      </c>
      <c r="AA21" s="5" t="n">
        <f aca="false">U21*Z21</f>
        <v>0</v>
      </c>
      <c r="AC21" s="115" t="n">
        <f aca="false">IF(G14=2,F21*(S21-Q21),F21*(Q21-S21))</f>
        <v>0</v>
      </c>
      <c r="AE21" s="116" t="n">
        <f aca="false">IF($G$3=1,F21*(R21-Q21),F21*(Q21-R21))</f>
        <v>0</v>
      </c>
      <c r="AG21" s="116" t="n">
        <f aca="false">AC21+AE21</f>
        <v>0</v>
      </c>
    </row>
    <row r="22" customFormat="false" ht="12.75" hidden="false" customHeight="false" outlineLevel="0" collapsed="false">
      <c r="A22" s="120" t="n">
        <f aca="false">EDATE(A21,1)</f>
        <v>37653</v>
      </c>
      <c r="B22" s="121" t="e">
        <f aca="false">VLOOKUP(A22,'Inputs-Summary'!$A$32:$E$41,4,FALSE())</f>
        <v>#N/A</v>
      </c>
      <c r="C22" s="122"/>
      <c r="D22" s="123" t="e">
        <f aca="false">B22+C22</f>
        <v>#N/A</v>
      </c>
      <c r="E22" s="111" t="n">
        <f aca="false">IF(Z22=0,0,IF(AND(Z22=1,$H$3=1),D22*U22,IF($H$3=2,D22,"N/A")))</f>
        <v>0</v>
      </c>
      <c r="F22" s="111" t="n">
        <f aca="false">E22*Y22</f>
        <v>0</v>
      </c>
      <c r="G22" s="124" t="n">
        <f aca="false">VLOOKUP($A22,Table,MATCH(G$4,Curves,0))</f>
        <v>3</v>
      </c>
      <c r="H22" s="125" t="n">
        <f aca="false">G22+$H$7</f>
        <v>3</v>
      </c>
      <c r="I22" s="124" t="n">
        <f aca="false">H22</f>
        <v>3</v>
      </c>
      <c r="J22" s="124" t="n">
        <f aca="false">VLOOKUP($A22,Table,MATCH(J$4,Curves,0))</f>
        <v>4</v>
      </c>
      <c r="K22" s="125" t="n">
        <f aca="false">J22+$K$7</f>
        <v>4</v>
      </c>
      <c r="L22" s="126" t="n">
        <f aca="false">K22</f>
        <v>4</v>
      </c>
      <c r="M22" s="124" t="n">
        <f aca="false">VLOOKUP($A22,Table,MATCH(M$4,Curves,0))</f>
        <v>4</v>
      </c>
      <c r="N22" s="125" t="n">
        <f aca="false">M22+$N$7</f>
        <v>4</v>
      </c>
      <c r="O22" s="126" t="n">
        <v>0.25</v>
      </c>
      <c r="P22" s="114"/>
      <c r="Q22" s="126" t="n">
        <f aca="false">M22+J22+G22</f>
        <v>11</v>
      </c>
      <c r="R22" s="126" t="n">
        <f aca="false">N22+K22+H22</f>
        <v>11</v>
      </c>
      <c r="S22" s="126" t="n">
        <f aca="false">O22+L22+I22</f>
        <v>7.25</v>
      </c>
      <c r="T22" s="127"/>
      <c r="U22" s="5" t="n">
        <f aca="false">A23-A22</f>
        <v>28</v>
      </c>
      <c r="V22" s="128" t="n">
        <f aca="false">CHOOSE(F$3,A23+24,A22)</f>
        <v>37653</v>
      </c>
      <c r="W22" s="5" t="n">
        <f aca="false">V22-C$3</f>
        <v>422</v>
      </c>
      <c r="X22" s="124" t="n">
        <f aca="false">VLOOKUP($A22,Table,MATCH(X$4,Curves,0))</f>
        <v>2</v>
      </c>
      <c r="Y22" s="129" t="n">
        <f aca="false">1/(1+CHOOSE(F$3,(X23+($K$3/10000))/2,(X22+($K$3/10000))/2))^(2*W22/365.25)</f>
        <v>0.2015561816196</v>
      </c>
      <c r="Z22" s="5" t="n">
        <f aca="false">IF(AND(mthbeg&lt;=A22,mthend&gt;=A22),1,0)</f>
        <v>0</v>
      </c>
      <c r="AA22" s="5" t="n">
        <f aca="false">U22*Z22</f>
        <v>0</v>
      </c>
      <c r="AC22" s="115" t="n">
        <f aca="false">IF(G15=2,F22*(S22-Q22),F22*(Q22-S22))</f>
        <v>0</v>
      </c>
      <c r="AE22" s="116" t="n">
        <f aca="false">IF($G$3=1,F22*(R22-Q22),F22*(Q22-R22))</f>
        <v>0</v>
      </c>
      <c r="AG22" s="116" t="n">
        <f aca="false">AC22+AE22</f>
        <v>0</v>
      </c>
    </row>
    <row r="23" customFormat="false" ht="12.75" hidden="false" customHeight="false" outlineLevel="0" collapsed="false">
      <c r="A23" s="120" t="n">
        <f aca="false">EDATE(A22,1)</f>
        <v>37681</v>
      </c>
      <c r="B23" s="121" t="e">
        <f aca="false">VLOOKUP(A23,'Inputs-Summary'!$A$32:$E$41,4,FALSE())</f>
        <v>#N/A</v>
      </c>
      <c r="C23" s="122"/>
      <c r="D23" s="123" t="e">
        <f aca="false">B23+C23</f>
        <v>#N/A</v>
      </c>
      <c r="E23" s="111" t="n">
        <f aca="false">IF(Z23=0,0,IF(AND(Z23=1,$H$3=1),D23*U23,IF($H$3=2,D23,"N/A")))</f>
        <v>0</v>
      </c>
      <c r="F23" s="111" t="n">
        <f aca="false">E23*Y23</f>
        <v>0</v>
      </c>
      <c r="G23" s="124" t="n">
        <f aca="false">VLOOKUP($A23,Table,MATCH(G$4,Curves,0))</f>
        <v>3</v>
      </c>
      <c r="H23" s="125" t="n">
        <f aca="false">G23+$H$7</f>
        <v>3</v>
      </c>
      <c r="I23" s="124" t="n">
        <f aca="false">H23</f>
        <v>3</v>
      </c>
      <c r="J23" s="124" t="n">
        <f aca="false">VLOOKUP($A23,Table,MATCH(J$4,Curves,0))</f>
        <v>4</v>
      </c>
      <c r="K23" s="125" t="n">
        <f aca="false">J23+$K$7</f>
        <v>4</v>
      </c>
      <c r="L23" s="126" t="n">
        <f aca="false">K23</f>
        <v>4</v>
      </c>
      <c r="M23" s="124" t="n">
        <f aca="false">VLOOKUP($A23,Table,MATCH(M$4,Curves,0))</f>
        <v>4</v>
      </c>
      <c r="N23" s="125" t="n">
        <f aca="false">M23+$N$7</f>
        <v>4</v>
      </c>
      <c r="O23" s="126" t="n">
        <v>0.25</v>
      </c>
      <c r="P23" s="114"/>
      <c r="Q23" s="126" t="n">
        <f aca="false">M23+J23+G23</f>
        <v>11</v>
      </c>
      <c r="R23" s="126" t="n">
        <f aca="false">N23+K23+H23</f>
        <v>11</v>
      </c>
      <c r="S23" s="126" t="n">
        <f aca="false">O23+L23+I23</f>
        <v>7.25</v>
      </c>
      <c r="T23" s="127"/>
      <c r="U23" s="5" t="n">
        <f aca="false">A24-A23</f>
        <v>31</v>
      </c>
      <c r="V23" s="128" t="n">
        <f aca="false">CHOOSE(F$3,A24+24,A23)</f>
        <v>37681</v>
      </c>
      <c r="W23" s="5" t="n">
        <f aca="false">V23-C$3</f>
        <v>450</v>
      </c>
      <c r="X23" s="124" t="n">
        <f aca="false">VLOOKUP($A23,Table,MATCH(X$4,Curves,0))</f>
        <v>2</v>
      </c>
      <c r="Y23" s="129" t="n">
        <f aca="false">1/(1+CHOOSE(F$3,(X24+($K$3/10000))/2,(X23+($K$3/10000))/2))^(2*W23/365.25)</f>
        <v>0.181235099459571</v>
      </c>
      <c r="Z23" s="5" t="n">
        <f aca="false">IF(AND(mthbeg&lt;=A23,mthend&gt;=A23),1,0)</f>
        <v>0</v>
      </c>
      <c r="AA23" s="5" t="n">
        <f aca="false">U23*Z23</f>
        <v>0</v>
      </c>
      <c r="AC23" s="115" t="n">
        <f aca="false">IF(G16=2,F23*(S23-Q23),F23*(Q23-S23))</f>
        <v>0</v>
      </c>
      <c r="AE23" s="116" t="n">
        <f aca="false">IF($G$3=1,F23*(R23-Q23),F23*(Q23-R23))</f>
        <v>0</v>
      </c>
      <c r="AG23" s="116" t="n">
        <f aca="false">AC23+AE23</f>
        <v>0</v>
      </c>
    </row>
    <row r="24" customFormat="false" ht="12.75" hidden="false" customHeight="false" outlineLevel="0" collapsed="false">
      <c r="A24" s="120" t="n">
        <f aca="false">EDATE(A23,1)</f>
        <v>37712</v>
      </c>
      <c r="B24" s="121" t="e">
        <f aca="false">VLOOKUP(A24,'Inputs-Summary'!$A$32:$E$41,4,FALSE())</f>
        <v>#N/A</v>
      </c>
      <c r="C24" s="122"/>
      <c r="D24" s="123" t="e">
        <f aca="false">B24+C24</f>
        <v>#N/A</v>
      </c>
      <c r="E24" s="111" t="n">
        <f aca="false">IF(Z24=0,0,IF(AND(Z24=1,$H$3=1),D24*U24,IF($H$3=2,D24,"N/A")))</f>
        <v>0</v>
      </c>
      <c r="F24" s="111" t="n">
        <f aca="false">E24*Y24</f>
        <v>0</v>
      </c>
      <c r="G24" s="124" t="n">
        <f aca="false">VLOOKUP($A24,Table,MATCH(G$4,Curves,0))</f>
        <v>3</v>
      </c>
      <c r="H24" s="125" t="n">
        <f aca="false">G24+$H$7</f>
        <v>3</v>
      </c>
      <c r="I24" s="124" t="n">
        <f aca="false">H24</f>
        <v>3</v>
      </c>
      <c r="J24" s="124" t="n">
        <f aca="false">VLOOKUP($A24,Table,MATCH(J$4,Curves,0))</f>
        <v>4</v>
      </c>
      <c r="K24" s="125" t="n">
        <f aca="false">J24+$K$7</f>
        <v>4</v>
      </c>
      <c r="L24" s="126" t="n">
        <f aca="false">K24</f>
        <v>4</v>
      </c>
      <c r="M24" s="124" t="n">
        <f aca="false">VLOOKUP($A24,Table,MATCH(M$4,Curves,0))</f>
        <v>4</v>
      </c>
      <c r="N24" s="125" t="n">
        <f aca="false">M24+$N$7</f>
        <v>4</v>
      </c>
      <c r="O24" s="126" t="n">
        <v>0.25</v>
      </c>
      <c r="P24" s="114"/>
      <c r="Q24" s="126" t="n">
        <f aca="false">M24+J24+G24</f>
        <v>11</v>
      </c>
      <c r="R24" s="126" t="n">
        <f aca="false">N24+K24+H24</f>
        <v>11</v>
      </c>
      <c r="S24" s="126" t="n">
        <f aca="false">O24+L24+I24</f>
        <v>7.25</v>
      </c>
      <c r="T24" s="127"/>
      <c r="U24" s="5" t="n">
        <f aca="false">A25-A24</f>
        <v>30</v>
      </c>
      <c r="V24" s="128" t="n">
        <f aca="false">CHOOSE(F$3,A25+24,A24)</f>
        <v>37712</v>
      </c>
      <c r="W24" s="5" t="n">
        <f aca="false">V24-C$3</f>
        <v>481</v>
      </c>
      <c r="X24" s="124" t="n">
        <f aca="false">VLOOKUP($A24,Table,MATCH(X$4,Curves,0))</f>
        <v>2</v>
      </c>
      <c r="Y24" s="129" t="n">
        <f aca="false">1/(1+CHOOSE(F$3,(X25+($K$3/10000))/2,(X24+($K$3/10000))/2))^(2*W24/365.25)</f>
        <v>0.16111777191358</v>
      </c>
      <c r="Z24" s="5" t="n">
        <f aca="false">IF(AND(mthbeg&lt;=A24,mthend&gt;=A24),1,0)</f>
        <v>0</v>
      </c>
      <c r="AA24" s="5" t="n">
        <f aca="false">U24*Z24</f>
        <v>0</v>
      </c>
      <c r="AC24" s="115" t="n">
        <f aca="false">IF(G17=2,F24*(S24-Q24),F24*(Q24-S24))</f>
        <v>0</v>
      </c>
      <c r="AE24" s="116" t="n">
        <f aca="false">IF($G$3=1,F24*(R24-Q24),F24*(Q24-R24))</f>
        <v>0</v>
      </c>
      <c r="AG24" s="116" t="n">
        <f aca="false">AC24+AE24</f>
        <v>0</v>
      </c>
    </row>
    <row r="25" customFormat="false" ht="12.75" hidden="false" customHeight="false" outlineLevel="0" collapsed="false">
      <c r="A25" s="120" t="n">
        <f aca="false">EDATE(A24,1)</f>
        <v>37742</v>
      </c>
      <c r="B25" s="121" t="e">
        <f aca="false">VLOOKUP(A25,'Inputs-Summary'!$A$32:$E$41,4,FALSE())</f>
        <v>#N/A</v>
      </c>
      <c r="C25" s="122"/>
      <c r="D25" s="123" t="e">
        <f aca="false">B25+C25</f>
        <v>#N/A</v>
      </c>
      <c r="E25" s="111" t="n">
        <f aca="false">IF(Z25=0,0,IF(AND(Z25=1,$H$3=1),D25*U25,IF($H$3=2,D25,"N/A")))</f>
        <v>0</v>
      </c>
      <c r="F25" s="111" t="n">
        <f aca="false">E25*Y25</f>
        <v>0</v>
      </c>
      <c r="G25" s="124" t="n">
        <f aca="false">VLOOKUP($A25,Table,MATCH(G$4,Curves,0))</f>
        <v>3</v>
      </c>
      <c r="H25" s="125" t="n">
        <f aca="false">G25+$H$7</f>
        <v>3</v>
      </c>
      <c r="I25" s="124" t="n">
        <f aca="false">H25</f>
        <v>3</v>
      </c>
      <c r="J25" s="124" t="n">
        <f aca="false">VLOOKUP($A25,Table,MATCH(J$4,Curves,0))</f>
        <v>4</v>
      </c>
      <c r="K25" s="125" t="n">
        <f aca="false">J25+$K$7</f>
        <v>4</v>
      </c>
      <c r="L25" s="126" t="n">
        <f aca="false">K25</f>
        <v>4</v>
      </c>
      <c r="M25" s="124" t="n">
        <f aca="false">VLOOKUP($A25,Table,MATCH(M$4,Curves,0))</f>
        <v>4</v>
      </c>
      <c r="N25" s="125" t="n">
        <f aca="false">M25+$N$7</f>
        <v>4</v>
      </c>
      <c r="O25" s="126" t="n">
        <v>0.25</v>
      </c>
      <c r="P25" s="114"/>
      <c r="Q25" s="126" t="n">
        <f aca="false">M25+J25+G25</f>
        <v>11</v>
      </c>
      <c r="R25" s="126" t="n">
        <f aca="false">N25+K25+H25</f>
        <v>11</v>
      </c>
      <c r="S25" s="126" t="n">
        <f aca="false">O25+L25+I25</f>
        <v>7.25</v>
      </c>
      <c r="T25" s="127"/>
      <c r="U25" s="5" t="n">
        <f aca="false">A26-A25</f>
        <v>31</v>
      </c>
      <c r="V25" s="128" t="n">
        <f aca="false">CHOOSE(F$3,A26+24,A25)</f>
        <v>37742</v>
      </c>
      <c r="W25" s="5" t="n">
        <f aca="false">V25-C$3</f>
        <v>511</v>
      </c>
      <c r="X25" s="124" t="n">
        <f aca="false">VLOOKUP($A25,Table,MATCH(X$4,Curves,0))</f>
        <v>2</v>
      </c>
      <c r="Y25" s="129" t="n">
        <f aca="false">1/(1+CHOOSE(F$3,(X26+($K$3/10000))/2,(X25+($K$3/10000))/2))^(2*W25/365.25)</f>
        <v>0.143778164422247</v>
      </c>
      <c r="Z25" s="5" t="n">
        <f aca="false">IF(AND(mthbeg&lt;=A25,mthend&gt;=A25),1,0)</f>
        <v>0</v>
      </c>
      <c r="AA25" s="5" t="n">
        <f aca="false">U25*Z25</f>
        <v>0</v>
      </c>
      <c r="AC25" s="115" t="n">
        <f aca="false">IF(G18=2,F25*(S25-Q25),F25*(Q25-S25))</f>
        <v>0</v>
      </c>
      <c r="AE25" s="116" t="n">
        <f aca="false">IF($G$3=1,F25*(R25-Q25),F25*(Q25-R25))</f>
        <v>0</v>
      </c>
      <c r="AG25" s="116" t="n">
        <f aca="false">AC25+AE25</f>
        <v>0</v>
      </c>
    </row>
    <row r="26" customFormat="false" ht="12.75" hidden="false" customHeight="false" outlineLevel="0" collapsed="false">
      <c r="A26" s="120" t="n">
        <f aca="false">EDATE(A25,1)</f>
        <v>37773</v>
      </c>
      <c r="B26" s="121" t="e">
        <f aca="false">VLOOKUP(A26,'Inputs-Summary'!$A$32:$E$41,4,FALSE())</f>
        <v>#N/A</v>
      </c>
      <c r="C26" s="122"/>
      <c r="D26" s="123" t="e">
        <f aca="false">B26+C26</f>
        <v>#N/A</v>
      </c>
      <c r="E26" s="111" t="n">
        <f aca="false">IF(Z26=0,0,IF(AND(Z26=1,$H$3=1),D26*U26,IF($H$3=2,D26,"N/A")))</f>
        <v>0</v>
      </c>
      <c r="F26" s="111" t="n">
        <f aca="false">E26*Y26</f>
        <v>0</v>
      </c>
      <c r="G26" s="124" t="n">
        <f aca="false">VLOOKUP($A26,Table,MATCH(G$4,Curves,0))</f>
        <v>3</v>
      </c>
      <c r="H26" s="125" t="n">
        <f aca="false">G26+$H$7</f>
        <v>3</v>
      </c>
      <c r="I26" s="124" t="n">
        <f aca="false">H26</f>
        <v>3</v>
      </c>
      <c r="J26" s="124" t="n">
        <f aca="false">VLOOKUP($A26,Table,MATCH(J$4,Curves,0))</f>
        <v>4</v>
      </c>
      <c r="K26" s="125" t="n">
        <f aca="false">J26+$K$7</f>
        <v>4</v>
      </c>
      <c r="L26" s="126" t="n">
        <f aca="false">K26</f>
        <v>4</v>
      </c>
      <c r="M26" s="124" t="n">
        <f aca="false">VLOOKUP($A26,Table,MATCH(M$4,Curves,0))</f>
        <v>4</v>
      </c>
      <c r="N26" s="125" t="n">
        <f aca="false">M26+$N$7</f>
        <v>4</v>
      </c>
      <c r="O26" s="126" t="n">
        <v>0.25</v>
      </c>
      <c r="P26" s="114"/>
      <c r="Q26" s="126" t="n">
        <f aca="false">M26+J26+G26</f>
        <v>11</v>
      </c>
      <c r="R26" s="126" t="n">
        <f aca="false">N26+K26+H26</f>
        <v>11</v>
      </c>
      <c r="S26" s="126" t="n">
        <f aca="false">O26+L26+I26</f>
        <v>7.25</v>
      </c>
      <c r="T26" s="127"/>
      <c r="U26" s="5" t="n">
        <f aca="false">A27-A26</f>
        <v>30</v>
      </c>
      <c r="V26" s="128" t="n">
        <f aca="false">CHOOSE(F$3,A27+24,A26)</f>
        <v>37773</v>
      </c>
      <c r="W26" s="5" t="n">
        <f aca="false">V26-C$3</f>
        <v>542</v>
      </c>
      <c r="X26" s="124" t="n">
        <f aca="false">VLOOKUP($A26,Table,MATCH(X$4,Curves,0))</f>
        <v>2</v>
      </c>
      <c r="Y26" s="129" t="n">
        <f aca="false">1/(1+CHOOSE(F$3,(X27+($K$3/10000))/2,(X26+($K$3/10000))/2))^(2*W26/365.25)</f>
        <v>0.127818604512115</v>
      </c>
      <c r="Z26" s="5" t="n">
        <f aca="false">IF(AND(mthbeg&lt;=A26,mthend&gt;=A26),1,0)</f>
        <v>0</v>
      </c>
      <c r="AA26" s="5" t="n">
        <f aca="false">U26*Z26</f>
        <v>0</v>
      </c>
      <c r="AC26" s="115" t="n">
        <f aca="false">IF(G19=2,F26*(S26-Q26),F26*(Q26-S26))</f>
        <v>0</v>
      </c>
      <c r="AE26" s="116" t="n">
        <f aca="false">IF($G$3=1,F26*(R26-Q26),F26*(Q26-R26))</f>
        <v>0</v>
      </c>
      <c r="AG26" s="116" t="n">
        <f aca="false">AC26+AE26</f>
        <v>0</v>
      </c>
    </row>
    <row r="27" customFormat="false" ht="12.75" hidden="false" customHeight="false" outlineLevel="0" collapsed="false">
      <c r="A27" s="120" t="n">
        <f aca="false">EDATE(A26,1)</f>
        <v>37803</v>
      </c>
      <c r="B27" s="121" t="e">
        <f aca="false">VLOOKUP(A27,'Inputs-Summary'!$A$32:$E$41,4,FALSE())</f>
        <v>#N/A</v>
      </c>
      <c r="C27" s="122"/>
      <c r="D27" s="123" t="e">
        <f aca="false">B27+C27</f>
        <v>#N/A</v>
      </c>
      <c r="E27" s="111" t="n">
        <f aca="false">IF(Z27=0,0,IF(AND(Z27=1,$H$3=1),D27*U27,IF($H$3=2,D27,"N/A")))</f>
        <v>0</v>
      </c>
      <c r="F27" s="111" t="n">
        <f aca="false">E27*Y27</f>
        <v>0</v>
      </c>
      <c r="G27" s="124" t="n">
        <f aca="false">VLOOKUP($A27,Table,MATCH(G$4,Curves,0))</f>
        <v>3</v>
      </c>
      <c r="H27" s="125" t="n">
        <f aca="false">G27+$H$7</f>
        <v>3</v>
      </c>
      <c r="I27" s="124" t="n">
        <f aca="false">H27</f>
        <v>3</v>
      </c>
      <c r="J27" s="124" t="n">
        <f aca="false">VLOOKUP($A27,Table,MATCH(J$4,Curves,0))</f>
        <v>4</v>
      </c>
      <c r="K27" s="125" t="n">
        <f aca="false">J27+$K$7</f>
        <v>4</v>
      </c>
      <c r="L27" s="126" t="n">
        <f aca="false">K27</f>
        <v>4</v>
      </c>
      <c r="M27" s="124" t="n">
        <f aca="false">VLOOKUP($A27,Table,MATCH(M$4,Curves,0))</f>
        <v>4</v>
      </c>
      <c r="N27" s="125" t="n">
        <f aca="false">M27+$N$7</f>
        <v>4</v>
      </c>
      <c r="O27" s="126" t="n">
        <v>0.25</v>
      </c>
      <c r="P27" s="114"/>
      <c r="Q27" s="126" t="n">
        <f aca="false">M27+J27+G27</f>
        <v>11</v>
      </c>
      <c r="R27" s="126" t="n">
        <f aca="false">N27+K27+H27</f>
        <v>11</v>
      </c>
      <c r="S27" s="126" t="n">
        <f aca="false">O27+L27+I27</f>
        <v>7.25</v>
      </c>
      <c r="T27" s="127"/>
      <c r="U27" s="5" t="n">
        <f aca="false">A28-A27</f>
        <v>31</v>
      </c>
      <c r="V27" s="128" t="n">
        <f aca="false">CHOOSE(F$3,A28+24,A27)</f>
        <v>37803</v>
      </c>
      <c r="W27" s="5" t="n">
        <f aca="false">V27-C$3</f>
        <v>572</v>
      </c>
      <c r="X27" s="124" t="n">
        <f aca="false">VLOOKUP($A27,Table,MATCH(X$4,Curves,0))</f>
        <v>2</v>
      </c>
      <c r="Y27" s="129" t="n">
        <f aca="false">1/(1+CHOOSE(F$3,(X28+($K$3/10000))/2,(X27+($K$3/10000))/2))^(2*W27/365.25)</f>
        <v>0.114062676745693</v>
      </c>
      <c r="Z27" s="5" t="n">
        <f aca="false">IF(AND(mthbeg&lt;=A27,mthend&gt;=A27),1,0)</f>
        <v>0</v>
      </c>
      <c r="AA27" s="5" t="n">
        <f aca="false">U27*Z27</f>
        <v>0</v>
      </c>
      <c r="AC27" s="115" t="n">
        <f aca="false">IF(G20=2,F27*(S27-Q27),F27*(Q27-S27))</f>
        <v>0</v>
      </c>
      <c r="AE27" s="116" t="n">
        <f aca="false">IF($G$3=1,F27*(R27-Q27),F27*(Q27-R27))</f>
        <v>0</v>
      </c>
      <c r="AG27" s="116" t="n">
        <f aca="false">AC27+AE27</f>
        <v>0</v>
      </c>
    </row>
    <row r="28" customFormat="false" ht="12.75" hidden="false" customHeight="false" outlineLevel="0" collapsed="false">
      <c r="A28" s="120" t="n">
        <f aca="false">EDATE(A27,1)</f>
        <v>37834</v>
      </c>
      <c r="B28" s="121" t="e">
        <f aca="false">VLOOKUP(A28,'Inputs-Summary'!$A$32:$E$41,4,FALSE())</f>
        <v>#N/A</v>
      </c>
      <c r="C28" s="122"/>
      <c r="D28" s="123" t="e">
        <f aca="false">B28+C28</f>
        <v>#N/A</v>
      </c>
      <c r="E28" s="111" t="n">
        <f aca="false">IF(Z28=0,0,IF(AND(Z28=1,$H$3=1),D28*U28,IF($H$3=2,D28,"N/A")))</f>
        <v>0</v>
      </c>
      <c r="F28" s="111" t="n">
        <f aca="false">E28*Y28</f>
        <v>0</v>
      </c>
      <c r="G28" s="124" t="n">
        <f aca="false">VLOOKUP($A28,Table,MATCH(G$4,Curves,0))</f>
        <v>3</v>
      </c>
      <c r="H28" s="125" t="n">
        <f aca="false">G28+$H$7</f>
        <v>3</v>
      </c>
      <c r="I28" s="124" t="n">
        <f aca="false">H28</f>
        <v>3</v>
      </c>
      <c r="J28" s="124" t="n">
        <f aca="false">VLOOKUP($A28,Table,MATCH(J$4,Curves,0))</f>
        <v>4</v>
      </c>
      <c r="K28" s="125" t="n">
        <f aca="false">J28+$K$7</f>
        <v>4</v>
      </c>
      <c r="L28" s="126" t="n">
        <f aca="false">K28</f>
        <v>4</v>
      </c>
      <c r="M28" s="124" t="n">
        <f aca="false">VLOOKUP($A28,Table,MATCH(M$4,Curves,0))</f>
        <v>4</v>
      </c>
      <c r="N28" s="125" t="n">
        <f aca="false">M28+$N$7</f>
        <v>4</v>
      </c>
      <c r="O28" s="126" t="n">
        <v>0.25</v>
      </c>
      <c r="P28" s="114"/>
      <c r="Q28" s="126" t="n">
        <f aca="false">M28+J28+G28</f>
        <v>11</v>
      </c>
      <c r="R28" s="126" t="n">
        <f aca="false">N28+K28+H28</f>
        <v>11</v>
      </c>
      <c r="S28" s="126" t="n">
        <f aca="false">O28+L28+I28</f>
        <v>7.25</v>
      </c>
      <c r="T28" s="127"/>
      <c r="U28" s="5" t="n">
        <f aca="false">A29-A28</f>
        <v>31</v>
      </c>
      <c r="V28" s="128" t="n">
        <f aca="false">CHOOSE(F$3,A29+24,A28)</f>
        <v>37834</v>
      </c>
      <c r="W28" s="5" t="n">
        <f aca="false">V28-C$3</f>
        <v>603</v>
      </c>
      <c r="X28" s="124" t="n">
        <f aca="false">VLOOKUP($A28,Table,MATCH(X$4,Curves,0))</f>
        <v>2</v>
      </c>
      <c r="Y28" s="129" t="n">
        <f aca="false">1/(1+CHOOSE(F$3,(X29+($K$3/10000))/2,(X28+($K$3/10000))/2))^(2*W28/365.25)</f>
        <v>0.10140157392561</v>
      </c>
      <c r="Z28" s="5" t="n">
        <f aca="false">IF(AND(mthbeg&lt;=A28,mthend&gt;=A28),1,0)</f>
        <v>0</v>
      </c>
      <c r="AA28" s="5" t="n">
        <f aca="false">U28*Z28</f>
        <v>0</v>
      </c>
      <c r="AC28" s="115" t="n">
        <f aca="false">IF(G21=2,F28*(S28-Q28),F28*(Q28-S28))</f>
        <v>0</v>
      </c>
      <c r="AE28" s="116" t="n">
        <f aca="false">IF($G$3=1,F28*(R28-Q28),F28*(Q28-R28))</f>
        <v>0</v>
      </c>
      <c r="AG28" s="116" t="n">
        <f aca="false">AC28+AE28</f>
        <v>0</v>
      </c>
    </row>
    <row r="29" customFormat="false" ht="12.75" hidden="false" customHeight="false" outlineLevel="0" collapsed="false">
      <c r="A29" s="120" t="n">
        <f aca="false">EDATE(A28,1)</f>
        <v>37865</v>
      </c>
      <c r="B29" s="121" t="e">
        <f aca="false">VLOOKUP(A29,'Inputs-Summary'!$A$32:$E$41,4,FALSE())</f>
        <v>#N/A</v>
      </c>
      <c r="C29" s="122"/>
      <c r="D29" s="123" t="e">
        <f aca="false">B29+C29</f>
        <v>#N/A</v>
      </c>
      <c r="E29" s="111" t="n">
        <f aca="false">IF(Z29=0,0,IF(AND(Z29=1,$H$3=1),D29*U29,IF($H$3=2,D29,"N/A")))</f>
        <v>0</v>
      </c>
      <c r="F29" s="111" t="n">
        <f aca="false">E29*Y29</f>
        <v>0</v>
      </c>
      <c r="G29" s="124" t="n">
        <f aca="false">VLOOKUP($A29,Table,MATCH(G$4,Curves,0))</f>
        <v>3</v>
      </c>
      <c r="H29" s="125" t="n">
        <f aca="false">G29+$H$7</f>
        <v>3</v>
      </c>
      <c r="I29" s="124" t="n">
        <f aca="false">H29</f>
        <v>3</v>
      </c>
      <c r="J29" s="124" t="n">
        <f aca="false">VLOOKUP($A29,Table,MATCH(J$4,Curves,0))</f>
        <v>4</v>
      </c>
      <c r="K29" s="125" t="n">
        <f aca="false">J29+$K$7</f>
        <v>4</v>
      </c>
      <c r="L29" s="126" t="n">
        <f aca="false">K29</f>
        <v>4</v>
      </c>
      <c r="M29" s="124" t="n">
        <f aca="false">VLOOKUP($A29,Table,MATCH(M$4,Curves,0))</f>
        <v>4</v>
      </c>
      <c r="N29" s="125" t="n">
        <f aca="false">M29+$N$7</f>
        <v>4</v>
      </c>
      <c r="O29" s="126" t="n">
        <v>0.25</v>
      </c>
      <c r="P29" s="114"/>
      <c r="Q29" s="126" t="n">
        <f aca="false">M29+J29+G29</f>
        <v>11</v>
      </c>
      <c r="R29" s="126" t="n">
        <f aca="false">N29+K29+H29</f>
        <v>11</v>
      </c>
      <c r="S29" s="126" t="n">
        <f aca="false">O29+L29+I29</f>
        <v>7.25</v>
      </c>
      <c r="T29" s="127"/>
      <c r="U29" s="5" t="n">
        <f aca="false">A30-A29</f>
        <v>30</v>
      </c>
      <c r="V29" s="128" t="n">
        <f aca="false">CHOOSE(F$3,A30+24,A29)</f>
        <v>37865</v>
      </c>
      <c r="W29" s="5" t="n">
        <f aca="false">V29-C$3</f>
        <v>634</v>
      </c>
      <c r="X29" s="124" t="n">
        <f aca="false">VLOOKUP($A29,Table,MATCH(X$4,Curves,0))</f>
        <v>2</v>
      </c>
      <c r="Y29" s="129" t="n">
        <f aca="false">1/(1+CHOOSE(F$3,(X30+($K$3/10000))/2,(X29+($K$3/10000))/2))^(2*W29/365.25)</f>
        <v>0.0901458696915883</v>
      </c>
      <c r="Z29" s="5" t="n">
        <f aca="false">IF(AND(mthbeg&lt;=A29,mthend&gt;=A29),1,0)</f>
        <v>0</v>
      </c>
      <c r="AA29" s="5" t="n">
        <f aca="false">U29*Z29</f>
        <v>0</v>
      </c>
      <c r="AC29" s="115" t="n">
        <f aca="false">IF(G22=2,F29*(S29-Q29),F29*(Q29-S29))</f>
        <v>0</v>
      </c>
      <c r="AE29" s="116" t="n">
        <f aca="false">IF($G$3=1,F29*(R29-Q29),F29*(Q29-R29))</f>
        <v>0</v>
      </c>
      <c r="AG29" s="116" t="n">
        <f aca="false">AC29+AE29</f>
        <v>0</v>
      </c>
    </row>
    <row r="30" customFormat="false" ht="12.75" hidden="false" customHeight="false" outlineLevel="0" collapsed="false">
      <c r="A30" s="120" t="n">
        <f aca="false">EDATE(A29,1)</f>
        <v>37895</v>
      </c>
      <c r="B30" s="121" t="e">
        <f aca="false">VLOOKUP(A30,'Inputs-Summary'!$A$32:$E$41,4,FALSE())</f>
        <v>#N/A</v>
      </c>
      <c r="C30" s="122"/>
      <c r="D30" s="123" t="e">
        <f aca="false">B30+C30</f>
        <v>#N/A</v>
      </c>
      <c r="E30" s="111" t="n">
        <f aca="false">IF(Z30=0,0,IF(AND(Z30=1,$H$3=1),D30*U30,IF($H$3=2,D30,"N/A")))</f>
        <v>0</v>
      </c>
      <c r="F30" s="111" t="n">
        <f aca="false">E30*Y30</f>
        <v>0</v>
      </c>
      <c r="G30" s="124" t="n">
        <f aca="false">VLOOKUP($A30,Table,MATCH(G$4,Curves,0))</f>
        <v>3</v>
      </c>
      <c r="H30" s="125" t="n">
        <f aca="false">G30+$H$7</f>
        <v>3</v>
      </c>
      <c r="I30" s="124" t="n">
        <f aca="false">H30</f>
        <v>3</v>
      </c>
      <c r="J30" s="124" t="n">
        <f aca="false">VLOOKUP($A30,Table,MATCH(J$4,Curves,0))</f>
        <v>4</v>
      </c>
      <c r="K30" s="125" t="n">
        <f aca="false">J30+$K$7</f>
        <v>4</v>
      </c>
      <c r="L30" s="126" t="n">
        <f aca="false">K30</f>
        <v>4</v>
      </c>
      <c r="M30" s="124" t="n">
        <f aca="false">VLOOKUP($A30,Table,MATCH(M$4,Curves,0))</f>
        <v>4</v>
      </c>
      <c r="N30" s="125" t="n">
        <f aca="false">M30+$N$7</f>
        <v>4</v>
      </c>
      <c r="O30" s="126" t="n">
        <v>0.25</v>
      </c>
      <c r="P30" s="114"/>
      <c r="Q30" s="126" t="n">
        <f aca="false">M30+J30+G30</f>
        <v>11</v>
      </c>
      <c r="R30" s="126" t="n">
        <f aca="false">N30+K30+H30</f>
        <v>11</v>
      </c>
      <c r="S30" s="126" t="n">
        <f aca="false">O30+L30+I30</f>
        <v>7.25</v>
      </c>
      <c r="T30" s="127"/>
      <c r="U30" s="5" t="n">
        <f aca="false">A31-A30</f>
        <v>31</v>
      </c>
      <c r="V30" s="128" t="n">
        <f aca="false">CHOOSE(F$3,A31+24,A30)</f>
        <v>37895</v>
      </c>
      <c r="W30" s="5" t="n">
        <f aca="false">V30-C$3</f>
        <v>664</v>
      </c>
      <c r="X30" s="124" t="n">
        <f aca="false">VLOOKUP($A30,Table,MATCH(X$4,Curves,0))</f>
        <v>2</v>
      </c>
      <c r="Y30" s="129" t="n">
        <f aca="false">1/(1+CHOOSE(F$3,(X31+($K$3/10000))/2,(X30+($K$3/10000))/2))^(2*W30/365.25)</f>
        <v>0.0804443080398083</v>
      </c>
      <c r="Z30" s="5" t="n">
        <f aca="false">IF(AND(mthbeg&lt;=A30,mthend&gt;=A30),1,0)</f>
        <v>0</v>
      </c>
      <c r="AA30" s="5" t="n">
        <f aca="false">U30*Z30</f>
        <v>0</v>
      </c>
      <c r="AC30" s="115" t="n">
        <f aca="false">IF(G23=2,F30*(S30-Q30),F30*(Q30-S30))</f>
        <v>0</v>
      </c>
      <c r="AE30" s="116" t="n">
        <f aca="false">IF($G$3=1,F30*(R30-Q30),F30*(Q30-R30))</f>
        <v>0</v>
      </c>
      <c r="AG30" s="116" t="n">
        <f aca="false">AC30+AE30</f>
        <v>0</v>
      </c>
    </row>
    <row r="31" customFormat="false" ht="12.75" hidden="false" customHeight="false" outlineLevel="0" collapsed="false">
      <c r="A31" s="120" t="n">
        <f aca="false">EDATE(A30,1)</f>
        <v>37926</v>
      </c>
      <c r="B31" s="121" t="e">
        <f aca="false">VLOOKUP(A31,'Inputs-Summary'!$A$32:$E$41,4,FALSE())</f>
        <v>#N/A</v>
      </c>
      <c r="C31" s="122"/>
      <c r="D31" s="123" t="e">
        <f aca="false">B31+C31</f>
        <v>#N/A</v>
      </c>
      <c r="E31" s="111" t="n">
        <f aca="false">IF(Z31=0,0,IF(AND(Z31=1,$H$3=1),D31*U31,IF($H$3=2,D31,"N/A")))</f>
        <v>0</v>
      </c>
      <c r="F31" s="111" t="n">
        <f aca="false">E31*Y31</f>
        <v>0</v>
      </c>
      <c r="G31" s="124" t="n">
        <f aca="false">VLOOKUP($A31,Table,MATCH(G$4,Curves,0))</f>
        <v>3</v>
      </c>
      <c r="H31" s="125" t="n">
        <f aca="false">G31+$H$7</f>
        <v>3</v>
      </c>
      <c r="I31" s="124" t="n">
        <f aca="false">H31</f>
        <v>3</v>
      </c>
      <c r="J31" s="124" t="n">
        <f aca="false">VLOOKUP($A31,Table,MATCH(J$4,Curves,0))</f>
        <v>4</v>
      </c>
      <c r="K31" s="125" t="n">
        <f aca="false">J31+$K$7</f>
        <v>4</v>
      </c>
      <c r="L31" s="126" t="n">
        <f aca="false">K31</f>
        <v>4</v>
      </c>
      <c r="M31" s="124" t="n">
        <f aca="false">VLOOKUP($A31,Table,MATCH(M$4,Curves,0))</f>
        <v>4</v>
      </c>
      <c r="N31" s="125" t="n">
        <f aca="false">M31+$N$7</f>
        <v>4</v>
      </c>
      <c r="O31" s="126" t="n">
        <v>0.25</v>
      </c>
      <c r="P31" s="114"/>
      <c r="Q31" s="126" t="n">
        <f aca="false">M31+J31+G31</f>
        <v>11</v>
      </c>
      <c r="R31" s="126" t="n">
        <f aca="false">N31+K31+H31</f>
        <v>11</v>
      </c>
      <c r="S31" s="126" t="n">
        <f aca="false">O31+L31+I31</f>
        <v>7.25</v>
      </c>
      <c r="T31" s="127"/>
      <c r="U31" s="5" t="n">
        <f aca="false">A32-A31</f>
        <v>30</v>
      </c>
      <c r="V31" s="128" t="n">
        <f aca="false">CHOOSE(F$3,A32+24,A31)</f>
        <v>37926</v>
      </c>
      <c r="W31" s="5" t="n">
        <f aca="false">V31-C$3</f>
        <v>695</v>
      </c>
      <c r="X31" s="124" t="n">
        <f aca="false">VLOOKUP($A31,Table,MATCH(X$4,Curves,0))</f>
        <v>2</v>
      </c>
      <c r="Y31" s="129" t="n">
        <f aca="false">1/(1+CHOOSE(F$3,(X32+($K$3/10000))/2,(X31+($K$3/10000))/2))^(2*W31/365.25)</f>
        <v>0.0715148870894894</v>
      </c>
      <c r="Z31" s="5" t="n">
        <f aca="false">IF(AND(mthbeg&lt;=A31,mthend&gt;=A31),1,0)</f>
        <v>0</v>
      </c>
      <c r="AA31" s="5" t="n">
        <f aca="false">U31*Z31</f>
        <v>0</v>
      </c>
      <c r="AC31" s="115" t="n">
        <f aca="false">IF(G24=2,F31*(S31-Q31),F31*(Q31-S31))</f>
        <v>0</v>
      </c>
      <c r="AE31" s="116" t="n">
        <f aca="false">IF($G$3=1,F31*(R31-Q31),F31*(Q31-R31))</f>
        <v>0</v>
      </c>
      <c r="AG31" s="116" t="n">
        <f aca="false">AC31+AE31</f>
        <v>0</v>
      </c>
    </row>
    <row r="32" customFormat="false" ht="12.75" hidden="false" customHeight="false" outlineLevel="0" collapsed="false">
      <c r="A32" s="120" t="n">
        <f aca="false">EDATE(A31,1)</f>
        <v>37956</v>
      </c>
      <c r="B32" s="121" t="e">
        <f aca="false">VLOOKUP(A32,'Inputs-Summary'!$A$32:$E$41,4,FALSE())</f>
        <v>#N/A</v>
      </c>
      <c r="C32" s="122"/>
      <c r="D32" s="123" t="e">
        <f aca="false">B32+C32</f>
        <v>#N/A</v>
      </c>
      <c r="E32" s="111" t="n">
        <f aca="false">IF(Z32=0,0,IF(AND(Z32=1,$H$3=1),D32*U32,IF($H$3=2,D32,"N/A")))</f>
        <v>0</v>
      </c>
      <c r="F32" s="111" t="n">
        <f aca="false">E32*Y32</f>
        <v>0</v>
      </c>
      <c r="G32" s="124" t="n">
        <f aca="false">VLOOKUP($A32,Table,MATCH(G$4,Curves,0))</f>
        <v>3</v>
      </c>
      <c r="H32" s="125" t="n">
        <f aca="false">G32+$H$7</f>
        <v>3</v>
      </c>
      <c r="I32" s="124" t="n">
        <f aca="false">H32</f>
        <v>3</v>
      </c>
      <c r="J32" s="124" t="n">
        <f aca="false">VLOOKUP($A32,Table,MATCH(J$4,Curves,0))</f>
        <v>4</v>
      </c>
      <c r="K32" s="125" t="n">
        <f aca="false">J32+$K$7</f>
        <v>4</v>
      </c>
      <c r="L32" s="126" t="n">
        <f aca="false">K32</f>
        <v>4</v>
      </c>
      <c r="M32" s="124" t="n">
        <f aca="false">VLOOKUP($A32,Table,MATCH(M$4,Curves,0))</f>
        <v>4</v>
      </c>
      <c r="N32" s="125" t="n">
        <f aca="false">M32+$N$7</f>
        <v>4</v>
      </c>
      <c r="O32" s="126" t="n">
        <v>0.25</v>
      </c>
      <c r="P32" s="114"/>
      <c r="Q32" s="126" t="n">
        <f aca="false">M32+J32+G32</f>
        <v>11</v>
      </c>
      <c r="R32" s="126" t="n">
        <f aca="false">N32+K32+H32</f>
        <v>11</v>
      </c>
      <c r="S32" s="126" t="n">
        <f aca="false">O32+L32+I32</f>
        <v>7.25</v>
      </c>
      <c r="T32" s="127"/>
      <c r="U32" s="5" t="n">
        <f aca="false">A33-A32</f>
        <v>31</v>
      </c>
      <c r="V32" s="128" t="n">
        <f aca="false">CHOOSE(F$3,A33+24,A32)</f>
        <v>37956</v>
      </c>
      <c r="W32" s="5" t="n">
        <f aca="false">V32-C$3</f>
        <v>725</v>
      </c>
      <c r="X32" s="124" t="n">
        <f aca="false">VLOOKUP($A32,Table,MATCH(X$4,Curves,0))</f>
        <v>2</v>
      </c>
      <c r="Y32" s="129" t="n">
        <f aca="false">1/(1+CHOOSE(F$3,(X33+($K$3/10000))/2,(X32+($K$3/10000))/2))^(2*W32/365.25)</f>
        <v>0.0638184048380845</v>
      </c>
      <c r="Z32" s="5" t="n">
        <f aca="false">IF(AND(mthbeg&lt;=A32,mthend&gt;=A32),1,0)</f>
        <v>0</v>
      </c>
      <c r="AA32" s="5" t="n">
        <f aca="false">U32*Z32</f>
        <v>0</v>
      </c>
      <c r="AC32" s="115" t="n">
        <f aca="false">IF(G25=2,F32*(S32-Q32),F32*(Q32-S32))</f>
        <v>0</v>
      </c>
      <c r="AE32" s="116" t="n">
        <f aca="false">IF($G$3=1,F32*(R32-Q32),F32*(Q32-R32))</f>
        <v>0</v>
      </c>
      <c r="AG32" s="116" t="n">
        <f aca="false">AC32+AE32</f>
        <v>0</v>
      </c>
    </row>
    <row r="33" customFormat="false" ht="12.75" hidden="false" customHeight="false" outlineLevel="0" collapsed="false">
      <c r="A33" s="120" t="n">
        <f aca="false">EDATE(A32,1)</f>
        <v>37987</v>
      </c>
      <c r="B33" s="121" t="e">
        <f aca="false">VLOOKUP(A33,'Inputs-Summary'!$A$32:$E$41,4,FALSE())</f>
        <v>#N/A</v>
      </c>
      <c r="C33" s="122"/>
      <c r="D33" s="123" t="e">
        <f aca="false">B33+C33</f>
        <v>#N/A</v>
      </c>
      <c r="E33" s="111" t="n">
        <f aca="false">IF(Z33=0,0,IF(AND(Z33=1,$H$3=1),D33*U33,IF($H$3=2,D33,"N/A")))</f>
        <v>0</v>
      </c>
      <c r="F33" s="111" t="n">
        <f aca="false">E33*Y33</f>
        <v>0</v>
      </c>
      <c r="G33" s="124" t="n">
        <f aca="false">VLOOKUP($A33,Table,MATCH(G$4,Curves,0))</f>
        <v>3</v>
      </c>
      <c r="H33" s="125" t="n">
        <f aca="false">G33+$H$7</f>
        <v>3</v>
      </c>
      <c r="I33" s="124" t="n">
        <f aca="false">H33</f>
        <v>3</v>
      </c>
      <c r="J33" s="124" t="n">
        <f aca="false">VLOOKUP($A33,Table,MATCH(J$4,Curves,0))</f>
        <v>4</v>
      </c>
      <c r="K33" s="125" t="n">
        <f aca="false">J33+$K$7</f>
        <v>4</v>
      </c>
      <c r="L33" s="126" t="n">
        <f aca="false">K33</f>
        <v>4</v>
      </c>
      <c r="M33" s="124" t="n">
        <f aca="false">VLOOKUP($A33,Table,MATCH(M$4,Curves,0))</f>
        <v>4</v>
      </c>
      <c r="N33" s="125" t="n">
        <f aca="false">M33+$N$7</f>
        <v>4</v>
      </c>
      <c r="O33" s="126" t="n">
        <v>0.25</v>
      </c>
      <c r="P33" s="114"/>
      <c r="Q33" s="126" t="n">
        <f aca="false">M33+J33+G33</f>
        <v>11</v>
      </c>
      <c r="R33" s="126" t="n">
        <f aca="false">N33+K33+H33</f>
        <v>11</v>
      </c>
      <c r="S33" s="126" t="n">
        <f aca="false">O33+L33+I33</f>
        <v>7.25</v>
      </c>
      <c r="T33" s="127"/>
      <c r="U33" s="5" t="n">
        <f aca="false">A34-A33</f>
        <v>31</v>
      </c>
      <c r="V33" s="128" t="n">
        <f aca="false">CHOOSE(F$3,A34+24,A33)</f>
        <v>37987</v>
      </c>
      <c r="W33" s="5" t="n">
        <f aca="false">V33-C$3</f>
        <v>756</v>
      </c>
      <c r="X33" s="124" t="n">
        <f aca="false">VLOOKUP($A33,Table,MATCH(X$4,Curves,0))</f>
        <v>2</v>
      </c>
      <c r="Y33" s="129" t="n">
        <f aca="false">1/(1+CHOOSE(F$3,(X34+($K$3/10000))/2,(X33+($K$3/10000))/2))^(2*W33/365.25)</f>
        <v>0.0567344803807429</v>
      </c>
      <c r="Z33" s="5" t="n">
        <f aca="false">IF(AND(mthbeg&lt;=A33,mthend&gt;=A33),1,0)</f>
        <v>0</v>
      </c>
      <c r="AA33" s="5" t="n">
        <f aca="false">U33*Z33</f>
        <v>0</v>
      </c>
      <c r="AC33" s="115" t="n">
        <f aca="false">IF(G26=2,F33*(S33-Q33),F33*(Q33-S33))</f>
        <v>0</v>
      </c>
      <c r="AE33" s="116" t="n">
        <f aca="false">IF($G$3=1,F33*(R33-Q33),F33*(Q33-R33))</f>
        <v>0</v>
      </c>
      <c r="AG33" s="116" t="n">
        <f aca="false">AC33+AE33</f>
        <v>0</v>
      </c>
    </row>
    <row r="34" customFormat="false" ht="12.75" hidden="false" customHeight="false" outlineLevel="0" collapsed="false">
      <c r="A34" s="120" t="n">
        <f aca="false">EDATE(A33,1)</f>
        <v>38018</v>
      </c>
      <c r="B34" s="121" t="e">
        <f aca="false">VLOOKUP(A34,'Inputs-Summary'!$A$32:$E$41,4,FALSE())</f>
        <v>#N/A</v>
      </c>
      <c r="C34" s="122"/>
      <c r="D34" s="123" t="e">
        <f aca="false">B34+C34</f>
        <v>#N/A</v>
      </c>
      <c r="E34" s="111" t="n">
        <f aca="false">IF(Z34=0,0,IF(AND(Z34=1,$H$3=1),D34*U34,IF($H$3=2,D34,"N/A")))</f>
        <v>0</v>
      </c>
      <c r="F34" s="111" t="n">
        <f aca="false">E34*Y34</f>
        <v>0</v>
      </c>
      <c r="G34" s="124" t="n">
        <f aca="false">VLOOKUP($A34,Table,MATCH(G$4,Curves,0))</f>
        <v>3</v>
      </c>
      <c r="H34" s="125" t="n">
        <f aca="false">G34+$H$7</f>
        <v>3</v>
      </c>
      <c r="I34" s="124" t="n">
        <f aca="false">H34</f>
        <v>3</v>
      </c>
      <c r="J34" s="124" t="n">
        <f aca="false">VLOOKUP($A34,Table,MATCH(J$4,Curves,0))</f>
        <v>4</v>
      </c>
      <c r="K34" s="125" t="n">
        <f aca="false">J34+$K$7</f>
        <v>4</v>
      </c>
      <c r="L34" s="126" t="n">
        <f aca="false">K34</f>
        <v>4</v>
      </c>
      <c r="M34" s="124" t="n">
        <f aca="false">VLOOKUP($A34,Table,MATCH(M$4,Curves,0))</f>
        <v>4</v>
      </c>
      <c r="N34" s="125" t="n">
        <f aca="false">M34+$N$7</f>
        <v>4</v>
      </c>
      <c r="O34" s="126" t="n">
        <v>0.25</v>
      </c>
      <c r="P34" s="114"/>
      <c r="Q34" s="126" t="n">
        <f aca="false">M34+J34+G34</f>
        <v>11</v>
      </c>
      <c r="R34" s="126" t="n">
        <f aca="false">N34+K34+H34</f>
        <v>11</v>
      </c>
      <c r="S34" s="126" t="n">
        <f aca="false">O34+L34+I34</f>
        <v>7.25</v>
      </c>
      <c r="T34" s="127"/>
      <c r="U34" s="5" t="n">
        <f aca="false">A35-A34</f>
        <v>29</v>
      </c>
      <c r="V34" s="128" t="n">
        <f aca="false">CHOOSE(F$3,A35+24,A34)</f>
        <v>38018</v>
      </c>
      <c r="W34" s="5" t="n">
        <f aca="false">V34-C$3</f>
        <v>787</v>
      </c>
      <c r="X34" s="124" t="n">
        <f aca="false">VLOOKUP($A34,Table,MATCH(X$4,Curves,0))</f>
        <v>2</v>
      </c>
      <c r="Y34" s="129" t="n">
        <f aca="false">1/(1+CHOOSE(F$3,(X35+($K$3/10000))/2,(X34+($K$3/10000))/2))^(2*W34/365.25)</f>
        <v>0.0504368805870252</v>
      </c>
      <c r="Z34" s="5" t="n">
        <f aca="false">IF(AND(mthbeg&lt;=A34,mthend&gt;=A34),1,0)</f>
        <v>0</v>
      </c>
      <c r="AA34" s="5" t="n">
        <f aca="false">U34*Z34</f>
        <v>0</v>
      </c>
      <c r="AC34" s="115" t="n">
        <f aca="false">IF(G27=2,F34*(S34-Q34),F34*(Q34-S34))</f>
        <v>0</v>
      </c>
      <c r="AE34" s="116" t="n">
        <f aca="false">IF($G$3=1,F34*(R34-Q34),F34*(Q34-R34))</f>
        <v>0</v>
      </c>
      <c r="AG34" s="116" t="n">
        <f aca="false">AC34+AE34</f>
        <v>0</v>
      </c>
    </row>
    <row r="35" customFormat="false" ht="12.75" hidden="false" customHeight="false" outlineLevel="0" collapsed="false">
      <c r="A35" s="120" t="n">
        <f aca="false">EDATE(A34,1)</f>
        <v>38047</v>
      </c>
      <c r="B35" s="121" t="e">
        <f aca="false">VLOOKUP(A35,'Inputs-Summary'!$A$32:$E$41,4,FALSE())</f>
        <v>#N/A</v>
      </c>
      <c r="C35" s="122"/>
      <c r="D35" s="123" t="e">
        <f aca="false">B35+C35</f>
        <v>#N/A</v>
      </c>
      <c r="E35" s="111" t="n">
        <f aca="false">IF(Z35=0,0,IF(AND(Z35=1,$H$3=1),D35*U35,IF($H$3=2,D35,"N/A")))</f>
        <v>0</v>
      </c>
      <c r="F35" s="111" t="n">
        <f aca="false">E35*Y35</f>
        <v>0</v>
      </c>
      <c r="G35" s="124" t="n">
        <f aca="false">VLOOKUP($A35,Table,MATCH(G$4,Curves,0))</f>
        <v>3</v>
      </c>
      <c r="H35" s="125" t="n">
        <f aca="false">G35+$H$7</f>
        <v>3</v>
      </c>
      <c r="I35" s="124" t="n">
        <f aca="false">H35</f>
        <v>3</v>
      </c>
      <c r="J35" s="124" t="n">
        <f aca="false">VLOOKUP($A35,Table,MATCH(J$4,Curves,0))</f>
        <v>4</v>
      </c>
      <c r="K35" s="125" t="n">
        <f aca="false">J35+$K$7</f>
        <v>4</v>
      </c>
      <c r="L35" s="126" t="n">
        <f aca="false">K35</f>
        <v>4</v>
      </c>
      <c r="M35" s="124" t="n">
        <f aca="false">VLOOKUP($A35,Table,MATCH(M$4,Curves,0))</f>
        <v>4</v>
      </c>
      <c r="N35" s="125" t="n">
        <f aca="false">M35+$N$7</f>
        <v>4</v>
      </c>
      <c r="O35" s="126" t="n">
        <v>0.25</v>
      </c>
      <c r="P35" s="114"/>
      <c r="Q35" s="126" t="n">
        <f aca="false">M35+J35+G35</f>
        <v>11</v>
      </c>
      <c r="R35" s="126" t="n">
        <f aca="false">N35+K35+H35</f>
        <v>11</v>
      </c>
      <c r="S35" s="126" t="n">
        <f aca="false">O35+L35+I35</f>
        <v>7.25</v>
      </c>
      <c r="T35" s="127"/>
      <c r="U35" s="5" t="n">
        <f aca="false">A36-A35</f>
        <v>31</v>
      </c>
      <c r="V35" s="128" t="n">
        <f aca="false">CHOOSE(F$3,A36+24,A35)</f>
        <v>38047</v>
      </c>
      <c r="W35" s="5" t="n">
        <f aca="false">V35-C$3</f>
        <v>816</v>
      </c>
      <c r="X35" s="124" t="n">
        <f aca="false">VLOOKUP($A35,Table,MATCH(X$4,Curves,0))</f>
        <v>2</v>
      </c>
      <c r="Y35" s="129" t="n">
        <f aca="false">1/(1+CHOOSE(F$3,(X36+($K$3/10000))/2,(X35+($K$3/10000))/2))^(2*W35/365.25)</f>
        <v>0.0451799822888358</v>
      </c>
      <c r="Z35" s="5" t="n">
        <f aca="false">IF(AND(mthbeg&lt;=A35,mthend&gt;=A35),1,0)</f>
        <v>0</v>
      </c>
      <c r="AA35" s="5" t="n">
        <f aca="false">U35*Z35</f>
        <v>0</v>
      </c>
      <c r="AC35" s="115" t="n">
        <f aca="false">IF(G28=2,F35*(S35-Q35),F35*(Q35-S35))</f>
        <v>0</v>
      </c>
      <c r="AE35" s="116" t="n">
        <f aca="false">IF($G$3=1,F35*(R35-Q35),F35*(Q35-R35))</f>
        <v>0</v>
      </c>
      <c r="AG35" s="116" t="n">
        <f aca="false">AC35+AE35</f>
        <v>0</v>
      </c>
    </row>
    <row r="36" customFormat="false" ht="12.75" hidden="false" customHeight="false" outlineLevel="0" collapsed="false">
      <c r="A36" s="120" t="n">
        <f aca="false">EDATE(A35,1)</f>
        <v>38078</v>
      </c>
      <c r="B36" s="121" t="e">
        <f aca="false">VLOOKUP(A36,'Inputs-Summary'!$A$32:$E$41,4,FALSE())</f>
        <v>#N/A</v>
      </c>
      <c r="C36" s="122"/>
      <c r="D36" s="123" t="e">
        <f aca="false">B36+C36</f>
        <v>#N/A</v>
      </c>
      <c r="E36" s="111" t="n">
        <f aca="false">IF(Z36=0,0,IF(AND(Z36=1,$H$3=1),D36*U36,IF($H$3=2,D36,"N/A")))</f>
        <v>0</v>
      </c>
      <c r="F36" s="111" t="n">
        <f aca="false">E36*Y36</f>
        <v>0</v>
      </c>
      <c r="G36" s="124" t="n">
        <f aca="false">VLOOKUP($A36,Table,MATCH(G$4,Curves,0))</f>
        <v>3</v>
      </c>
      <c r="H36" s="125" t="n">
        <f aca="false">G36+$H$7</f>
        <v>3</v>
      </c>
      <c r="I36" s="124" t="n">
        <f aca="false">H36</f>
        <v>3</v>
      </c>
      <c r="J36" s="124" t="n">
        <f aca="false">VLOOKUP($A36,Table,MATCH(J$4,Curves,0))</f>
        <v>4</v>
      </c>
      <c r="K36" s="125" t="n">
        <f aca="false">J36+$K$7</f>
        <v>4</v>
      </c>
      <c r="L36" s="126" t="n">
        <f aca="false">K36</f>
        <v>4</v>
      </c>
      <c r="M36" s="124" t="n">
        <f aca="false">VLOOKUP($A36,Table,MATCH(M$4,Curves,0))</f>
        <v>4</v>
      </c>
      <c r="N36" s="125" t="n">
        <f aca="false">M36+$N$7</f>
        <v>4</v>
      </c>
      <c r="O36" s="126" t="n">
        <v>0.25</v>
      </c>
      <c r="P36" s="114"/>
      <c r="Q36" s="126" t="n">
        <f aca="false">M36+J36+G36</f>
        <v>11</v>
      </c>
      <c r="R36" s="126" t="n">
        <f aca="false">N36+K36+H36</f>
        <v>11</v>
      </c>
      <c r="S36" s="126" t="n">
        <f aca="false">O36+L36+I36</f>
        <v>7.25</v>
      </c>
      <c r="T36" s="127"/>
      <c r="U36" s="5" t="n">
        <f aca="false">A37-A36</f>
        <v>30</v>
      </c>
      <c r="V36" s="128" t="n">
        <f aca="false">CHOOSE(F$3,A37+24,A36)</f>
        <v>38078</v>
      </c>
      <c r="W36" s="5" t="n">
        <f aca="false">V36-C$3</f>
        <v>847</v>
      </c>
      <c r="X36" s="124" t="n">
        <f aca="false">VLOOKUP($A36,Table,MATCH(X$4,Curves,0))</f>
        <v>2</v>
      </c>
      <c r="Y36" s="129" t="n">
        <f aca="false">1/(1+CHOOSE(F$3,(X37+($K$3/10000))/2,(X36+($K$3/10000))/2))^(2*W36/365.25)</f>
        <v>0.0401649465427973</v>
      </c>
      <c r="Z36" s="5" t="n">
        <f aca="false">IF(AND(mthbeg&lt;=A36,mthend&gt;=A36),1,0)</f>
        <v>0</v>
      </c>
      <c r="AA36" s="5" t="n">
        <f aca="false">U36*Z36</f>
        <v>0</v>
      </c>
      <c r="AC36" s="115" t="n">
        <f aca="false">IF(G29=2,F36*(S36-Q36),F36*(Q36-S36))</f>
        <v>0</v>
      </c>
      <c r="AE36" s="116" t="n">
        <f aca="false">IF($G$3=1,F36*(R36-Q36),F36*(Q36-R36))</f>
        <v>0</v>
      </c>
      <c r="AG36" s="116" t="n">
        <f aca="false">AC36+AE36</f>
        <v>0</v>
      </c>
    </row>
    <row r="37" customFormat="false" ht="12.75" hidden="false" customHeight="false" outlineLevel="0" collapsed="false">
      <c r="A37" s="120" t="n">
        <f aca="false">EDATE(A36,1)</f>
        <v>38108</v>
      </c>
      <c r="B37" s="121" t="e">
        <f aca="false">VLOOKUP(A37,'Inputs-Summary'!$A$32:$E$41,4,FALSE())</f>
        <v>#N/A</v>
      </c>
      <c r="C37" s="122"/>
      <c r="D37" s="123" t="e">
        <f aca="false">B37+C37</f>
        <v>#N/A</v>
      </c>
      <c r="E37" s="111" t="n">
        <f aca="false">IF(Z37=0,0,IF(AND(Z37=1,$H$3=1),D37*U37,IF($H$3=2,D37,"N/A")))</f>
        <v>0</v>
      </c>
      <c r="F37" s="111" t="n">
        <f aca="false">E37*Y37</f>
        <v>0</v>
      </c>
      <c r="G37" s="124" t="n">
        <f aca="false">VLOOKUP($A37,Table,MATCH(G$4,Curves,0))</f>
        <v>3</v>
      </c>
      <c r="H37" s="125" t="n">
        <f aca="false">G37+$H$7</f>
        <v>3</v>
      </c>
      <c r="I37" s="124" t="n">
        <f aca="false">H37</f>
        <v>3</v>
      </c>
      <c r="J37" s="124" t="n">
        <f aca="false">VLOOKUP($A37,Table,MATCH(J$4,Curves,0))</f>
        <v>4</v>
      </c>
      <c r="K37" s="125" t="n">
        <f aca="false">J37+$K$7</f>
        <v>4</v>
      </c>
      <c r="L37" s="126" t="n">
        <f aca="false">K37</f>
        <v>4</v>
      </c>
      <c r="M37" s="124" t="n">
        <f aca="false">VLOOKUP($A37,Table,MATCH(M$4,Curves,0))</f>
        <v>4</v>
      </c>
      <c r="N37" s="125" t="n">
        <f aca="false">M37+$N$7</f>
        <v>4</v>
      </c>
      <c r="O37" s="126" t="n">
        <v>0.25</v>
      </c>
      <c r="P37" s="114"/>
      <c r="Q37" s="126" t="n">
        <f aca="false">M37+J37+G37</f>
        <v>11</v>
      </c>
      <c r="R37" s="126" t="n">
        <f aca="false">N37+K37+H37</f>
        <v>11</v>
      </c>
      <c r="S37" s="126" t="n">
        <f aca="false">O37+L37+I37</f>
        <v>7.25</v>
      </c>
      <c r="T37" s="127"/>
      <c r="U37" s="5" t="n">
        <f aca="false">A38-A37</f>
        <v>31</v>
      </c>
      <c r="V37" s="128" t="n">
        <f aca="false">CHOOSE(F$3,A38+24,A37)</f>
        <v>38108</v>
      </c>
      <c r="W37" s="5" t="n">
        <f aca="false">V37-C$3</f>
        <v>877</v>
      </c>
      <c r="X37" s="124" t="n">
        <f aca="false">VLOOKUP($A37,Table,MATCH(X$4,Curves,0))</f>
        <v>2</v>
      </c>
      <c r="Y37" s="129" t="n">
        <f aca="false">1/(1+CHOOSE(F$3,(X38+($K$3/10000))/2,(X37+($K$3/10000))/2))^(2*W37/365.25)</f>
        <v>0.0358423668565784</v>
      </c>
      <c r="Z37" s="5" t="n">
        <f aca="false">IF(AND(mthbeg&lt;=A37,mthend&gt;=A37),1,0)</f>
        <v>0</v>
      </c>
      <c r="AA37" s="5" t="n">
        <f aca="false">U37*Z37</f>
        <v>0</v>
      </c>
      <c r="AC37" s="115" t="n">
        <f aca="false">IF(G30=2,F37*(S37-Q37),F37*(Q37-S37))</f>
        <v>0</v>
      </c>
      <c r="AE37" s="116" t="n">
        <f aca="false">IF($G$3=1,F37*(R37-Q37),F37*(Q37-R37))</f>
        <v>0</v>
      </c>
      <c r="AG37" s="116" t="n">
        <f aca="false">AC37+AE37</f>
        <v>0</v>
      </c>
    </row>
    <row r="38" customFormat="false" ht="12.75" hidden="false" customHeight="false" outlineLevel="0" collapsed="false">
      <c r="A38" s="120" t="n">
        <f aca="false">EDATE(A37,1)</f>
        <v>38139</v>
      </c>
      <c r="B38" s="121" t="e">
        <f aca="false">VLOOKUP(A38,'Inputs-Summary'!$A$32:$E$41,4,FALSE())</f>
        <v>#N/A</v>
      </c>
      <c r="C38" s="122"/>
      <c r="D38" s="123" t="e">
        <f aca="false">B38+C38</f>
        <v>#N/A</v>
      </c>
      <c r="E38" s="111" t="n">
        <f aca="false">IF(Z38=0,0,IF(AND(Z38=1,$H$3=1),D38*U38,IF($H$3=2,D38,"N/A")))</f>
        <v>0</v>
      </c>
      <c r="F38" s="111" t="n">
        <f aca="false">E38*Y38</f>
        <v>0</v>
      </c>
      <c r="G38" s="124" t="n">
        <f aca="false">VLOOKUP($A38,Table,MATCH(G$4,Curves,0))</f>
        <v>3</v>
      </c>
      <c r="H38" s="125" t="n">
        <f aca="false">G38+$H$7</f>
        <v>3</v>
      </c>
      <c r="I38" s="124" t="n">
        <f aca="false">H38</f>
        <v>3</v>
      </c>
      <c r="J38" s="124" t="n">
        <f aca="false">VLOOKUP($A38,Table,MATCH(J$4,Curves,0))</f>
        <v>4</v>
      </c>
      <c r="K38" s="125" t="n">
        <f aca="false">J38+$K$7</f>
        <v>4</v>
      </c>
      <c r="L38" s="126" t="n">
        <f aca="false">K38</f>
        <v>4</v>
      </c>
      <c r="M38" s="124" t="n">
        <f aca="false">VLOOKUP($A38,Table,MATCH(M$4,Curves,0))</f>
        <v>4</v>
      </c>
      <c r="N38" s="125" t="n">
        <f aca="false">M38+$N$7</f>
        <v>4</v>
      </c>
      <c r="O38" s="126" t="n">
        <v>0.25</v>
      </c>
      <c r="P38" s="114"/>
      <c r="Q38" s="126" t="n">
        <f aca="false">M38+J38+G38</f>
        <v>11</v>
      </c>
      <c r="R38" s="126" t="n">
        <f aca="false">N38+K38+H38</f>
        <v>11</v>
      </c>
      <c r="S38" s="126" t="n">
        <f aca="false">O38+L38+I38</f>
        <v>7.25</v>
      </c>
      <c r="T38" s="127"/>
      <c r="U38" s="5" t="n">
        <f aca="false">A39-A38</f>
        <v>30</v>
      </c>
      <c r="V38" s="128" t="n">
        <f aca="false">CHOOSE(F$3,A39+24,A38)</f>
        <v>38139</v>
      </c>
      <c r="W38" s="5" t="n">
        <f aca="false">V38-C$3</f>
        <v>908</v>
      </c>
      <c r="X38" s="124" t="n">
        <f aca="false">VLOOKUP($A38,Table,MATCH(X$4,Curves,0))</f>
        <v>2</v>
      </c>
      <c r="Y38" s="129" t="n">
        <f aca="false">1/(1+CHOOSE(F$3,(X39+($K$3/10000))/2,(X38+($K$3/10000))/2))^(2*W38/365.25)</f>
        <v>0.031863818351198</v>
      </c>
      <c r="Z38" s="5" t="n">
        <f aca="false">IF(AND(mthbeg&lt;=A38,mthend&gt;=A38),1,0)</f>
        <v>0</v>
      </c>
      <c r="AA38" s="5" t="n">
        <f aca="false">U38*Z38</f>
        <v>0</v>
      </c>
      <c r="AC38" s="115" t="n">
        <f aca="false">IF(G31=2,F38*(S38-Q38),F38*(Q38-S38))</f>
        <v>0</v>
      </c>
      <c r="AE38" s="116" t="n">
        <f aca="false">IF($G$3=1,F38*(R38-Q38),F38*(Q38-R38))</f>
        <v>0</v>
      </c>
      <c r="AG38" s="116" t="n">
        <f aca="false">AC38+AE38</f>
        <v>0</v>
      </c>
    </row>
    <row r="39" customFormat="false" ht="12.75" hidden="false" customHeight="false" outlineLevel="0" collapsed="false">
      <c r="A39" s="120" t="n">
        <f aca="false">EDATE(A38,1)</f>
        <v>38169</v>
      </c>
      <c r="B39" s="121" t="e">
        <f aca="false">VLOOKUP(A39,'Inputs-Summary'!$A$32:$E$41,4,FALSE())</f>
        <v>#N/A</v>
      </c>
      <c r="C39" s="122"/>
      <c r="D39" s="123" t="e">
        <f aca="false">B39+C39</f>
        <v>#N/A</v>
      </c>
      <c r="E39" s="111" t="n">
        <f aca="false">IF(Z39=0,0,IF(AND(Z39=1,$H$3=1),D39*U39,IF($H$3=2,D39,"N/A")))</f>
        <v>0</v>
      </c>
      <c r="F39" s="111" t="n">
        <f aca="false">E39*Y39</f>
        <v>0</v>
      </c>
      <c r="G39" s="124" t="n">
        <f aca="false">VLOOKUP($A39,Table,MATCH(G$4,Curves,0))</f>
        <v>3</v>
      </c>
      <c r="H39" s="125" t="n">
        <f aca="false">G39+$H$7</f>
        <v>3</v>
      </c>
      <c r="I39" s="124" t="n">
        <f aca="false">H39</f>
        <v>3</v>
      </c>
      <c r="J39" s="124" t="n">
        <f aca="false">VLOOKUP($A39,Table,MATCH(J$4,Curves,0))</f>
        <v>4</v>
      </c>
      <c r="K39" s="125" t="n">
        <f aca="false">J39+$K$7</f>
        <v>4</v>
      </c>
      <c r="L39" s="126" t="n">
        <f aca="false">K39</f>
        <v>4</v>
      </c>
      <c r="M39" s="124" t="n">
        <f aca="false">VLOOKUP($A39,Table,MATCH(M$4,Curves,0))</f>
        <v>4</v>
      </c>
      <c r="N39" s="125" t="n">
        <f aca="false">M39+$N$7</f>
        <v>4</v>
      </c>
      <c r="O39" s="126" t="n">
        <v>0.25</v>
      </c>
      <c r="P39" s="114"/>
      <c r="Q39" s="126" t="n">
        <f aca="false">M39+J39+G39</f>
        <v>11</v>
      </c>
      <c r="R39" s="126" t="n">
        <f aca="false">N39+K39+H39</f>
        <v>11</v>
      </c>
      <c r="S39" s="126" t="n">
        <f aca="false">O39+L39+I39</f>
        <v>7.25</v>
      </c>
      <c r="T39" s="127"/>
      <c r="U39" s="5" t="n">
        <f aca="false">A40-A39</f>
        <v>31</v>
      </c>
      <c r="V39" s="128" t="n">
        <f aca="false">CHOOSE(F$3,A40+24,A39)</f>
        <v>38169</v>
      </c>
      <c r="W39" s="5" t="n">
        <f aca="false">V39-C$3</f>
        <v>938</v>
      </c>
      <c r="X39" s="124" t="n">
        <f aca="false">VLOOKUP($A39,Table,MATCH(X$4,Curves,0))</f>
        <v>2</v>
      </c>
      <c r="Y39" s="129" t="n">
        <f aca="false">1/(1+CHOOSE(F$3,(X40+($K$3/10000))/2,(X39+($K$3/10000))/2))^(2*W39/365.25)</f>
        <v>0.0284346118966718</v>
      </c>
      <c r="Z39" s="5" t="n">
        <f aca="false">IF(AND(mthbeg&lt;=A39,mthend&gt;=A39),1,0)</f>
        <v>0</v>
      </c>
      <c r="AA39" s="5" t="n">
        <f aca="false">U39*Z39</f>
        <v>0</v>
      </c>
      <c r="AC39" s="115" t="n">
        <f aca="false">IF(G32=2,F39*(S39-Q39),F39*(Q39-S39))</f>
        <v>0</v>
      </c>
      <c r="AE39" s="116" t="n">
        <f aca="false">IF($G$3=1,F39*(R39-Q39),F39*(Q39-R39))</f>
        <v>0</v>
      </c>
      <c r="AG39" s="116" t="n">
        <f aca="false">AC39+AE39</f>
        <v>0</v>
      </c>
    </row>
    <row r="40" customFormat="false" ht="12.75" hidden="false" customHeight="false" outlineLevel="0" collapsed="false">
      <c r="A40" s="120" t="n">
        <f aca="false">EDATE(A39,1)</f>
        <v>38200</v>
      </c>
      <c r="B40" s="121" t="e">
        <f aca="false">VLOOKUP(A40,'Inputs-Summary'!$A$32:$E$41,4,FALSE())</f>
        <v>#N/A</v>
      </c>
      <c r="C40" s="122"/>
      <c r="D40" s="123" t="e">
        <f aca="false">B40+C40</f>
        <v>#N/A</v>
      </c>
      <c r="E40" s="111" t="n">
        <f aca="false">IF(Z40=0,0,IF(AND(Z40=1,$H$3=1),D40*U40,IF($H$3=2,D40,"N/A")))</f>
        <v>0</v>
      </c>
      <c r="F40" s="111" t="n">
        <f aca="false">E40*Y40</f>
        <v>0</v>
      </c>
      <c r="G40" s="124" t="n">
        <f aca="false">VLOOKUP($A40,Table,MATCH(G$4,Curves,0))</f>
        <v>3</v>
      </c>
      <c r="H40" s="125" t="n">
        <f aca="false">G40+$H$7</f>
        <v>3</v>
      </c>
      <c r="I40" s="124" t="n">
        <f aca="false">H40</f>
        <v>3</v>
      </c>
      <c r="J40" s="124" t="n">
        <f aca="false">VLOOKUP($A40,Table,MATCH(J$4,Curves,0))</f>
        <v>4</v>
      </c>
      <c r="K40" s="125" t="n">
        <f aca="false">J40+$K$7</f>
        <v>4</v>
      </c>
      <c r="L40" s="126" t="n">
        <f aca="false">K40</f>
        <v>4</v>
      </c>
      <c r="M40" s="124" t="n">
        <f aca="false">VLOOKUP($A40,Table,MATCH(M$4,Curves,0))</f>
        <v>4</v>
      </c>
      <c r="N40" s="125" t="n">
        <f aca="false">M40+$N$7</f>
        <v>4</v>
      </c>
      <c r="O40" s="126" t="n">
        <v>0.25</v>
      </c>
      <c r="P40" s="114"/>
      <c r="Q40" s="126" t="n">
        <f aca="false">M40+J40+G40</f>
        <v>11</v>
      </c>
      <c r="R40" s="126" t="n">
        <f aca="false">N40+K40+H40</f>
        <v>11</v>
      </c>
      <c r="S40" s="126" t="n">
        <f aca="false">O40+L40+I40</f>
        <v>7.25</v>
      </c>
      <c r="T40" s="127"/>
      <c r="U40" s="5" t="n">
        <f aca="false">A41-A40</f>
        <v>31</v>
      </c>
      <c r="V40" s="128" t="n">
        <f aca="false">CHOOSE(F$3,A41+24,A40)</f>
        <v>38200</v>
      </c>
      <c r="W40" s="5" t="n">
        <f aca="false">V40-C$3</f>
        <v>969</v>
      </c>
      <c r="X40" s="124" t="n">
        <f aca="false">VLOOKUP($A40,Table,MATCH(X$4,Curves,0))</f>
        <v>2</v>
      </c>
      <c r="Y40" s="129" t="n">
        <f aca="false">1/(1+CHOOSE(F$3,(X41+($K$3/10000))/2,(X40+($K$3/10000))/2))^(2*W40/365.25)</f>
        <v>0.0252783336543544</v>
      </c>
      <c r="Z40" s="5" t="n">
        <f aca="false">IF(AND(mthbeg&lt;=A40,mthend&gt;=A40),1,0)</f>
        <v>0</v>
      </c>
      <c r="AA40" s="5" t="n">
        <f aca="false">U40*Z40</f>
        <v>0</v>
      </c>
      <c r="AC40" s="115" t="n">
        <f aca="false">IF(G33=2,F40*(S40-Q40),F40*(Q40-S40))</f>
        <v>0</v>
      </c>
      <c r="AE40" s="116" t="n">
        <f aca="false">IF($G$3=1,F40*(R40-Q40),F40*(Q40-R40))</f>
        <v>0</v>
      </c>
      <c r="AG40" s="116" t="n">
        <f aca="false">AC40+AE40</f>
        <v>0</v>
      </c>
    </row>
    <row r="41" customFormat="false" ht="12.75" hidden="false" customHeight="false" outlineLevel="0" collapsed="false">
      <c r="A41" s="120" t="n">
        <f aca="false">EDATE(A40,1)</f>
        <v>38231</v>
      </c>
      <c r="B41" s="121" t="e">
        <f aca="false">VLOOKUP(A41,'Inputs-Summary'!$A$32:$E$41,4,FALSE())</f>
        <v>#N/A</v>
      </c>
      <c r="C41" s="122"/>
      <c r="D41" s="123" t="e">
        <f aca="false">B41+C41</f>
        <v>#N/A</v>
      </c>
      <c r="E41" s="111" t="n">
        <f aca="false">IF(Z41=0,0,IF(AND(Z41=1,$H$3=1),D41*U41,IF($H$3=2,D41,"N/A")))</f>
        <v>0</v>
      </c>
      <c r="F41" s="111" t="n">
        <f aca="false">E41*Y41</f>
        <v>0</v>
      </c>
      <c r="G41" s="124" t="n">
        <f aca="false">VLOOKUP($A41,Table,MATCH(G$4,Curves,0))</f>
        <v>3</v>
      </c>
      <c r="H41" s="125" t="n">
        <f aca="false">G41+$H$7</f>
        <v>3</v>
      </c>
      <c r="I41" s="124" t="n">
        <f aca="false">H41</f>
        <v>3</v>
      </c>
      <c r="J41" s="124" t="n">
        <f aca="false">VLOOKUP($A41,Table,MATCH(J$4,Curves,0))</f>
        <v>4</v>
      </c>
      <c r="K41" s="125" t="n">
        <f aca="false">J41+$K$7</f>
        <v>4</v>
      </c>
      <c r="L41" s="126" t="n">
        <f aca="false">K41</f>
        <v>4</v>
      </c>
      <c r="M41" s="124" t="n">
        <f aca="false">VLOOKUP($A41,Table,MATCH(M$4,Curves,0))</f>
        <v>4</v>
      </c>
      <c r="N41" s="125" t="n">
        <f aca="false">M41+$N$7</f>
        <v>4</v>
      </c>
      <c r="O41" s="126" t="n">
        <v>0.25</v>
      </c>
      <c r="P41" s="114"/>
      <c r="Q41" s="126" t="n">
        <f aca="false">M41+J41+G41</f>
        <v>11</v>
      </c>
      <c r="R41" s="126" t="n">
        <f aca="false">N41+K41+H41</f>
        <v>11</v>
      </c>
      <c r="S41" s="126" t="n">
        <f aca="false">O41+L41+I41</f>
        <v>7.25</v>
      </c>
      <c r="T41" s="127"/>
      <c r="U41" s="5" t="n">
        <f aca="false">A42-A41</f>
        <v>30</v>
      </c>
      <c r="V41" s="128" t="n">
        <f aca="false">CHOOSE(F$3,A42+24,A41)</f>
        <v>38231</v>
      </c>
      <c r="W41" s="5" t="n">
        <f aca="false">V41-C$3</f>
        <v>1000</v>
      </c>
      <c r="X41" s="124" t="n">
        <f aca="false">VLOOKUP($A41,Table,MATCH(X$4,Curves,0))</f>
        <v>2</v>
      </c>
      <c r="Y41" s="129" t="n">
        <f aca="false">1/(1+CHOOSE(F$3,(X42+($K$3/10000))/2,(X41+($K$3/10000))/2))^(2*W41/365.25)</f>
        <v>0.022472406328699</v>
      </c>
      <c r="Z41" s="5" t="n">
        <f aca="false">IF(AND(mthbeg&lt;=A41,mthend&gt;=A41),1,0)</f>
        <v>0</v>
      </c>
      <c r="AA41" s="5" t="n">
        <f aca="false">U41*Z41</f>
        <v>0</v>
      </c>
      <c r="AC41" s="115" t="n">
        <f aca="false">IF(G34=2,F41*(S41-Q41),F41*(Q41-S41))</f>
        <v>0</v>
      </c>
      <c r="AE41" s="116" t="n">
        <f aca="false">IF($G$3=1,F41*(R41-Q41),F41*(Q41-R41))</f>
        <v>0</v>
      </c>
      <c r="AG41" s="116" t="n">
        <f aca="false">AC41+AE41</f>
        <v>0</v>
      </c>
    </row>
    <row r="42" customFormat="false" ht="12.75" hidden="false" customHeight="false" outlineLevel="0" collapsed="false">
      <c r="A42" s="120" t="n">
        <f aca="false">EDATE(A41,1)</f>
        <v>38261</v>
      </c>
      <c r="B42" s="121" t="e">
        <f aca="false">VLOOKUP(A42,'Inputs-Summary'!$A$32:$E$41,4,FALSE())</f>
        <v>#N/A</v>
      </c>
      <c r="C42" s="122"/>
      <c r="D42" s="123" t="e">
        <f aca="false">B42+C42</f>
        <v>#N/A</v>
      </c>
      <c r="E42" s="111" t="n">
        <f aca="false">IF(Z42=0,0,IF(AND(Z42=1,$H$3=1),D42*U42,IF($H$3=2,D42,"N/A")))</f>
        <v>0</v>
      </c>
      <c r="F42" s="111" t="n">
        <f aca="false">E42*Y42</f>
        <v>0</v>
      </c>
      <c r="G42" s="124" t="n">
        <f aca="false">VLOOKUP($A42,Table,MATCH(G$4,Curves,0))</f>
        <v>3</v>
      </c>
      <c r="H42" s="125" t="n">
        <f aca="false">G42+$H$7</f>
        <v>3</v>
      </c>
      <c r="I42" s="124" t="n">
        <f aca="false">H42</f>
        <v>3</v>
      </c>
      <c r="J42" s="124" t="n">
        <f aca="false">VLOOKUP($A42,Table,MATCH(J$4,Curves,0))</f>
        <v>4</v>
      </c>
      <c r="K42" s="125" t="n">
        <f aca="false">J42+$K$7</f>
        <v>4</v>
      </c>
      <c r="L42" s="126" t="n">
        <f aca="false">K42</f>
        <v>4</v>
      </c>
      <c r="M42" s="124" t="n">
        <f aca="false">VLOOKUP($A42,Table,MATCH(M$4,Curves,0))</f>
        <v>4</v>
      </c>
      <c r="N42" s="125" t="n">
        <f aca="false">M42+$N$7</f>
        <v>4</v>
      </c>
      <c r="O42" s="126" t="n">
        <v>0.25</v>
      </c>
      <c r="P42" s="114"/>
      <c r="Q42" s="126" t="n">
        <f aca="false">M42+J42+G42</f>
        <v>11</v>
      </c>
      <c r="R42" s="126" t="n">
        <f aca="false">N42+K42+H42</f>
        <v>11</v>
      </c>
      <c r="S42" s="126" t="n">
        <f aca="false">O42+L42+I42</f>
        <v>7.25</v>
      </c>
      <c r="T42" s="127"/>
      <c r="U42" s="5" t="n">
        <f aca="false">A43-A42</f>
        <v>31</v>
      </c>
      <c r="V42" s="128" t="n">
        <f aca="false">CHOOSE(F$3,A43+24,A42)</f>
        <v>38261</v>
      </c>
      <c r="W42" s="5" t="n">
        <f aca="false">V42-C$3</f>
        <v>1030</v>
      </c>
      <c r="X42" s="124" t="n">
        <f aca="false">VLOOKUP($A42,Table,MATCH(X$4,Curves,0))</f>
        <v>2</v>
      </c>
      <c r="Y42" s="129" t="n">
        <f aca="false">1/(1+CHOOSE(F$3,(X43+($K$3/10000))/2,(X42+($K$3/10000))/2))^(2*W42/365.25)</f>
        <v>0.0200539102155923</v>
      </c>
      <c r="Z42" s="5" t="n">
        <f aca="false">IF(AND(mthbeg&lt;=A42,mthend&gt;=A42),1,0)</f>
        <v>0</v>
      </c>
      <c r="AA42" s="5" t="n">
        <f aca="false">U42*Z42</f>
        <v>0</v>
      </c>
      <c r="AC42" s="115" t="n">
        <f aca="false">IF(G35=2,F42*(S42-Q42),F42*(Q42-S42))</f>
        <v>0</v>
      </c>
      <c r="AE42" s="116" t="n">
        <f aca="false">IF($G$3=1,F42*(R42-Q42),F42*(Q42-R42))</f>
        <v>0</v>
      </c>
      <c r="AG42" s="116" t="n">
        <f aca="false">AC42+AE42</f>
        <v>0</v>
      </c>
    </row>
    <row r="43" customFormat="false" ht="12.75" hidden="false" customHeight="false" outlineLevel="0" collapsed="false">
      <c r="A43" s="120" t="n">
        <f aca="false">EDATE(A42,1)</f>
        <v>38292</v>
      </c>
      <c r="B43" s="121" t="e">
        <f aca="false">VLOOKUP(A43,'Inputs-Summary'!$A$32:$E$41,4,FALSE())</f>
        <v>#N/A</v>
      </c>
      <c r="C43" s="122"/>
      <c r="D43" s="123" t="e">
        <f aca="false">B43+C43</f>
        <v>#N/A</v>
      </c>
      <c r="E43" s="111" t="n">
        <f aca="false">IF(Z43=0,0,IF(AND(Z43=1,$H$3=1),D43*U43,IF($H$3=2,D43,"N/A")))</f>
        <v>0</v>
      </c>
      <c r="F43" s="111" t="n">
        <f aca="false">E43*Y43</f>
        <v>0</v>
      </c>
      <c r="G43" s="124" t="n">
        <f aca="false">VLOOKUP($A43,Table,MATCH(G$4,Curves,0))</f>
        <v>3</v>
      </c>
      <c r="H43" s="125" t="n">
        <f aca="false">G43+$H$7</f>
        <v>3</v>
      </c>
      <c r="I43" s="124" t="n">
        <f aca="false">H43</f>
        <v>3</v>
      </c>
      <c r="J43" s="124" t="n">
        <f aca="false">VLOOKUP($A43,Table,MATCH(J$4,Curves,0))</f>
        <v>4</v>
      </c>
      <c r="K43" s="125" t="n">
        <f aca="false">J43+$K$7</f>
        <v>4</v>
      </c>
      <c r="L43" s="126" t="n">
        <f aca="false">K43</f>
        <v>4</v>
      </c>
      <c r="M43" s="124" t="n">
        <f aca="false">VLOOKUP($A43,Table,MATCH(M$4,Curves,0))</f>
        <v>4</v>
      </c>
      <c r="N43" s="125" t="n">
        <f aca="false">M43+$N$7</f>
        <v>4</v>
      </c>
      <c r="O43" s="126" t="n">
        <v>0.25</v>
      </c>
      <c r="P43" s="114"/>
      <c r="Q43" s="126" t="n">
        <f aca="false">M43+J43+G43</f>
        <v>11</v>
      </c>
      <c r="R43" s="126" t="n">
        <f aca="false">N43+K43+H43</f>
        <v>11</v>
      </c>
      <c r="S43" s="126" t="n">
        <f aca="false">O43+L43+I43</f>
        <v>7.25</v>
      </c>
      <c r="T43" s="127"/>
      <c r="U43" s="5" t="n">
        <f aca="false">A44-A43</f>
        <v>30</v>
      </c>
      <c r="V43" s="128" t="n">
        <f aca="false">CHOOSE(F$3,A44+24,A43)</f>
        <v>38292</v>
      </c>
      <c r="W43" s="5" t="n">
        <f aca="false">V43-C$3</f>
        <v>1061</v>
      </c>
      <c r="X43" s="124" t="n">
        <f aca="false">VLOOKUP($A43,Table,MATCH(X$4,Curves,0))</f>
        <v>2</v>
      </c>
      <c r="Y43" s="129" t="n">
        <f aca="false">1/(1+CHOOSE(F$3,(X44+($K$3/10000))/2,(X43+($K$3/10000))/2))^(2*W43/365.25)</f>
        <v>0.0178279005652102</v>
      </c>
      <c r="Z43" s="5" t="n">
        <f aca="false">IF(AND(mthbeg&lt;=A43,mthend&gt;=A43),1,0)</f>
        <v>0</v>
      </c>
      <c r="AA43" s="5" t="n">
        <f aca="false">U43*Z43</f>
        <v>0</v>
      </c>
      <c r="AC43" s="115" t="n">
        <f aca="false">IF(G36=2,F43*(S43-Q43),F43*(Q43-S43))</f>
        <v>0</v>
      </c>
      <c r="AE43" s="116" t="n">
        <f aca="false">IF($G$3=1,F43*(R43-Q43),F43*(Q43-R43))</f>
        <v>0</v>
      </c>
      <c r="AG43" s="116" t="n">
        <f aca="false">AC43+AE43</f>
        <v>0</v>
      </c>
    </row>
    <row r="44" customFormat="false" ht="12.75" hidden="false" customHeight="false" outlineLevel="0" collapsed="false">
      <c r="A44" s="120" t="n">
        <f aca="false">EDATE(A43,1)</f>
        <v>38322</v>
      </c>
      <c r="B44" s="121" t="e">
        <f aca="false">VLOOKUP(A44,'Inputs-Summary'!$A$32:$E$41,4,FALSE())</f>
        <v>#N/A</v>
      </c>
      <c r="C44" s="122"/>
      <c r="D44" s="123" t="e">
        <f aca="false">B44+C44</f>
        <v>#N/A</v>
      </c>
      <c r="E44" s="111" t="n">
        <f aca="false">IF(Z44=0,0,IF(AND(Z44=1,$H$3=1),D44*U44,IF($H$3=2,D44,"N/A")))</f>
        <v>0</v>
      </c>
      <c r="F44" s="111" t="n">
        <f aca="false">E44*Y44</f>
        <v>0</v>
      </c>
      <c r="G44" s="124" t="n">
        <f aca="false">VLOOKUP($A44,Table,MATCH(G$4,Curves,0))</f>
        <v>3</v>
      </c>
      <c r="H44" s="125" t="n">
        <f aca="false">G44+$H$7</f>
        <v>3</v>
      </c>
      <c r="I44" s="124" t="n">
        <f aca="false">H44</f>
        <v>3</v>
      </c>
      <c r="J44" s="124" t="n">
        <f aca="false">VLOOKUP($A44,Table,MATCH(J$4,Curves,0))</f>
        <v>4</v>
      </c>
      <c r="K44" s="125" t="n">
        <f aca="false">J44+$K$7</f>
        <v>4</v>
      </c>
      <c r="L44" s="126" t="n">
        <f aca="false">K44</f>
        <v>4</v>
      </c>
      <c r="M44" s="124" t="n">
        <f aca="false">VLOOKUP($A44,Table,MATCH(M$4,Curves,0))</f>
        <v>4</v>
      </c>
      <c r="N44" s="125" t="n">
        <f aca="false">M44+$N$7</f>
        <v>4</v>
      </c>
      <c r="O44" s="126" t="n">
        <v>0.25</v>
      </c>
      <c r="P44" s="114"/>
      <c r="Q44" s="126" t="n">
        <f aca="false">M44+J44+G44</f>
        <v>11</v>
      </c>
      <c r="R44" s="126" t="n">
        <f aca="false">N44+K44+H44</f>
        <v>11</v>
      </c>
      <c r="S44" s="126" t="n">
        <f aca="false">O44+L44+I44</f>
        <v>7.25</v>
      </c>
      <c r="T44" s="127"/>
      <c r="U44" s="5" t="n">
        <f aca="false">A45-A44</f>
        <v>31</v>
      </c>
      <c r="V44" s="128" t="n">
        <f aca="false">CHOOSE(F$3,A45+24,A44)</f>
        <v>38322</v>
      </c>
      <c r="W44" s="5" t="n">
        <f aca="false">V44-C$3</f>
        <v>1091</v>
      </c>
      <c r="X44" s="124" t="n">
        <f aca="false">VLOOKUP($A44,Table,MATCH(X$4,Curves,0))</f>
        <v>2</v>
      </c>
      <c r="Y44" s="129" t="n">
        <f aca="false">1/(1+CHOOSE(F$3,(X45+($K$3/10000))/2,(X44+($K$3/10000))/2))^(2*W44/365.25)</f>
        <v>0.0159092494162788</v>
      </c>
      <c r="Z44" s="5" t="n">
        <f aca="false">IF(AND(mthbeg&lt;=A44,mthend&gt;=A44),1,0)</f>
        <v>0</v>
      </c>
      <c r="AA44" s="5" t="n">
        <f aca="false">U44*Z44</f>
        <v>0</v>
      </c>
      <c r="AC44" s="115" t="n">
        <f aca="false">IF(G37=2,F44*(S44-Q44),F44*(Q44-S44))</f>
        <v>0</v>
      </c>
      <c r="AE44" s="116" t="n">
        <f aca="false">IF($G$3=1,F44*(R44-Q44),F44*(Q44-R44))</f>
        <v>0</v>
      </c>
      <c r="AG44" s="116" t="n">
        <f aca="false">AC44+AE44</f>
        <v>0</v>
      </c>
    </row>
    <row r="45" customFormat="false" ht="12.75" hidden="false" customHeight="false" outlineLevel="0" collapsed="false">
      <c r="A45" s="120" t="n">
        <f aca="false">EDATE(A44,1)</f>
        <v>38353</v>
      </c>
      <c r="B45" s="121" t="e">
        <f aca="false">VLOOKUP(A45,'Inputs-Summary'!$A$32:$E$41,4,FALSE())</f>
        <v>#N/A</v>
      </c>
      <c r="C45" s="122"/>
      <c r="D45" s="123" t="e">
        <f aca="false">B45+C45</f>
        <v>#N/A</v>
      </c>
      <c r="E45" s="111" t="n">
        <f aca="false">IF(Z45=0,0,IF(AND(Z45=1,$H$3=1),D45*U45,IF($H$3=2,D45,"N/A")))</f>
        <v>0</v>
      </c>
      <c r="F45" s="111" t="n">
        <f aca="false">E45*Y45</f>
        <v>0</v>
      </c>
      <c r="G45" s="124" t="n">
        <f aca="false">VLOOKUP($A45,Table,MATCH(G$4,Curves,0))</f>
        <v>3</v>
      </c>
      <c r="H45" s="125" t="n">
        <f aca="false">G45+$H$7</f>
        <v>3</v>
      </c>
      <c r="I45" s="124" t="n">
        <f aca="false">H45</f>
        <v>3</v>
      </c>
      <c r="J45" s="124" t="n">
        <f aca="false">VLOOKUP($A45,Table,MATCH(J$4,Curves,0))</f>
        <v>4</v>
      </c>
      <c r="K45" s="125" t="n">
        <f aca="false">J45+$K$7</f>
        <v>4</v>
      </c>
      <c r="L45" s="126" t="n">
        <f aca="false">K45</f>
        <v>4</v>
      </c>
      <c r="M45" s="124" t="n">
        <f aca="false">VLOOKUP($A45,Table,MATCH(M$4,Curves,0))</f>
        <v>4</v>
      </c>
      <c r="N45" s="125" t="n">
        <f aca="false">M45+$N$7</f>
        <v>4</v>
      </c>
      <c r="O45" s="126" t="n">
        <v>0.25</v>
      </c>
      <c r="P45" s="114"/>
      <c r="Q45" s="126" t="n">
        <f aca="false">M45+J45+G45</f>
        <v>11</v>
      </c>
      <c r="R45" s="126" t="n">
        <f aca="false">N45+K45+H45</f>
        <v>11</v>
      </c>
      <c r="S45" s="126" t="n">
        <f aca="false">O45+L45+I45</f>
        <v>7.25</v>
      </c>
      <c r="T45" s="127"/>
      <c r="U45" s="5" t="n">
        <f aca="false">A46-A45</f>
        <v>31</v>
      </c>
      <c r="V45" s="128" t="n">
        <f aca="false">CHOOSE(F$3,A46+24,A45)</f>
        <v>38353</v>
      </c>
      <c r="W45" s="5" t="n">
        <f aca="false">V45-C$3</f>
        <v>1122</v>
      </c>
      <c r="X45" s="124" t="n">
        <f aca="false">VLOOKUP($A45,Table,MATCH(X$4,Curves,0))</f>
        <v>2</v>
      </c>
      <c r="Y45" s="129" t="n">
        <f aca="false">1/(1+CHOOSE(F$3,(X46+($K$3/10000))/2,(X45+($K$3/10000))/2))^(2*W45/365.25)</f>
        <v>0.0141433024089247</v>
      </c>
      <c r="Z45" s="5" t="n">
        <f aca="false">IF(AND(mthbeg&lt;=A45,mthend&gt;=A45),1,0)</f>
        <v>0</v>
      </c>
      <c r="AA45" s="5" t="n">
        <f aca="false">U45*Z45</f>
        <v>0</v>
      </c>
      <c r="AC45" s="115" t="n">
        <f aca="false">IF(G38=2,F45*(S45-Q45),F45*(Q45-S45))</f>
        <v>0</v>
      </c>
      <c r="AE45" s="116" t="n">
        <f aca="false">IF($G$3=1,F45*(R45-Q45),F45*(Q45-R45))</f>
        <v>0</v>
      </c>
      <c r="AG45" s="116" t="n">
        <f aca="false">AC45+AE45</f>
        <v>0</v>
      </c>
    </row>
    <row r="46" customFormat="false" ht="12.75" hidden="false" customHeight="false" outlineLevel="0" collapsed="false">
      <c r="A46" s="120" t="n">
        <f aca="false">EDATE(A45,1)</f>
        <v>38384</v>
      </c>
      <c r="B46" s="121" t="e">
        <f aca="false">VLOOKUP(A46,'Inputs-Summary'!$A$32:$E$41,4,FALSE())</f>
        <v>#N/A</v>
      </c>
      <c r="C46" s="122"/>
      <c r="D46" s="123" t="e">
        <f aca="false">B46+C46</f>
        <v>#N/A</v>
      </c>
      <c r="E46" s="111" t="n">
        <f aca="false">IF(Z46=0,0,IF(AND(Z46=1,$H$3=1),D46*U46,IF($H$3=2,D46,"N/A")))</f>
        <v>0</v>
      </c>
      <c r="F46" s="111" t="n">
        <f aca="false">E46*Y46</f>
        <v>0</v>
      </c>
      <c r="G46" s="124" t="n">
        <f aca="false">VLOOKUP($A46,Table,MATCH(G$4,Curves,0))</f>
        <v>3</v>
      </c>
      <c r="H46" s="125" t="n">
        <f aca="false">G46+$H$7</f>
        <v>3</v>
      </c>
      <c r="I46" s="124" t="n">
        <f aca="false">H46</f>
        <v>3</v>
      </c>
      <c r="J46" s="124" t="n">
        <f aca="false">VLOOKUP($A46,Table,MATCH(J$4,Curves,0))</f>
        <v>4</v>
      </c>
      <c r="K46" s="125" t="n">
        <f aca="false">J46+$K$7</f>
        <v>4</v>
      </c>
      <c r="L46" s="126" t="n">
        <f aca="false">K46</f>
        <v>4</v>
      </c>
      <c r="M46" s="124" t="n">
        <f aca="false">VLOOKUP($A46,Table,MATCH(M$4,Curves,0))</f>
        <v>4</v>
      </c>
      <c r="N46" s="125" t="n">
        <f aca="false">M46+$N$7</f>
        <v>4</v>
      </c>
      <c r="O46" s="126" t="n">
        <v>0.25</v>
      </c>
      <c r="P46" s="114"/>
      <c r="Q46" s="126" t="n">
        <f aca="false">M46+J46+G46</f>
        <v>11</v>
      </c>
      <c r="R46" s="126" t="n">
        <f aca="false">N46+K46+H46</f>
        <v>11</v>
      </c>
      <c r="S46" s="126" t="n">
        <f aca="false">O46+L46+I46</f>
        <v>7.25</v>
      </c>
      <c r="T46" s="127"/>
      <c r="U46" s="5" t="n">
        <f aca="false">A47-A46</f>
        <v>28</v>
      </c>
      <c r="V46" s="128" t="n">
        <f aca="false">CHOOSE(F$3,A47+24,A46)</f>
        <v>38384</v>
      </c>
      <c r="W46" s="5" t="n">
        <f aca="false">V46-C$3</f>
        <v>1153</v>
      </c>
      <c r="X46" s="124" t="n">
        <f aca="false">VLOOKUP($A46,Table,MATCH(X$4,Curves,0))</f>
        <v>2</v>
      </c>
      <c r="Y46" s="129" t="n">
        <f aca="false">1/(1+CHOOSE(F$3,(X47+($K$3/10000))/2,(X46+($K$3/10000))/2))^(2*W46/365.25)</f>
        <v>0.0125733777751713</v>
      </c>
      <c r="Z46" s="5" t="n">
        <f aca="false">IF(AND(mthbeg&lt;=A46,mthend&gt;=A46),1,0)</f>
        <v>0</v>
      </c>
      <c r="AA46" s="5" t="n">
        <f aca="false">U46*Z46</f>
        <v>0</v>
      </c>
      <c r="AC46" s="115" t="n">
        <f aca="false">IF(G39=2,F46*(S46-Q46),F46*(Q46-S46))</f>
        <v>0</v>
      </c>
      <c r="AE46" s="116" t="n">
        <f aca="false">IF($G$3=1,F46*(R46-Q46),F46*(Q46-R46))</f>
        <v>0</v>
      </c>
      <c r="AG46" s="116" t="n">
        <f aca="false">AC46+AE46</f>
        <v>0</v>
      </c>
    </row>
    <row r="47" customFormat="false" ht="12.75" hidden="false" customHeight="false" outlineLevel="0" collapsed="false">
      <c r="A47" s="120" t="n">
        <f aca="false">EDATE(A46,1)</f>
        <v>38412</v>
      </c>
      <c r="B47" s="121" t="e">
        <f aca="false">VLOOKUP(A47,'Inputs-Summary'!$A$32:$E$41,4,FALSE())</f>
        <v>#N/A</v>
      </c>
      <c r="C47" s="122"/>
      <c r="D47" s="123" t="e">
        <f aca="false">B47+C47</f>
        <v>#N/A</v>
      </c>
      <c r="E47" s="111" t="n">
        <f aca="false">IF(Z47=0,0,IF(AND(Z47=1,$H$3=1),D47*U47,IF($H$3=2,D47,"N/A")))</f>
        <v>0</v>
      </c>
      <c r="F47" s="111" t="n">
        <f aca="false">E47*Y47</f>
        <v>0</v>
      </c>
      <c r="G47" s="124" t="n">
        <f aca="false">VLOOKUP($A47,Table,MATCH(G$4,Curves,0))</f>
        <v>3</v>
      </c>
      <c r="H47" s="125" t="n">
        <f aca="false">G47+$H$7</f>
        <v>3</v>
      </c>
      <c r="I47" s="124" t="n">
        <f aca="false">H47</f>
        <v>3</v>
      </c>
      <c r="J47" s="124" t="n">
        <f aca="false">VLOOKUP($A47,Table,MATCH(J$4,Curves,0))</f>
        <v>4</v>
      </c>
      <c r="K47" s="125" t="n">
        <f aca="false">J47+$K$7</f>
        <v>4</v>
      </c>
      <c r="L47" s="126" t="n">
        <f aca="false">K47</f>
        <v>4</v>
      </c>
      <c r="M47" s="124" t="n">
        <f aca="false">VLOOKUP($A47,Table,MATCH(M$4,Curves,0))</f>
        <v>4</v>
      </c>
      <c r="N47" s="125" t="n">
        <f aca="false">M47+$N$7</f>
        <v>4</v>
      </c>
      <c r="O47" s="126" t="n">
        <v>0.25</v>
      </c>
      <c r="P47" s="114"/>
      <c r="Q47" s="126" t="n">
        <f aca="false">M47+J47+G47</f>
        <v>11</v>
      </c>
      <c r="R47" s="126" t="n">
        <f aca="false">N47+K47+H47</f>
        <v>11</v>
      </c>
      <c r="S47" s="126" t="n">
        <f aca="false">O47+L47+I47</f>
        <v>7.25</v>
      </c>
      <c r="T47" s="127"/>
      <c r="U47" s="5" t="n">
        <f aca="false">A48-A47</f>
        <v>31</v>
      </c>
      <c r="V47" s="128" t="n">
        <f aca="false">CHOOSE(F$3,A48+24,A47)</f>
        <v>38412</v>
      </c>
      <c r="W47" s="5" t="n">
        <f aca="false">V47-C$3</f>
        <v>1181</v>
      </c>
      <c r="X47" s="124" t="n">
        <f aca="false">VLOOKUP($A47,Table,MATCH(X$4,Curves,0))</f>
        <v>2</v>
      </c>
      <c r="Y47" s="129" t="n">
        <f aca="false">1/(1+CHOOSE(F$3,(X48+($K$3/10000))/2,(X47+($K$3/10000))/2))^(2*W47/365.25)</f>
        <v>0.011305718104576</v>
      </c>
      <c r="Z47" s="5" t="n">
        <f aca="false">IF(AND(mthbeg&lt;=A47,mthend&gt;=A47),1,0)</f>
        <v>0</v>
      </c>
      <c r="AA47" s="5" t="n">
        <f aca="false">U47*Z47</f>
        <v>0</v>
      </c>
      <c r="AC47" s="115" t="n">
        <f aca="false">IF(G40=2,F47*(S47-Q47),F47*(Q47-S47))</f>
        <v>0</v>
      </c>
      <c r="AE47" s="116" t="n">
        <f aca="false">IF($G$3=1,F47*(R47-Q47),F47*(Q47-R47))</f>
        <v>0</v>
      </c>
      <c r="AG47" s="116" t="n">
        <f aca="false">AC47+AE47</f>
        <v>0</v>
      </c>
    </row>
    <row r="48" customFormat="false" ht="12.75" hidden="false" customHeight="false" outlineLevel="0" collapsed="false">
      <c r="A48" s="120" t="n">
        <f aca="false">EDATE(A47,1)</f>
        <v>38443</v>
      </c>
      <c r="B48" s="121" t="e">
        <f aca="false">VLOOKUP(A48,'Inputs-Summary'!$A$32:$E$41,4,FALSE())</f>
        <v>#N/A</v>
      </c>
      <c r="C48" s="122"/>
      <c r="D48" s="123" t="e">
        <f aca="false">B48+C48</f>
        <v>#N/A</v>
      </c>
      <c r="E48" s="111" t="n">
        <f aca="false">IF(Z48=0,0,IF(AND(Z48=1,$H$3=1),D48*U48,IF($H$3=2,D48,"N/A")))</f>
        <v>0</v>
      </c>
      <c r="F48" s="111" t="n">
        <f aca="false">E48*Y48</f>
        <v>0</v>
      </c>
      <c r="G48" s="124" t="n">
        <f aca="false">VLOOKUP($A48,Table,MATCH(G$4,Curves,0))</f>
        <v>3</v>
      </c>
      <c r="H48" s="125" t="n">
        <f aca="false">G48+$H$7</f>
        <v>3</v>
      </c>
      <c r="I48" s="124" t="n">
        <f aca="false">H48</f>
        <v>3</v>
      </c>
      <c r="J48" s="124" t="n">
        <f aca="false">VLOOKUP($A48,Table,MATCH(J$4,Curves,0))</f>
        <v>4</v>
      </c>
      <c r="K48" s="125" t="n">
        <f aca="false">J48+$K$7</f>
        <v>4</v>
      </c>
      <c r="L48" s="126" t="n">
        <f aca="false">K48</f>
        <v>4</v>
      </c>
      <c r="M48" s="124" t="n">
        <f aca="false">VLOOKUP($A48,Table,MATCH(M$4,Curves,0))</f>
        <v>4</v>
      </c>
      <c r="N48" s="125" t="n">
        <f aca="false">M48+$N$7</f>
        <v>4</v>
      </c>
      <c r="O48" s="126" t="n">
        <v>0.25</v>
      </c>
      <c r="P48" s="114"/>
      <c r="Q48" s="126" t="n">
        <f aca="false">M48+J48+G48</f>
        <v>11</v>
      </c>
      <c r="R48" s="126" t="n">
        <f aca="false">N48+K48+H48</f>
        <v>11</v>
      </c>
      <c r="S48" s="126" t="n">
        <f aca="false">O48+L48+I48</f>
        <v>7.25</v>
      </c>
      <c r="T48" s="127"/>
      <c r="U48" s="5" t="n">
        <f aca="false">A49-A48</f>
        <v>30</v>
      </c>
      <c r="V48" s="128" t="n">
        <f aca="false">CHOOSE(F$3,A49+24,A48)</f>
        <v>38443</v>
      </c>
      <c r="W48" s="5" t="n">
        <f aca="false">V48-C$3</f>
        <v>1212</v>
      </c>
      <c r="X48" s="124" t="n">
        <f aca="false">VLOOKUP($A48,Table,MATCH(X$4,Curves,0))</f>
        <v>2</v>
      </c>
      <c r="Y48" s="129" t="n">
        <f aca="false">1/(1+CHOOSE(F$3,(X49+($K$3/10000))/2,(X48+($K$3/10000))/2))^(2*W48/365.25)</f>
        <v>0.0100507689532769</v>
      </c>
      <c r="Z48" s="5" t="n">
        <f aca="false">IF(AND(mthbeg&lt;=A48,mthend&gt;=A48),1,0)</f>
        <v>0</v>
      </c>
      <c r="AA48" s="5" t="n">
        <f aca="false">U48*Z48</f>
        <v>0</v>
      </c>
      <c r="AC48" s="115" t="n">
        <f aca="false">IF(G41=2,F48*(S48-Q48),F48*(Q48-S48))</f>
        <v>0</v>
      </c>
      <c r="AE48" s="116" t="n">
        <f aca="false">IF($G$3=1,F48*(R48-Q48),F48*(Q48-R48))</f>
        <v>0</v>
      </c>
      <c r="AG48" s="116" t="n">
        <f aca="false">AC48+AE48</f>
        <v>0</v>
      </c>
    </row>
    <row r="49" customFormat="false" ht="12.75" hidden="false" customHeight="false" outlineLevel="0" collapsed="false">
      <c r="A49" s="120" t="n">
        <f aca="false">EDATE(A48,1)</f>
        <v>38473</v>
      </c>
      <c r="B49" s="121" t="e">
        <f aca="false">VLOOKUP(A49,'Inputs-Summary'!$A$32:$E$41,4,FALSE())</f>
        <v>#N/A</v>
      </c>
      <c r="C49" s="122"/>
      <c r="D49" s="123" t="e">
        <f aca="false">B49+C49</f>
        <v>#N/A</v>
      </c>
      <c r="E49" s="111" t="n">
        <f aca="false">IF(Z49=0,0,IF(AND(Z49=1,$H$3=1),D49*U49,IF($H$3=2,D49,"N/A")))</f>
        <v>0</v>
      </c>
      <c r="F49" s="111" t="n">
        <f aca="false">E49*Y49</f>
        <v>0</v>
      </c>
      <c r="G49" s="124" t="n">
        <f aca="false">VLOOKUP($A49,Table,MATCH(G$4,Curves,0))</f>
        <v>3</v>
      </c>
      <c r="H49" s="125" t="n">
        <f aca="false">G49+$H$7</f>
        <v>3</v>
      </c>
      <c r="I49" s="124" t="n">
        <f aca="false">H49</f>
        <v>3</v>
      </c>
      <c r="J49" s="124" t="n">
        <f aca="false">VLOOKUP($A49,Table,MATCH(J$4,Curves,0))</f>
        <v>4</v>
      </c>
      <c r="K49" s="125" t="n">
        <f aca="false">J49+$K$7</f>
        <v>4</v>
      </c>
      <c r="L49" s="126" t="n">
        <f aca="false">K49</f>
        <v>4</v>
      </c>
      <c r="M49" s="124" t="n">
        <f aca="false">VLOOKUP($A49,Table,MATCH(M$4,Curves,0))</f>
        <v>4</v>
      </c>
      <c r="N49" s="125" t="n">
        <f aca="false">M49+$N$7</f>
        <v>4</v>
      </c>
      <c r="O49" s="126" t="n">
        <v>0.25</v>
      </c>
      <c r="P49" s="114"/>
      <c r="Q49" s="126" t="n">
        <f aca="false">M49+J49+G49</f>
        <v>11</v>
      </c>
      <c r="R49" s="126" t="n">
        <f aca="false">N49+K49+H49</f>
        <v>11</v>
      </c>
      <c r="S49" s="126" t="n">
        <f aca="false">O49+L49+I49</f>
        <v>7.25</v>
      </c>
      <c r="T49" s="127"/>
      <c r="U49" s="5" t="n">
        <f aca="false">A50-A49</f>
        <v>31</v>
      </c>
      <c r="V49" s="128" t="n">
        <f aca="false">CHOOSE(F$3,A50+24,A49)</f>
        <v>38473</v>
      </c>
      <c r="W49" s="5" t="n">
        <f aca="false">V49-C$3</f>
        <v>1242</v>
      </c>
      <c r="X49" s="124" t="n">
        <f aca="false">VLOOKUP($A49,Table,MATCH(X$4,Curves,0))</f>
        <v>2</v>
      </c>
      <c r="Y49" s="129" t="n">
        <f aca="false">1/(1+CHOOSE(F$3,(X50+($K$3/10000))/2,(X49+($K$3/10000))/2))^(2*W49/365.25)</f>
        <v>0.00896909815702623</v>
      </c>
      <c r="Z49" s="5" t="n">
        <f aca="false">IF(AND(mthbeg&lt;=A49,mthend&gt;=A49),1,0)</f>
        <v>0</v>
      </c>
      <c r="AA49" s="5" t="n">
        <f aca="false">U49*Z49</f>
        <v>0</v>
      </c>
      <c r="AC49" s="115" t="n">
        <f aca="false">IF(G42=2,F49*(S49-Q49),F49*(Q49-S49))</f>
        <v>0</v>
      </c>
      <c r="AE49" s="116" t="n">
        <f aca="false">IF($G$3=1,F49*(R49-Q49),F49*(Q49-R49))</f>
        <v>0</v>
      </c>
      <c r="AG49" s="116" t="n">
        <f aca="false">AC49+AE49</f>
        <v>0</v>
      </c>
    </row>
    <row r="50" customFormat="false" ht="12.75" hidden="false" customHeight="false" outlineLevel="0" collapsed="false">
      <c r="A50" s="120" t="n">
        <f aca="false">EDATE(A49,1)</f>
        <v>38504</v>
      </c>
      <c r="B50" s="121" t="e">
        <f aca="false">VLOOKUP(A50,'Inputs-Summary'!$A$32:$E$41,4,FALSE())</f>
        <v>#N/A</v>
      </c>
      <c r="C50" s="122"/>
      <c r="D50" s="123" t="e">
        <f aca="false">B50+C50</f>
        <v>#N/A</v>
      </c>
      <c r="E50" s="111" t="n">
        <f aca="false">IF(Z50=0,0,IF(AND(Z50=1,$H$3=1),D50*U50,IF($H$3=2,D50,"N/A")))</f>
        <v>0</v>
      </c>
      <c r="F50" s="111" t="n">
        <f aca="false">E50*Y50</f>
        <v>0</v>
      </c>
      <c r="G50" s="124" t="n">
        <f aca="false">VLOOKUP($A50,Table,MATCH(G$4,Curves,0))</f>
        <v>3</v>
      </c>
      <c r="H50" s="125" t="n">
        <f aca="false">G50+$H$7</f>
        <v>3</v>
      </c>
      <c r="I50" s="124" t="n">
        <f aca="false">H50</f>
        <v>3</v>
      </c>
      <c r="J50" s="124" t="n">
        <f aca="false">VLOOKUP($A50,Table,MATCH(J$4,Curves,0))</f>
        <v>4</v>
      </c>
      <c r="K50" s="125" t="n">
        <f aca="false">J50+$K$7</f>
        <v>4</v>
      </c>
      <c r="L50" s="126" t="n">
        <f aca="false">K50</f>
        <v>4</v>
      </c>
      <c r="M50" s="124" t="n">
        <f aca="false">VLOOKUP($A50,Table,MATCH(M$4,Curves,0))</f>
        <v>4</v>
      </c>
      <c r="N50" s="125" t="n">
        <f aca="false">M50+$N$7</f>
        <v>4</v>
      </c>
      <c r="O50" s="126" t="n">
        <v>0.25</v>
      </c>
      <c r="P50" s="114"/>
      <c r="Q50" s="126" t="n">
        <f aca="false">M50+J50+G50</f>
        <v>11</v>
      </c>
      <c r="R50" s="126" t="n">
        <f aca="false">N50+K50+H50</f>
        <v>11</v>
      </c>
      <c r="S50" s="126" t="n">
        <f aca="false">O50+L50+I50</f>
        <v>7.25</v>
      </c>
      <c r="T50" s="127"/>
      <c r="U50" s="5" t="n">
        <f aca="false">A51-A50</f>
        <v>30</v>
      </c>
      <c r="V50" s="128" t="n">
        <f aca="false">CHOOSE(F$3,A51+24,A50)</f>
        <v>38504</v>
      </c>
      <c r="W50" s="5" t="n">
        <f aca="false">V50-C$3</f>
        <v>1273</v>
      </c>
      <c r="X50" s="124" t="n">
        <f aca="false">VLOOKUP($A50,Table,MATCH(X$4,Curves,0))</f>
        <v>2</v>
      </c>
      <c r="Y50" s="129" t="n">
        <f aca="false">1/(1+CHOOSE(F$3,(X51+($K$3/10000))/2,(X50+($K$3/10000))/2))^(2*W50/365.25)</f>
        <v>0.0079735168046553</v>
      </c>
      <c r="Z50" s="5" t="n">
        <f aca="false">IF(AND(mthbeg&lt;=A50,mthend&gt;=A50),1,0)</f>
        <v>0</v>
      </c>
      <c r="AA50" s="5" t="n">
        <f aca="false">U50*Z50</f>
        <v>0</v>
      </c>
      <c r="AC50" s="115" t="n">
        <f aca="false">IF(G43=2,F50*(S50-Q50),F50*(Q50-S50))</f>
        <v>0</v>
      </c>
      <c r="AE50" s="116" t="n">
        <f aca="false">IF($G$3=1,F50*(R50-Q50),F50*(Q50-R50))</f>
        <v>0</v>
      </c>
      <c r="AG50" s="116" t="n">
        <f aca="false">AC50+AE50</f>
        <v>0</v>
      </c>
    </row>
    <row r="51" customFormat="false" ht="12.75" hidden="false" customHeight="false" outlineLevel="0" collapsed="false">
      <c r="A51" s="120" t="n">
        <f aca="false">EDATE(A50,1)</f>
        <v>38534</v>
      </c>
      <c r="B51" s="121" t="e">
        <f aca="false">VLOOKUP(A51,'Inputs-Summary'!$A$32:$E$41,4,FALSE())</f>
        <v>#N/A</v>
      </c>
      <c r="C51" s="122"/>
      <c r="D51" s="123" t="e">
        <f aca="false">B51+C51</f>
        <v>#N/A</v>
      </c>
      <c r="E51" s="111" t="n">
        <f aca="false">IF(Z51=0,0,IF(AND(Z51=1,$H$3=1),D51*U51,IF($H$3=2,D51,"N/A")))</f>
        <v>0</v>
      </c>
      <c r="F51" s="111" t="n">
        <f aca="false">E51*Y51</f>
        <v>0</v>
      </c>
      <c r="G51" s="124" t="n">
        <f aca="false">VLOOKUP($A51,Table,MATCH(G$4,Curves,0))</f>
        <v>3</v>
      </c>
      <c r="H51" s="125" t="n">
        <f aca="false">G51+$H$7</f>
        <v>3</v>
      </c>
      <c r="I51" s="124" t="n">
        <f aca="false">H51</f>
        <v>3</v>
      </c>
      <c r="J51" s="124" t="n">
        <f aca="false">VLOOKUP($A51,Table,MATCH(J$4,Curves,0))</f>
        <v>4</v>
      </c>
      <c r="K51" s="125" t="n">
        <f aca="false">J51+$K$7</f>
        <v>4</v>
      </c>
      <c r="L51" s="126" t="n">
        <f aca="false">K51</f>
        <v>4</v>
      </c>
      <c r="M51" s="124" t="n">
        <f aca="false">VLOOKUP($A51,Table,MATCH(M$4,Curves,0))</f>
        <v>4</v>
      </c>
      <c r="N51" s="125" t="n">
        <f aca="false">M51+$N$7</f>
        <v>4</v>
      </c>
      <c r="O51" s="126" t="n">
        <v>0.25</v>
      </c>
      <c r="P51" s="114"/>
      <c r="Q51" s="126" t="n">
        <f aca="false">M51+J51+G51</f>
        <v>11</v>
      </c>
      <c r="R51" s="126" t="n">
        <f aca="false">N51+K51+H51</f>
        <v>11</v>
      </c>
      <c r="S51" s="126" t="n">
        <f aca="false">O51+L51+I51</f>
        <v>7.25</v>
      </c>
      <c r="T51" s="127"/>
      <c r="U51" s="5" t="n">
        <f aca="false">A52-A51</f>
        <v>31</v>
      </c>
      <c r="V51" s="128" t="n">
        <f aca="false">CHOOSE(F$3,A52+24,A51)</f>
        <v>38534</v>
      </c>
      <c r="W51" s="5" t="n">
        <f aca="false">V51-C$3</f>
        <v>1303</v>
      </c>
      <c r="X51" s="124" t="n">
        <f aca="false">VLOOKUP($A51,Table,MATCH(X$4,Curves,0))</f>
        <v>2</v>
      </c>
      <c r="Y51" s="129" t="n">
        <f aca="false">1/(1+CHOOSE(F$3,(X52+($K$3/10000))/2,(X51+($K$3/10000))/2))^(2*W51/365.25)</f>
        <v>0.00711540133994771</v>
      </c>
      <c r="Z51" s="5" t="n">
        <f aca="false">IF(AND(mthbeg&lt;=A51,mthend&gt;=A51),1,0)</f>
        <v>0</v>
      </c>
      <c r="AA51" s="5" t="n">
        <f aca="false">U51*Z51</f>
        <v>0</v>
      </c>
      <c r="AC51" s="115" t="n">
        <f aca="false">IF(G44=2,F51*(S51-Q51),F51*(Q51-S51))</f>
        <v>0</v>
      </c>
      <c r="AE51" s="116" t="n">
        <f aca="false">IF($G$3=1,F51*(R51-Q51),F51*(Q51-R51))</f>
        <v>0</v>
      </c>
      <c r="AG51" s="116" t="n">
        <f aca="false">AC51+AE51</f>
        <v>0</v>
      </c>
    </row>
    <row r="52" customFormat="false" ht="12.75" hidden="false" customHeight="false" outlineLevel="0" collapsed="false">
      <c r="A52" s="120" t="n">
        <f aca="false">EDATE(A51,1)</f>
        <v>38565</v>
      </c>
      <c r="B52" s="121" t="e">
        <f aca="false">VLOOKUP(A52,'Inputs-Summary'!$A$32:$E$41,4,FALSE())</f>
        <v>#N/A</v>
      </c>
      <c r="C52" s="122"/>
      <c r="D52" s="123" t="e">
        <f aca="false">B52+C52</f>
        <v>#N/A</v>
      </c>
      <c r="E52" s="111" t="n">
        <f aca="false">IF(Z52=0,0,IF(AND(Z52=1,$H$3=1),D52*U52,IF($H$3=2,D52,"N/A")))</f>
        <v>0</v>
      </c>
      <c r="F52" s="111" t="n">
        <f aca="false">E52*Y52</f>
        <v>0</v>
      </c>
      <c r="G52" s="124" t="n">
        <f aca="false">VLOOKUP($A52,Table,MATCH(G$4,Curves,0))</f>
        <v>3</v>
      </c>
      <c r="H52" s="125" t="n">
        <f aca="false">G52+$H$7</f>
        <v>3</v>
      </c>
      <c r="I52" s="124" t="n">
        <f aca="false">H52</f>
        <v>3</v>
      </c>
      <c r="J52" s="124" t="n">
        <f aca="false">VLOOKUP($A52,Table,MATCH(J$4,Curves,0))</f>
        <v>4</v>
      </c>
      <c r="K52" s="125" t="n">
        <f aca="false">J52+$K$7</f>
        <v>4</v>
      </c>
      <c r="L52" s="126" t="n">
        <f aca="false">K52</f>
        <v>4</v>
      </c>
      <c r="M52" s="124" t="n">
        <f aca="false">VLOOKUP($A52,Table,MATCH(M$4,Curves,0))</f>
        <v>4</v>
      </c>
      <c r="N52" s="125" t="n">
        <f aca="false">M52+$N$7</f>
        <v>4</v>
      </c>
      <c r="O52" s="126" t="n">
        <v>0.25</v>
      </c>
      <c r="P52" s="114"/>
      <c r="Q52" s="126" t="n">
        <f aca="false">M52+J52+G52</f>
        <v>11</v>
      </c>
      <c r="R52" s="126" t="n">
        <f aca="false">N52+K52+H52</f>
        <v>11</v>
      </c>
      <c r="S52" s="126" t="n">
        <f aca="false">O52+L52+I52</f>
        <v>7.25</v>
      </c>
      <c r="T52" s="127"/>
      <c r="U52" s="5" t="n">
        <f aca="false">A53-A52</f>
        <v>31</v>
      </c>
      <c r="V52" s="128" t="n">
        <f aca="false">CHOOSE(F$3,A53+24,A52)</f>
        <v>38565</v>
      </c>
      <c r="W52" s="5" t="n">
        <f aca="false">V52-C$3</f>
        <v>1334</v>
      </c>
      <c r="X52" s="124" t="n">
        <f aca="false">VLOOKUP($A52,Table,MATCH(X$4,Curves,0))</f>
        <v>2</v>
      </c>
      <c r="Y52" s="129" t="n">
        <f aca="false">1/(1+CHOOSE(F$3,(X53+($K$3/10000))/2,(X52+($K$3/10000))/2))^(2*W52/365.25)</f>
        <v>0.00632558270214659</v>
      </c>
      <c r="Z52" s="5" t="n">
        <f aca="false">IF(AND(mthbeg&lt;=A52,mthend&gt;=A52),1,0)</f>
        <v>0</v>
      </c>
      <c r="AA52" s="5" t="n">
        <f aca="false">U52*Z52</f>
        <v>0</v>
      </c>
      <c r="AC52" s="115" t="n">
        <f aca="false">IF(G45=2,F52*(S52-Q52),F52*(Q52-S52))</f>
        <v>0</v>
      </c>
      <c r="AE52" s="116" t="n">
        <f aca="false">IF($G$3=1,F52*(R52-Q52),F52*(Q52-R52))</f>
        <v>0</v>
      </c>
      <c r="AG52" s="116" t="n">
        <f aca="false">AC52+AE52</f>
        <v>0</v>
      </c>
    </row>
    <row r="53" customFormat="false" ht="12.75" hidden="false" customHeight="false" outlineLevel="0" collapsed="false">
      <c r="A53" s="120" t="n">
        <f aca="false">EDATE(A52,1)</f>
        <v>38596</v>
      </c>
      <c r="B53" s="121" t="e">
        <f aca="false">VLOOKUP(A53,'Inputs-Summary'!$A$32:$E$41,4,FALSE())</f>
        <v>#N/A</v>
      </c>
      <c r="C53" s="122"/>
      <c r="D53" s="123" t="e">
        <f aca="false">B53+C53</f>
        <v>#N/A</v>
      </c>
      <c r="E53" s="111" t="n">
        <f aca="false">IF(Z53=0,0,IF(AND(Z53=1,$H$3=1),D53*U53,IF($H$3=2,D53,"N/A")))</f>
        <v>0</v>
      </c>
      <c r="F53" s="111" t="n">
        <f aca="false">E53*Y53</f>
        <v>0</v>
      </c>
      <c r="G53" s="124" t="n">
        <f aca="false">VLOOKUP($A53,Table,MATCH(G$4,Curves,0))</f>
        <v>3</v>
      </c>
      <c r="H53" s="125" t="n">
        <f aca="false">G53+$H$7</f>
        <v>3</v>
      </c>
      <c r="I53" s="124" t="n">
        <f aca="false">H53</f>
        <v>3</v>
      </c>
      <c r="J53" s="124" t="n">
        <f aca="false">VLOOKUP($A53,Table,MATCH(J$4,Curves,0))</f>
        <v>4</v>
      </c>
      <c r="K53" s="125" t="n">
        <f aca="false">J53+$K$7</f>
        <v>4</v>
      </c>
      <c r="L53" s="126" t="n">
        <f aca="false">K53</f>
        <v>4</v>
      </c>
      <c r="M53" s="124" t="n">
        <f aca="false">VLOOKUP($A53,Table,MATCH(M$4,Curves,0))</f>
        <v>4</v>
      </c>
      <c r="N53" s="125" t="n">
        <f aca="false">M53+$N$7</f>
        <v>4</v>
      </c>
      <c r="O53" s="126" t="n">
        <v>0.25</v>
      </c>
      <c r="P53" s="114"/>
      <c r="Q53" s="126" t="n">
        <f aca="false">M53+J53+G53</f>
        <v>11</v>
      </c>
      <c r="R53" s="126" t="n">
        <f aca="false">N53+K53+H53</f>
        <v>11</v>
      </c>
      <c r="S53" s="126" t="n">
        <f aca="false">O53+L53+I53</f>
        <v>7.25</v>
      </c>
      <c r="T53" s="127"/>
      <c r="U53" s="5" t="n">
        <f aca="false">A54-A53</f>
        <v>30</v>
      </c>
      <c r="V53" s="128" t="n">
        <f aca="false">CHOOSE(F$3,A54+24,A53)</f>
        <v>38596</v>
      </c>
      <c r="W53" s="5" t="n">
        <f aca="false">V53-C$3</f>
        <v>1365</v>
      </c>
      <c r="X53" s="124" t="n">
        <f aca="false">VLOOKUP($A53,Table,MATCH(X$4,Curves,0))</f>
        <v>2</v>
      </c>
      <c r="Y53" s="129" t="n">
        <f aca="false">1/(1+CHOOSE(F$3,(X54+($K$3/10000))/2,(X53+($K$3/10000))/2))^(2*W53/365.25)</f>
        <v>0.00562343494203942</v>
      </c>
      <c r="Z53" s="5" t="n">
        <f aca="false">IF(AND(mthbeg&lt;=A53,mthend&gt;=A53),1,0)</f>
        <v>0</v>
      </c>
      <c r="AA53" s="5" t="n">
        <f aca="false">U53*Z53</f>
        <v>0</v>
      </c>
      <c r="AC53" s="115" t="n">
        <f aca="false">IF(G46=2,F53*(S53-Q53),F53*(Q53-S53))</f>
        <v>0</v>
      </c>
      <c r="AE53" s="116" t="n">
        <f aca="false">IF($G$3=1,F53*(R53-Q53),F53*(Q53-R53))</f>
        <v>0</v>
      </c>
      <c r="AG53" s="116" t="n">
        <f aca="false">AC53+AE53</f>
        <v>0</v>
      </c>
    </row>
    <row r="54" customFormat="false" ht="12.75" hidden="false" customHeight="false" outlineLevel="0" collapsed="false">
      <c r="A54" s="120" t="n">
        <f aca="false">EDATE(A53,1)</f>
        <v>38626</v>
      </c>
      <c r="B54" s="121" t="e">
        <f aca="false">VLOOKUP(A54,'Inputs-Summary'!$A$32:$E$41,4,FALSE())</f>
        <v>#N/A</v>
      </c>
      <c r="C54" s="122"/>
      <c r="D54" s="123" t="e">
        <f aca="false">B54+C54</f>
        <v>#N/A</v>
      </c>
      <c r="E54" s="111" t="n">
        <f aca="false">IF(Z54=0,0,IF(AND(Z54=1,$H$3=1),D54*U54,IF($H$3=2,D54,"N/A")))</f>
        <v>0</v>
      </c>
      <c r="F54" s="111" t="n">
        <f aca="false">E54*Y54</f>
        <v>0</v>
      </c>
      <c r="G54" s="124" t="n">
        <f aca="false">VLOOKUP($A54,Table,MATCH(G$4,Curves,0))</f>
        <v>3</v>
      </c>
      <c r="H54" s="125" t="n">
        <f aca="false">G54+$H$7</f>
        <v>3</v>
      </c>
      <c r="I54" s="124" t="n">
        <f aca="false">H54</f>
        <v>3</v>
      </c>
      <c r="J54" s="124" t="n">
        <f aca="false">VLOOKUP($A54,Table,MATCH(J$4,Curves,0))</f>
        <v>4</v>
      </c>
      <c r="K54" s="125" t="n">
        <f aca="false">J54+$K$7</f>
        <v>4</v>
      </c>
      <c r="L54" s="126" t="n">
        <f aca="false">K54</f>
        <v>4</v>
      </c>
      <c r="M54" s="124" t="n">
        <f aca="false">VLOOKUP($A54,Table,MATCH(M$4,Curves,0))</f>
        <v>4</v>
      </c>
      <c r="N54" s="125" t="n">
        <f aca="false">M54+$N$7</f>
        <v>4</v>
      </c>
      <c r="O54" s="126" t="n">
        <v>0.25</v>
      </c>
      <c r="P54" s="114"/>
      <c r="Q54" s="126" t="n">
        <f aca="false">M54+J54+G54</f>
        <v>11</v>
      </c>
      <c r="R54" s="126" t="n">
        <f aca="false">N54+K54+H54</f>
        <v>11</v>
      </c>
      <c r="S54" s="126" t="n">
        <f aca="false">O54+L54+I54</f>
        <v>7.25</v>
      </c>
      <c r="T54" s="127"/>
      <c r="U54" s="5" t="n">
        <f aca="false">A55-A54</f>
        <v>31</v>
      </c>
      <c r="V54" s="128" t="n">
        <f aca="false">CHOOSE(F$3,A55+24,A54)</f>
        <v>38626</v>
      </c>
      <c r="W54" s="5" t="n">
        <f aca="false">V54-C$3</f>
        <v>1395</v>
      </c>
      <c r="X54" s="124" t="n">
        <f aca="false">VLOOKUP($A54,Table,MATCH(X$4,Curves,0))</f>
        <v>2</v>
      </c>
      <c r="Y54" s="129" t="n">
        <f aca="false">1/(1+CHOOSE(F$3,(X55+($K$3/10000))/2,(X54+($K$3/10000))/2))^(2*W54/365.25)</f>
        <v>0.00501823693383761</v>
      </c>
      <c r="Z54" s="5" t="n">
        <f aca="false">IF(AND(mthbeg&lt;=A54,mthend&gt;=A54),1,0)</f>
        <v>0</v>
      </c>
      <c r="AA54" s="5" t="n">
        <f aca="false">U54*Z54</f>
        <v>0</v>
      </c>
      <c r="AC54" s="115" t="n">
        <f aca="false">IF(G47=2,F54*(S54-Q54),F54*(Q54-S54))</f>
        <v>0</v>
      </c>
      <c r="AE54" s="116" t="n">
        <f aca="false">IF($G$3=1,F54*(R54-Q54),F54*(Q54-R54))</f>
        <v>0</v>
      </c>
      <c r="AG54" s="116" t="n">
        <f aca="false">AC54+AE54</f>
        <v>0</v>
      </c>
    </row>
    <row r="55" customFormat="false" ht="12.75" hidden="false" customHeight="false" outlineLevel="0" collapsed="false">
      <c r="A55" s="120" t="n">
        <f aca="false">EDATE(A54,1)</f>
        <v>38657</v>
      </c>
      <c r="B55" s="121" t="e">
        <f aca="false">VLOOKUP(A55,'Inputs-Summary'!$A$32:$E$41,4,FALSE())</f>
        <v>#N/A</v>
      </c>
      <c r="C55" s="122"/>
      <c r="D55" s="123" t="e">
        <f aca="false">B55+C55</f>
        <v>#N/A</v>
      </c>
      <c r="E55" s="111" t="n">
        <f aca="false">IF(Z55=0,0,IF(AND(Z55=1,$H$3=1),D55*U55,IF($H$3=2,D55,"N/A")))</f>
        <v>0</v>
      </c>
      <c r="F55" s="111" t="n">
        <f aca="false">E55*Y55</f>
        <v>0</v>
      </c>
      <c r="G55" s="124" t="n">
        <f aca="false">VLOOKUP($A55,Table,MATCH(G$4,Curves,0))</f>
        <v>3</v>
      </c>
      <c r="H55" s="125" t="n">
        <f aca="false">G55+$H$7</f>
        <v>3</v>
      </c>
      <c r="I55" s="124" t="n">
        <f aca="false">H55</f>
        <v>3</v>
      </c>
      <c r="J55" s="124" t="n">
        <f aca="false">VLOOKUP($A55,Table,MATCH(J$4,Curves,0))</f>
        <v>4</v>
      </c>
      <c r="K55" s="125" t="n">
        <f aca="false">J55+$K$7</f>
        <v>4</v>
      </c>
      <c r="L55" s="126" t="n">
        <f aca="false">K55</f>
        <v>4</v>
      </c>
      <c r="M55" s="124" t="n">
        <f aca="false">VLOOKUP($A55,Table,MATCH(M$4,Curves,0))</f>
        <v>4</v>
      </c>
      <c r="N55" s="125" t="n">
        <f aca="false">M55+$N$7</f>
        <v>4</v>
      </c>
      <c r="O55" s="126" t="n">
        <v>0.25</v>
      </c>
      <c r="P55" s="114"/>
      <c r="Q55" s="126" t="n">
        <f aca="false">M55+J55+G55</f>
        <v>11</v>
      </c>
      <c r="R55" s="126" t="n">
        <f aca="false">N55+K55+H55</f>
        <v>11</v>
      </c>
      <c r="S55" s="126" t="n">
        <f aca="false">O55+L55+I55</f>
        <v>7.25</v>
      </c>
      <c r="T55" s="127"/>
      <c r="U55" s="5" t="n">
        <f aca="false">A56-A55</f>
        <v>30</v>
      </c>
      <c r="V55" s="128" t="n">
        <f aca="false">CHOOSE(F$3,A56+24,A55)</f>
        <v>38657</v>
      </c>
      <c r="W55" s="5" t="n">
        <f aca="false">V55-C$3</f>
        <v>1426</v>
      </c>
      <c r="X55" s="124" t="n">
        <f aca="false">VLOOKUP($A55,Table,MATCH(X$4,Curves,0))</f>
        <v>2</v>
      </c>
      <c r="Y55" s="129" t="n">
        <f aca="false">1/(1+CHOOSE(F$3,(X56+($K$3/10000))/2,(X55+($K$3/10000))/2))^(2*W55/365.25)</f>
        <v>0.00446120622398926</v>
      </c>
      <c r="Z55" s="5" t="n">
        <f aca="false">IF(AND(mthbeg&lt;=A55,mthend&gt;=A55),1,0)</f>
        <v>0</v>
      </c>
      <c r="AA55" s="5" t="n">
        <f aca="false">U55*Z55</f>
        <v>0</v>
      </c>
      <c r="AC55" s="115" t="n">
        <f aca="false">IF(G48=2,F55*(S55-Q55),F55*(Q55-S55))</f>
        <v>0</v>
      </c>
      <c r="AE55" s="116" t="n">
        <f aca="false">IF($G$3=1,F55*(R55-Q55),F55*(Q55-R55))</f>
        <v>0</v>
      </c>
      <c r="AG55" s="116" t="n">
        <f aca="false">AC55+AE55</f>
        <v>0</v>
      </c>
    </row>
    <row r="56" customFormat="false" ht="12.75" hidden="false" customHeight="false" outlineLevel="0" collapsed="false">
      <c r="A56" s="120" t="n">
        <f aca="false">EDATE(A55,1)</f>
        <v>38687</v>
      </c>
      <c r="B56" s="121" t="e">
        <f aca="false">VLOOKUP(A56,'Inputs-Summary'!$A$32:$E$41,4,FALSE())</f>
        <v>#N/A</v>
      </c>
      <c r="C56" s="122"/>
      <c r="D56" s="123" t="e">
        <f aca="false">B56+C56</f>
        <v>#N/A</v>
      </c>
      <c r="E56" s="111" t="n">
        <f aca="false">IF(Z56=0,0,IF(AND(Z56=1,$H$3=1),D56*U56,IF($H$3=2,D56,"N/A")))</f>
        <v>0</v>
      </c>
      <c r="F56" s="111" t="n">
        <f aca="false">E56*Y56</f>
        <v>0</v>
      </c>
      <c r="G56" s="124" t="n">
        <f aca="false">VLOOKUP($A56,Table,MATCH(G$4,Curves,0))</f>
        <v>3</v>
      </c>
      <c r="H56" s="125" t="n">
        <f aca="false">G56+$H$7</f>
        <v>3</v>
      </c>
      <c r="I56" s="124" t="n">
        <f aca="false">H56</f>
        <v>3</v>
      </c>
      <c r="J56" s="124" t="n">
        <f aca="false">VLOOKUP($A56,Table,MATCH(J$4,Curves,0))</f>
        <v>4</v>
      </c>
      <c r="K56" s="125" t="n">
        <f aca="false">J56+$K$7</f>
        <v>4</v>
      </c>
      <c r="L56" s="126" t="n">
        <f aca="false">K56</f>
        <v>4</v>
      </c>
      <c r="M56" s="124" t="n">
        <f aca="false">VLOOKUP($A56,Table,MATCH(M$4,Curves,0))</f>
        <v>4</v>
      </c>
      <c r="N56" s="125" t="n">
        <f aca="false">M56+$N$7</f>
        <v>4</v>
      </c>
      <c r="O56" s="126" t="n">
        <v>0.25</v>
      </c>
      <c r="P56" s="114"/>
      <c r="Q56" s="126" t="n">
        <f aca="false">M56+J56+G56</f>
        <v>11</v>
      </c>
      <c r="R56" s="126" t="n">
        <f aca="false">N56+K56+H56</f>
        <v>11</v>
      </c>
      <c r="S56" s="126" t="n">
        <f aca="false">O56+L56+I56</f>
        <v>7.25</v>
      </c>
      <c r="T56" s="127"/>
      <c r="U56" s="5" t="n">
        <f aca="false">A57-A56</f>
        <v>31</v>
      </c>
      <c r="V56" s="128" t="n">
        <f aca="false">CHOOSE(F$3,A57+24,A56)</f>
        <v>38687</v>
      </c>
      <c r="W56" s="5" t="n">
        <f aca="false">V56-C$3</f>
        <v>1456</v>
      </c>
      <c r="X56" s="124" t="n">
        <f aca="false">VLOOKUP($A56,Table,MATCH(X$4,Curves,0))</f>
        <v>2</v>
      </c>
      <c r="Y56" s="129" t="n">
        <f aca="false">1/(1+CHOOSE(F$3,(X57+($K$3/10000))/2,(X56+($K$3/10000))/2))^(2*W56/365.25)</f>
        <v>0.00398108808467339</v>
      </c>
      <c r="Z56" s="5" t="n">
        <f aca="false">IF(AND(mthbeg&lt;=A56,mthend&gt;=A56),1,0)</f>
        <v>0</v>
      </c>
      <c r="AA56" s="5" t="n">
        <f aca="false">U56*Z56</f>
        <v>0</v>
      </c>
      <c r="AC56" s="115" t="n">
        <f aca="false">IF(G49=2,F56*(S56-Q56),F56*(Q56-S56))</f>
        <v>0</v>
      </c>
      <c r="AE56" s="116" t="n">
        <f aca="false">IF($G$3=1,F56*(R56-Q56),F56*(Q56-R56))</f>
        <v>0</v>
      </c>
      <c r="AG56" s="116" t="n">
        <f aca="false">AC56+AE56</f>
        <v>0</v>
      </c>
    </row>
    <row r="57" customFormat="false" ht="12.75" hidden="false" customHeight="false" outlineLevel="0" collapsed="false">
      <c r="A57" s="120" t="n">
        <f aca="false">EDATE(A56,1)</f>
        <v>38718</v>
      </c>
      <c r="B57" s="121" t="e">
        <f aca="false">VLOOKUP(A57,'Inputs-Summary'!$A$32:$E$41,4,FALSE())</f>
        <v>#N/A</v>
      </c>
      <c r="C57" s="122"/>
      <c r="D57" s="123" t="e">
        <f aca="false">B57+C57</f>
        <v>#N/A</v>
      </c>
      <c r="E57" s="111" t="n">
        <f aca="false">IF(Z57=0,0,IF(AND(Z57=1,$H$3=1),D57*U57,IF($H$3=2,D57,"N/A")))</f>
        <v>0</v>
      </c>
      <c r="F57" s="111" t="n">
        <f aca="false">E57*Y57</f>
        <v>0</v>
      </c>
      <c r="G57" s="124" t="n">
        <f aca="false">VLOOKUP($A57,Table,MATCH(G$4,Curves,0))</f>
        <v>3</v>
      </c>
      <c r="H57" s="125" t="n">
        <f aca="false">G57+$H$7</f>
        <v>3</v>
      </c>
      <c r="I57" s="124" t="n">
        <f aca="false">H57</f>
        <v>3</v>
      </c>
      <c r="J57" s="124" t="n">
        <f aca="false">VLOOKUP($A57,Table,MATCH(J$4,Curves,0))</f>
        <v>4</v>
      </c>
      <c r="K57" s="125" t="n">
        <f aca="false">J57+$K$7</f>
        <v>4</v>
      </c>
      <c r="L57" s="126" t="n">
        <f aca="false">K57</f>
        <v>4</v>
      </c>
      <c r="M57" s="124" t="n">
        <f aca="false">VLOOKUP($A57,Table,MATCH(M$4,Curves,0))</f>
        <v>4</v>
      </c>
      <c r="N57" s="125" t="n">
        <f aca="false">M57+$N$7</f>
        <v>4</v>
      </c>
      <c r="O57" s="126" t="n">
        <v>0.25</v>
      </c>
      <c r="P57" s="114"/>
      <c r="Q57" s="126" t="n">
        <f aca="false">M57+J57+G57</f>
        <v>11</v>
      </c>
      <c r="R57" s="126" t="n">
        <f aca="false">N57+K57+H57</f>
        <v>11</v>
      </c>
      <c r="S57" s="126" t="n">
        <f aca="false">O57+L57+I57</f>
        <v>7.25</v>
      </c>
      <c r="T57" s="127"/>
      <c r="U57" s="5" t="n">
        <f aca="false">A58-A57</f>
        <v>31</v>
      </c>
      <c r="V57" s="128" t="n">
        <f aca="false">CHOOSE(F$3,A58+24,A57)</f>
        <v>38718</v>
      </c>
      <c r="W57" s="5" t="n">
        <f aca="false">V57-C$3</f>
        <v>1487</v>
      </c>
      <c r="X57" s="124" t="n">
        <f aca="false">VLOOKUP($A57,Table,MATCH(X$4,Curves,0))</f>
        <v>2</v>
      </c>
      <c r="Y57" s="129" t="n">
        <f aca="false">1/(1+CHOOSE(F$3,(X58+($K$3/10000))/2,(X57+($K$3/10000))/2))^(2*W57/365.25)</f>
        <v>0.00353918222191482</v>
      </c>
      <c r="Z57" s="5" t="n">
        <f aca="false">IF(AND(mthbeg&lt;=A57,mthend&gt;=A57),1,0)</f>
        <v>0</v>
      </c>
      <c r="AA57" s="5" t="n">
        <f aca="false">U57*Z57</f>
        <v>0</v>
      </c>
      <c r="AC57" s="115" t="n">
        <f aca="false">IF(G50=2,F57*(S57-Q57),F57*(Q57-S57))</f>
        <v>0</v>
      </c>
      <c r="AE57" s="116" t="n">
        <f aca="false">IF($G$3=1,F57*(R57-Q57),F57*(Q57-R57))</f>
        <v>0</v>
      </c>
      <c r="AG57" s="116" t="n">
        <f aca="false">AC57+AE57</f>
        <v>0</v>
      </c>
    </row>
    <row r="58" customFormat="false" ht="12.75" hidden="false" customHeight="false" outlineLevel="0" collapsed="false">
      <c r="A58" s="120" t="n">
        <f aca="false">EDATE(A57,1)</f>
        <v>38749</v>
      </c>
      <c r="B58" s="121" t="e">
        <f aca="false">VLOOKUP(A58,'Inputs-Summary'!$A$32:$E$41,4,FALSE())</f>
        <v>#N/A</v>
      </c>
      <c r="C58" s="122"/>
      <c r="D58" s="123" t="e">
        <f aca="false">B58+C58</f>
        <v>#N/A</v>
      </c>
      <c r="E58" s="111" t="n">
        <f aca="false">IF(Z58=0,0,IF(AND(Z58=1,$H$3=1),D58*U58,IF($H$3=2,D58,"N/A")))</f>
        <v>0</v>
      </c>
      <c r="F58" s="111" t="n">
        <f aca="false">E58*Y58</f>
        <v>0</v>
      </c>
      <c r="G58" s="124" t="n">
        <f aca="false">VLOOKUP($A58,Table,MATCH(G$4,Curves,0))</f>
        <v>3</v>
      </c>
      <c r="H58" s="125" t="n">
        <f aca="false">G58+$H$7</f>
        <v>3</v>
      </c>
      <c r="I58" s="124" t="n">
        <f aca="false">H58</f>
        <v>3</v>
      </c>
      <c r="J58" s="124" t="n">
        <f aca="false">VLOOKUP($A58,Table,MATCH(J$4,Curves,0))</f>
        <v>4</v>
      </c>
      <c r="K58" s="125" t="n">
        <f aca="false">J58+$K$7</f>
        <v>4</v>
      </c>
      <c r="L58" s="126" t="n">
        <f aca="false">K58</f>
        <v>4</v>
      </c>
      <c r="M58" s="124" t="n">
        <f aca="false">VLOOKUP($A58,Table,MATCH(M$4,Curves,0))</f>
        <v>4</v>
      </c>
      <c r="N58" s="125" t="n">
        <f aca="false">M58+$N$7</f>
        <v>4</v>
      </c>
      <c r="O58" s="126" t="n">
        <v>0.25</v>
      </c>
      <c r="P58" s="114"/>
      <c r="Q58" s="126" t="n">
        <f aca="false">M58+J58+G58</f>
        <v>11</v>
      </c>
      <c r="R58" s="126" t="n">
        <f aca="false">N58+K58+H58</f>
        <v>11</v>
      </c>
      <c r="S58" s="126" t="n">
        <f aca="false">O58+L58+I58</f>
        <v>7.25</v>
      </c>
      <c r="T58" s="127"/>
      <c r="U58" s="5" t="n">
        <f aca="false">A59-A58</f>
        <v>28</v>
      </c>
      <c r="V58" s="128" t="n">
        <f aca="false">CHOOSE(F$3,A59+24,A58)</f>
        <v>38749</v>
      </c>
      <c r="W58" s="5" t="n">
        <f aca="false">V58-C$3</f>
        <v>1518</v>
      </c>
      <c r="X58" s="124" t="n">
        <f aca="false">VLOOKUP($A58,Table,MATCH(X$4,Curves,0))</f>
        <v>2</v>
      </c>
      <c r="Y58" s="129" t="n">
        <f aca="false">1/(1+CHOOSE(F$3,(X59+($K$3/10000))/2,(X58+($K$3/10000))/2))^(2*W58/365.25)</f>
        <v>0.0031463284744039</v>
      </c>
      <c r="Z58" s="5" t="n">
        <f aca="false">IF(AND(mthbeg&lt;=A58,mthend&gt;=A58),1,0)</f>
        <v>0</v>
      </c>
      <c r="AA58" s="5" t="n">
        <f aca="false">U58*Z58</f>
        <v>0</v>
      </c>
      <c r="AC58" s="115" t="n">
        <f aca="false">IF(G51=2,F58*(S58-Q58),F58*(Q58-S58))</f>
        <v>0</v>
      </c>
      <c r="AE58" s="116" t="n">
        <f aca="false">IF($G$3=1,F58*(R58-Q58),F58*(Q58-R58))</f>
        <v>0</v>
      </c>
      <c r="AG58" s="116" t="n">
        <f aca="false">AC58+AE58</f>
        <v>0</v>
      </c>
    </row>
    <row r="59" customFormat="false" ht="12.75" hidden="false" customHeight="false" outlineLevel="0" collapsed="false">
      <c r="A59" s="120" t="n">
        <f aca="false">EDATE(A58,1)</f>
        <v>38777</v>
      </c>
      <c r="B59" s="121" t="e">
        <f aca="false">VLOOKUP(A59,'Inputs-Summary'!$A$32:$E$41,4,FALSE())</f>
        <v>#N/A</v>
      </c>
      <c r="C59" s="122"/>
      <c r="D59" s="123" t="e">
        <f aca="false">B59+C59</f>
        <v>#N/A</v>
      </c>
      <c r="E59" s="111" t="n">
        <f aca="false">IF(Z59=0,0,IF(AND(Z59=1,$H$3=1),D59*U59,IF($H$3=2,D59,"N/A")))</f>
        <v>0</v>
      </c>
      <c r="F59" s="111" t="n">
        <f aca="false">E59*Y59</f>
        <v>0</v>
      </c>
      <c r="G59" s="124" t="n">
        <f aca="false">VLOOKUP($A59,Table,MATCH(G$4,Curves,0))</f>
        <v>3</v>
      </c>
      <c r="H59" s="125" t="n">
        <f aca="false">G59+$H$7</f>
        <v>3</v>
      </c>
      <c r="I59" s="124" t="n">
        <f aca="false">H59</f>
        <v>3</v>
      </c>
      <c r="J59" s="124" t="n">
        <f aca="false">VLOOKUP($A59,Table,MATCH(J$4,Curves,0))</f>
        <v>4</v>
      </c>
      <c r="K59" s="125" t="n">
        <f aca="false">J59+$K$7</f>
        <v>4</v>
      </c>
      <c r="L59" s="126" t="n">
        <f aca="false">K59</f>
        <v>4</v>
      </c>
      <c r="M59" s="124" t="n">
        <f aca="false">VLOOKUP($A59,Table,MATCH(M$4,Curves,0))</f>
        <v>4</v>
      </c>
      <c r="N59" s="125" t="n">
        <f aca="false">M59+$N$7</f>
        <v>4</v>
      </c>
      <c r="O59" s="126" t="n">
        <v>0.25</v>
      </c>
      <c r="P59" s="114"/>
      <c r="Q59" s="126" t="n">
        <f aca="false">M59+J59+G59</f>
        <v>11</v>
      </c>
      <c r="R59" s="126" t="n">
        <f aca="false">N59+K59+H59</f>
        <v>11</v>
      </c>
      <c r="S59" s="126" t="n">
        <f aca="false">O59+L59+I59</f>
        <v>7.25</v>
      </c>
      <c r="T59" s="127"/>
      <c r="U59" s="5" t="n">
        <f aca="false">A60-A59</f>
        <v>31</v>
      </c>
      <c r="V59" s="128" t="n">
        <f aca="false">CHOOSE(F$3,A60+24,A59)</f>
        <v>38777</v>
      </c>
      <c r="W59" s="5" t="n">
        <f aca="false">V59-C$3</f>
        <v>1546</v>
      </c>
      <c r="X59" s="124" t="n">
        <f aca="false">VLOOKUP($A59,Table,MATCH(X$4,Curves,0))</f>
        <v>2</v>
      </c>
      <c r="Y59" s="129" t="n">
        <f aca="false">1/(1+CHOOSE(F$3,(X60+($K$3/10000))/2,(X59+($K$3/10000))/2))^(2*W59/365.25)</f>
        <v>0.0028291127040066</v>
      </c>
      <c r="Z59" s="5" t="n">
        <f aca="false">IF(AND(mthbeg&lt;=A59,mthend&gt;=A59),1,0)</f>
        <v>0</v>
      </c>
      <c r="AA59" s="5" t="n">
        <f aca="false">U59*Z59</f>
        <v>0</v>
      </c>
      <c r="AC59" s="115" t="n">
        <f aca="false">IF(G52=2,F59*(S59-Q59),F59*(Q59-S59))</f>
        <v>0</v>
      </c>
      <c r="AE59" s="116" t="n">
        <f aca="false">IF($G$3=1,F59*(R59-Q59),F59*(Q59-R59))</f>
        <v>0</v>
      </c>
      <c r="AG59" s="116" t="n">
        <f aca="false">AC59+AE59</f>
        <v>0</v>
      </c>
    </row>
    <row r="60" customFormat="false" ht="12.75" hidden="false" customHeight="false" outlineLevel="0" collapsed="false">
      <c r="A60" s="120" t="n">
        <f aca="false">EDATE(A59,1)</f>
        <v>38808</v>
      </c>
      <c r="B60" s="121" t="e">
        <f aca="false">VLOOKUP(A60,'Inputs-Summary'!$A$32:$E$41,4,FALSE())</f>
        <v>#N/A</v>
      </c>
      <c r="C60" s="122"/>
      <c r="D60" s="123" t="e">
        <f aca="false">B60+C60</f>
        <v>#N/A</v>
      </c>
      <c r="E60" s="111" t="n">
        <f aca="false">IF(Z60=0,0,IF(AND(Z60=1,$H$3=1),D60*U60,IF($H$3=2,D60,"N/A")))</f>
        <v>0</v>
      </c>
      <c r="F60" s="111" t="n">
        <f aca="false">E60*Y60</f>
        <v>0</v>
      </c>
      <c r="G60" s="124" t="n">
        <f aca="false">VLOOKUP($A60,Table,MATCH(G$4,Curves,0))</f>
        <v>3</v>
      </c>
      <c r="H60" s="125" t="n">
        <f aca="false">G60+$H$7</f>
        <v>3</v>
      </c>
      <c r="I60" s="124" t="n">
        <f aca="false">H60</f>
        <v>3</v>
      </c>
      <c r="J60" s="124" t="n">
        <f aca="false">VLOOKUP($A60,Table,MATCH(J$4,Curves,0))</f>
        <v>4</v>
      </c>
      <c r="K60" s="125" t="n">
        <f aca="false">J60+$K$7</f>
        <v>4</v>
      </c>
      <c r="L60" s="126" t="n">
        <f aca="false">K60</f>
        <v>4</v>
      </c>
      <c r="M60" s="124" t="n">
        <f aca="false">VLOOKUP($A60,Table,MATCH(M$4,Curves,0))</f>
        <v>4</v>
      </c>
      <c r="N60" s="125" t="n">
        <f aca="false">M60+$N$7</f>
        <v>4</v>
      </c>
      <c r="O60" s="126" t="n">
        <v>0.25</v>
      </c>
      <c r="P60" s="114"/>
      <c r="Q60" s="126" t="n">
        <f aca="false">M60+J60+G60</f>
        <v>11</v>
      </c>
      <c r="R60" s="126" t="n">
        <f aca="false">N60+K60+H60</f>
        <v>11</v>
      </c>
      <c r="S60" s="126" t="n">
        <f aca="false">O60+L60+I60</f>
        <v>7.25</v>
      </c>
      <c r="T60" s="127"/>
      <c r="U60" s="5" t="n">
        <f aca="false">A61-A60</f>
        <v>30</v>
      </c>
      <c r="V60" s="128" t="n">
        <f aca="false">CHOOSE(F$3,A61+24,A60)</f>
        <v>38808</v>
      </c>
      <c r="W60" s="5" t="n">
        <f aca="false">V60-C$3</f>
        <v>1577</v>
      </c>
      <c r="X60" s="124" t="n">
        <f aca="false">VLOOKUP($A60,Table,MATCH(X$4,Curves,0))</f>
        <v>2</v>
      </c>
      <c r="Y60" s="129" t="n">
        <f aca="false">1/(1+CHOOSE(F$3,(X61+($K$3/10000))/2,(X60+($K$3/10000))/2))^(2*W60/365.25)</f>
        <v>0.00251507758001164</v>
      </c>
      <c r="Z60" s="5" t="n">
        <f aca="false">IF(AND(mthbeg&lt;=A60,mthend&gt;=A60),1,0)</f>
        <v>0</v>
      </c>
      <c r="AA60" s="5" t="n">
        <f aca="false">U60*Z60</f>
        <v>0</v>
      </c>
      <c r="AC60" s="115" t="n">
        <f aca="false">IF(G53=2,F60*(S60-Q60),F60*(Q60-S60))</f>
        <v>0</v>
      </c>
      <c r="AE60" s="116" t="n">
        <f aca="false">IF($G$3=1,F60*(R60-Q60),F60*(Q60-R60))</f>
        <v>0</v>
      </c>
      <c r="AG60" s="116" t="n">
        <f aca="false">AC60+AE60</f>
        <v>0</v>
      </c>
    </row>
    <row r="61" customFormat="false" ht="12.75" hidden="false" customHeight="false" outlineLevel="0" collapsed="false">
      <c r="A61" s="120" t="n">
        <f aca="false">EDATE(A60,1)</f>
        <v>38838</v>
      </c>
      <c r="B61" s="121" t="e">
        <f aca="false">VLOOKUP(A61,'Inputs-Summary'!$A$32:$E$41,4,FALSE())</f>
        <v>#N/A</v>
      </c>
      <c r="C61" s="122"/>
      <c r="D61" s="123" t="e">
        <f aca="false">B61+C61</f>
        <v>#N/A</v>
      </c>
      <c r="E61" s="111" t="n">
        <f aca="false">IF(Z61=0,0,IF(AND(Z61=1,$H$3=1),D61*U61,IF($H$3=2,D61,"N/A")))</f>
        <v>0</v>
      </c>
      <c r="F61" s="111" t="n">
        <f aca="false">E61*Y61</f>
        <v>0</v>
      </c>
      <c r="G61" s="124" t="n">
        <f aca="false">VLOOKUP($A61,Table,MATCH(G$4,Curves,0))</f>
        <v>3</v>
      </c>
      <c r="H61" s="125" t="n">
        <f aca="false">G61+$H$7</f>
        <v>3</v>
      </c>
      <c r="I61" s="124" t="n">
        <f aca="false">H61</f>
        <v>3</v>
      </c>
      <c r="J61" s="124" t="n">
        <f aca="false">VLOOKUP($A61,Table,MATCH(J$4,Curves,0))</f>
        <v>4</v>
      </c>
      <c r="K61" s="125" t="n">
        <f aca="false">J61+$K$7</f>
        <v>4</v>
      </c>
      <c r="L61" s="126" t="n">
        <f aca="false">K61</f>
        <v>4</v>
      </c>
      <c r="M61" s="124" t="n">
        <f aca="false">VLOOKUP($A61,Table,MATCH(M$4,Curves,0))</f>
        <v>4</v>
      </c>
      <c r="N61" s="125" t="n">
        <f aca="false">M61+$N$7</f>
        <v>4</v>
      </c>
      <c r="O61" s="126" t="n">
        <v>0.25</v>
      </c>
      <c r="P61" s="114"/>
      <c r="Q61" s="126" t="n">
        <f aca="false">M61+J61+G61</f>
        <v>11</v>
      </c>
      <c r="R61" s="126" t="n">
        <f aca="false">N61+K61+H61</f>
        <v>11</v>
      </c>
      <c r="S61" s="126" t="n">
        <f aca="false">O61+L61+I61</f>
        <v>7.25</v>
      </c>
      <c r="T61" s="127"/>
      <c r="U61" s="5" t="n">
        <f aca="false">A62-A61</f>
        <v>31</v>
      </c>
      <c r="V61" s="128" t="n">
        <f aca="false">CHOOSE(F$3,A62+24,A61)</f>
        <v>38838</v>
      </c>
      <c r="W61" s="5" t="n">
        <f aca="false">V61-C$3</f>
        <v>1607</v>
      </c>
      <c r="X61" s="124" t="n">
        <f aca="false">VLOOKUP($A61,Table,MATCH(X$4,Curves,0))</f>
        <v>2</v>
      </c>
      <c r="Y61" s="129" t="n">
        <f aca="false">1/(1+CHOOSE(F$3,(X62+($K$3/10000))/2,(X61+($K$3/10000))/2))^(2*W61/365.25)</f>
        <v>0.00224440316880488</v>
      </c>
      <c r="Z61" s="5" t="n">
        <f aca="false">IF(AND(mthbeg&lt;=A61,mthend&gt;=A61),1,0)</f>
        <v>0</v>
      </c>
      <c r="AA61" s="5" t="n">
        <f aca="false">U61*Z61</f>
        <v>0</v>
      </c>
      <c r="AC61" s="115" t="n">
        <f aca="false">IF(G54=2,F61*(S61-Q61),F61*(Q61-S61))</f>
        <v>0</v>
      </c>
      <c r="AE61" s="116" t="n">
        <f aca="false">IF($G$3=1,F61*(R61-Q61),F61*(Q61-R61))</f>
        <v>0</v>
      </c>
      <c r="AG61" s="116" t="n">
        <f aca="false">AC61+AE61</f>
        <v>0</v>
      </c>
    </row>
    <row r="62" customFormat="false" ht="12.75" hidden="false" customHeight="false" outlineLevel="0" collapsed="false">
      <c r="A62" s="120" t="n">
        <f aca="false">EDATE(A61,1)</f>
        <v>38869</v>
      </c>
      <c r="B62" s="121" t="e">
        <f aca="false">VLOOKUP(A62,'Inputs-Summary'!$A$32:$E$41,4,FALSE())</f>
        <v>#N/A</v>
      </c>
      <c r="C62" s="122"/>
      <c r="D62" s="123" t="e">
        <f aca="false">B62+C62</f>
        <v>#N/A</v>
      </c>
      <c r="E62" s="111" t="n">
        <f aca="false">IF(Z62=0,0,IF(AND(Z62=1,$H$3=1),D62*U62,IF($H$3=2,D62,"N/A")))</f>
        <v>0</v>
      </c>
      <c r="F62" s="111" t="n">
        <f aca="false">E62*Y62</f>
        <v>0</v>
      </c>
      <c r="G62" s="124" t="n">
        <f aca="false">VLOOKUP($A62,Table,MATCH(G$4,Curves,0))</f>
        <v>3</v>
      </c>
      <c r="H62" s="125" t="n">
        <f aca="false">G62+$H$7</f>
        <v>3</v>
      </c>
      <c r="I62" s="124" t="n">
        <f aca="false">H62</f>
        <v>3</v>
      </c>
      <c r="J62" s="124" t="n">
        <f aca="false">VLOOKUP($A62,Table,MATCH(J$4,Curves,0))</f>
        <v>4</v>
      </c>
      <c r="K62" s="125" t="n">
        <f aca="false">J62+$K$7</f>
        <v>4</v>
      </c>
      <c r="L62" s="126" t="n">
        <f aca="false">K62</f>
        <v>4</v>
      </c>
      <c r="M62" s="124" t="n">
        <f aca="false">VLOOKUP($A62,Table,MATCH(M$4,Curves,0))</f>
        <v>4</v>
      </c>
      <c r="N62" s="125" t="n">
        <f aca="false">M62+$N$7</f>
        <v>4</v>
      </c>
      <c r="O62" s="126" t="n">
        <v>0.25</v>
      </c>
      <c r="P62" s="114"/>
      <c r="Q62" s="126" t="n">
        <f aca="false">M62+J62+G62</f>
        <v>11</v>
      </c>
      <c r="R62" s="126" t="n">
        <f aca="false">N62+K62+H62</f>
        <v>11</v>
      </c>
      <c r="S62" s="126" t="n">
        <f aca="false">O62+L62+I62</f>
        <v>7.25</v>
      </c>
      <c r="T62" s="127"/>
      <c r="U62" s="5" t="n">
        <f aca="false">A63-A62</f>
        <v>30</v>
      </c>
      <c r="V62" s="128" t="n">
        <f aca="false">CHOOSE(F$3,A63+24,A62)</f>
        <v>38869</v>
      </c>
      <c r="W62" s="5" t="n">
        <f aca="false">V62-C$3</f>
        <v>1638</v>
      </c>
      <c r="X62" s="124" t="n">
        <f aca="false">VLOOKUP($A62,Table,MATCH(X$4,Curves,0))</f>
        <v>2</v>
      </c>
      <c r="Y62" s="129" t="n">
        <f aca="false">1/(1+CHOOSE(F$3,(X63+($K$3/10000))/2,(X62+($K$3/10000))/2))^(2*W62/365.25)</f>
        <v>0.00199527155011321</v>
      </c>
      <c r="Z62" s="5" t="n">
        <f aca="false">IF(AND(mthbeg&lt;=A62,mthend&gt;=A62),1,0)</f>
        <v>0</v>
      </c>
      <c r="AA62" s="5" t="n">
        <f aca="false">U62*Z62</f>
        <v>0</v>
      </c>
      <c r="AC62" s="115" t="n">
        <f aca="false">IF(G55=2,F62*(S62-Q62),F62*(Q62-S62))</f>
        <v>0</v>
      </c>
      <c r="AE62" s="116" t="n">
        <f aca="false">IF($G$3=1,F62*(R62-Q62),F62*(Q62-R62))</f>
        <v>0</v>
      </c>
      <c r="AG62" s="116" t="n">
        <f aca="false">AC62+AE62</f>
        <v>0</v>
      </c>
    </row>
    <row r="63" customFormat="false" ht="12.75" hidden="false" customHeight="false" outlineLevel="0" collapsed="false">
      <c r="A63" s="120" t="n">
        <f aca="false">EDATE(A62,1)</f>
        <v>38899</v>
      </c>
      <c r="B63" s="121" t="e">
        <f aca="false">VLOOKUP(A63,'Inputs-Summary'!$A$32:$E$41,4,FALSE())</f>
        <v>#N/A</v>
      </c>
      <c r="C63" s="122"/>
      <c r="D63" s="123" t="e">
        <f aca="false">B63+C63</f>
        <v>#N/A</v>
      </c>
      <c r="E63" s="111" t="n">
        <f aca="false">IF(Z63=0,0,IF(AND(Z63=1,$H$3=1),D63*U63,IF($H$3=2,D63,"N/A")))</f>
        <v>0</v>
      </c>
      <c r="F63" s="111" t="n">
        <f aca="false">E63*Y63</f>
        <v>0</v>
      </c>
      <c r="G63" s="124" t="n">
        <f aca="false">VLOOKUP($A63,Table,MATCH(G$4,Curves,0))</f>
        <v>3</v>
      </c>
      <c r="H63" s="125" t="n">
        <f aca="false">G63+$H$7</f>
        <v>3</v>
      </c>
      <c r="I63" s="124" t="n">
        <f aca="false">H63</f>
        <v>3</v>
      </c>
      <c r="J63" s="124" t="n">
        <f aca="false">VLOOKUP($A63,Table,MATCH(J$4,Curves,0))</f>
        <v>4</v>
      </c>
      <c r="K63" s="125" t="n">
        <f aca="false">J63+$K$7</f>
        <v>4</v>
      </c>
      <c r="L63" s="126" t="n">
        <f aca="false">K63</f>
        <v>4</v>
      </c>
      <c r="M63" s="124" t="n">
        <f aca="false">VLOOKUP($A63,Table,MATCH(M$4,Curves,0))</f>
        <v>4</v>
      </c>
      <c r="N63" s="125" t="n">
        <f aca="false">M63+$N$7</f>
        <v>4</v>
      </c>
      <c r="O63" s="126" t="n">
        <v>0.25</v>
      </c>
      <c r="P63" s="114"/>
      <c r="Q63" s="126" t="n">
        <f aca="false">M63+J63+G63</f>
        <v>11</v>
      </c>
      <c r="R63" s="126" t="n">
        <f aca="false">N63+K63+H63</f>
        <v>11</v>
      </c>
      <c r="S63" s="126" t="n">
        <f aca="false">O63+L63+I63</f>
        <v>7.25</v>
      </c>
      <c r="T63" s="127"/>
      <c r="U63" s="5" t="n">
        <f aca="false">A64-A63</f>
        <v>31</v>
      </c>
      <c r="V63" s="128" t="n">
        <f aca="false">CHOOSE(F$3,A64+24,A63)</f>
        <v>38899</v>
      </c>
      <c r="W63" s="5" t="n">
        <f aca="false">V63-C$3</f>
        <v>1668</v>
      </c>
      <c r="X63" s="124" t="n">
        <f aca="false">VLOOKUP($A63,Table,MATCH(X$4,Curves,0))</f>
        <v>2</v>
      </c>
      <c r="Y63" s="129" t="n">
        <f aca="false">1/(1+CHOOSE(F$3,(X64+($K$3/10000))/2,(X63+($K$3/10000))/2))^(2*W63/365.25)</f>
        <v>0.00178053902801661</v>
      </c>
      <c r="Z63" s="5" t="n">
        <f aca="false">IF(AND(mthbeg&lt;=A63,mthend&gt;=A63),1,0)</f>
        <v>0</v>
      </c>
      <c r="AA63" s="5" t="n">
        <f aca="false">U63*Z63</f>
        <v>0</v>
      </c>
      <c r="AC63" s="115" t="n">
        <f aca="false">IF(G56=2,F63*(S63-Q63),F63*(Q63-S63))</f>
        <v>0</v>
      </c>
      <c r="AE63" s="116" t="n">
        <f aca="false">IF($G$3=1,F63*(R63-Q63),F63*(Q63-R63))</f>
        <v>0</v>
      </c>
      <c r="AG63" s="116" t="n">
        <f aca="false">AC63+AE63</f>
        <v>0</v>
      </c>
    </row>
    <row r="64" customFormat="false" ht="12.75" hidden="false" customHeight="false" outlineLevel="0" collapsed="false">
      <c r="A64" s="120" t="n">
        <f aca="false">EDATE(A63,1)</f>
        <v>38930</v>
      </c>
      <c r="B64" s="121" t="e">
        <f aca="false">VLOOKUP(A64,'Inputs-Summary'!$A$32:$E$41,4,FALSE())</f>
        <v>#N/A</v>
      </c>
      <c r="C64" s="122"/>
      <c r="D64" s="123" t="e">
        <f aca="false">B64+C64</f>
        <v>#N/A</v>
      </c>
      <c r="E64" s="111" t="n">
        <f aca="false">IF(Z64=0,0,IF(AND(Z64=1,$H$3=1),D64*U64,IF($H$3=2,D64,"N/A")))</f>
        <v>0</v>
      </c>
      <c r="F64" s="111" t="n">
        <f aca="false">E64*Y64</f>
        <v>0</v>
      </c>
      <c r="G64" s="124" t="n">
        <f aca="false">VLOOKUP($A64,Table,MATCH(G$4,Curves,0))</f>
        <v>3</v>
      </c>
      <c r="H64" s="125" t="n">
        <f aca="false">G64+$H$7</f>
        <v>3</v>
      </c>
      <c r="I64" s="124" t="n">
        <f aca="false">H64</f>
        <v>3</v>
      </c>
      <c r="J64" s="124" t="n">
        <f aca="false">VLOOKUP($A64,Table,MATCH(J$4,Curves,0))</f>
        <v>4</v>
      </c>
      <c r="K64" s="125" t="n">
        <f aca="false">J64+$K$7</f>
        <v>4</v>
      </c>
      <c r="L64" s="126" t="n">
        <f aca="false">K64</f>
        <v>4</v>
      </c>
      <c r="M64" s="124" t="n">
        <f aca="false">VLOOKUP($A64,Table,MATCH(M$4,Curves,0))</f>
        <v>4</v>
      </c>
      <c r="N64" s="125" t="n">
        <f aca="false">M64+$N$7</f>
        <v>4</v>
      </c>
      <c r="O64" s="126" t="n">
        <v>0.25</v>
      </c>
      <c r="P64" s="114"/>
      <c r="Q64" s="126" t="n">
        <f aca="false">M64+J64+G64</f>
        <v>11</v>
      </c>
      <c r="R64" s="126" t="n">
        <f aca="false">N64+K64+H64</f>
        <v>11</v>
      </c>
      <c r="S64" s="126" t="n">
        <f aca="false">O64+L64+I64</f>
        <v>7.25</v>
      </c>
      <c r="T64" s="127"/>
      <c r="U64" s="5" t="n">
        <f aca="false">A65-A64</f>
        <v>31</v>
      </c>
      <c r="V64" s="128" t="n">
        <f aca="false">CHOOSE(F$3,A65+24,A64)</f>
        <v>38930</v>
      </c>
      <c r="W64" s="5" t="n">
        <f aca="false">V64-C$3</f>
        <v>1699</v>
      </c>
      <c r="X64" s="124" t="n">
        <f aca="false">VLOOKUP($A64,Table,MATCH(X$4,Curves,0))</f>
        <v>2</v>
      </c>
      <c r="Y64" s="129" t="n">
        <f aca="false">1/(1+CHOOSE(F$3,(X65+($K$3/10000))/2,(X64+($K$3/10000))/2))^(2*W64/365.25)</f>
        <v>0.00158289692148293</v>
      </c>
      <c r="Z64" s="5" t="n">
        <f aca="false">IF(AND(mthbeg&lt;=A64,mthend&gt;=A64),1,0)</f>
        <v>0</v>
      </c>
      <c r="AA64" s="5" t="n">
        <f aca="false">U64*Z64</f>
        <v>0</v>
      </c>
      <c r="AC64" s="115" t="n">
        <f aca="false">IF(G57=2,F64*(S64-Q64),F64*(Q64-S64))</f>
        <v>0</v>
      </c>
      <c r="AE64" s="116" t="n">
        <f aca="false">IF($G$3=1,F64*(R64-Q64),F64*(Q64-R64))</f>
        <v>0</v>
      </c>
      <c r="AG64" s="116" t="n">
        <f aca="false">AC64+AE64</f>
        <v>0</v>
      </c>
    </row>
    <row r="65" customFormat="false" ht="12.75" hidden="false" customHeight="false" outlineLevel="0" collapsed="false">
      <c r="A65" s="120" t="n">
        <f aca="false">EDATE(A64,1)</f>
        <v>38961</v>
      </c>
      <c r="B65" s="121" t="e">
        <f aca="false">VLOOKUP(A65,'Inputs-Summary'!$A$32:$E$41,4,FALSE())</f>
        <v>#N/A</v>
      </c>
      <c r="C65" s="122"/>
      <c r="D65" s="123" t="e">
        <f aca="false">B65+C65</f>
        <v>#N/A</v>
      </c>
      <c r="E65" s="111" t="n">
        <f aca="false">IF(Z65=0,0,IF(AND(Z65=1,$H$3=1),D65*U65,IF($H$3=2,D65,"N/A")))</f>
        <v>0</v>
      </c>
      <c r="F65" s="111" t="n">
        <f aca="false">E65*Y65</f>
        <v>0</v>
      </c>
      <c r="G65" s="124" t="n">
        <f aca="false">VLOOKUP($A65,Table,MATCH(G$4,Curves,0))</f>
        <v>3</v>
      </c>
      <c r="H65" s="125" t="n">
        <f aca="false">G65+$H$7</f>
        <v>3</v>
      </c>
      <c r="I65" s="124" t="n">
        <f aca="false">H65</f>
        <v>3</v>
      </c>
      <c r="J65" s="124" t="n">
        <f aca="false">VLOOKUP($A65,Table,MATCH(J$4,Curves,0))</f>
        <v>4</v>
      </c>
      <c r="K65" s="125" t="n">
        <f aca="false">J65+$K$7</f>
        <v>4</v>
      </c>
      <c r="L65" s="126" t="n">
        <f aca="false">K65</f>
        <v>4</v>
      </c>
      <c r="M65" s="124" t="n">
        <f aca="false">VLOOKUP($A65,Table,MATCH(M$4,Curves,0))</f>
        <v>4</v>
      </c>
      <c r="N65" s="125" t="n">
        <f aca="false">M65+$N$7</f>
        <v>4</v>
      </c>
      <c r="O65" s="126" t="n">
        <v>0.25</v>
      </c>
      <c r="P65" s="114"/>
      <c r="Q65" s="126" t="n">
        <f aca="false">M65+J65+G65</f>
        <v>11</v>
      </c>
      <c r="R65" s="126" t="n">
        <f aca="false">N65+K65+H65</f>
        <v>11</v>
      </c>
      <c r="S65" s="126" t="n">
        <f aca="false">O65+L65+I65</f>
        <v>7.25</v>
      </c>
      <c r="T65" s="127"/>
      <c r="U65" s="5" t="n">
        <f aca="false">A66-A65</f>
        <v>30</v>
      </c>
      <c r="V65" s="128" t="n">
        <f aca="false">CHOOSE(F$3,A66+24,A65)</f>
        <v>38961</v>
      </c>
      <c r="W65" s="5" t="n">
        <f aca="false">V65-C$3</f>
        <v>1730</v>
      </c>
      <c r="X65" s="124" t="n">
        <f aca="false">VLOOKUP($A65,Table,MATCH(X$4,Curves,0))</f>
        <v>2</v>
      </c>
      <c r="Y65" s="129" t="n">
        <f aca="false">1/(1+CHOOSE(F$3,(X66+($K$3/10000))/2,(X65+($K$3/10000))/2))^(2*W65/365.25)</f>
        <v>0.00140719334123845</v>
      </c>
      <c r="Z65" s="5" t="n">
        <f aca="false">IF(AND(mthbeg&lt;=A65,mthend&gt;=A65),1,0)</f>
        <v>0</v>
      </c>
      <c r="AA65" s="5" t="n">
        <f aca="false">U65*Z65</f>
        <v>0</v>
      </c>
      <c r="AC65" s="115" t="n">
        <f aca="false">IF(G58=2,F65*(S65-Q65),F65*(Q65-S65))</f>
        <v>0</v>
      </c>
      <c r="AE65" s="116" t="n">
        <f aca="false">IF($G$3=1,F65*(R65-Q65),F65*(Q65-R65))</f>
        <v>0</v>
      </c>
      <c r="AG65" s="116" t="n">
        <f aca="false">AC65+AE65</f>
        <v>0</v>
      </c>
    </row>
    <row r="66" customFormat="false" ht="12.75" hidden="false" customHeight="false" outlineLevel="0" collapsed="false">
      <c r="A66" s="120" t="n">
        <f aca="false">EDATE(A65,1)</f>
        <v>38991</v>
      </c>
      <c r="B66" s="121" t="e">
        <f aca="false">VLOOKUP(A66,'Inputs-Summary'!$A$32:$E$41,4,FALSE())</f>
        <v>#N/A</v>
      </c>
      <c r="C66" s="122"/>
      <c r="D66" s="123" t="e">
        <f aca="false">B66+C66</f>
        <v>#N/A</v>
      </c>
      <c r="E66" s="111" t="n">
        <f aca="false">IF(Z66=0,0,IF(AND(Z66=1,$H$3=1),D66*U66,IF($H$3=2,D66,"N/A")))</f>
        <v>0</v>
      </c>
      <c r="F66" s="111" t="n">
        <f aca="false">E66*Y66</f>
        <v>0</v>
      </c>
      <c r="G66" s="124" t="n">
        <f aca="false">VLOOKUP($A66,Table,MATCH(G$4,Curves,0))</f>
        <v>3</v>
      </c>
      <c r="H66" s="125" t="n">
        <f aca="false">G66+$H$7</f>
        <v>3</v>
      </c>
      <c r="I66" s="124" t="n">
        <f aca="false">H66</f>
        <v>3</v>
      </c>
      <c r="J66" s="124" t="n">
        <f aca="false">VLOOKUP($A66,Table,MATCH(J$4,Curves,0))</f>
        <v>4</v>
      </c>
      <c r="K66" s="125" t="n">
        <f aca="false">J66+$K$7</f>
        <v>4</v>
      </c>
      <c r="L66" s="126" t="n">
        <f aca="false">K66</f>
        <v>4</v>
      </c>
      <c r="M66" s="124" t="n">
        <f aca="false">VLOOKUP($A66,Table,MATCH(M$4,Curves,0))</f>
        <v>4</v>
      </c>
      <c r="N66" s="125" t="n">
        <f aca="false">M66+$N$7</f>
        <v>4</v>
      </c>
      <c r="O66" s="126" t="n">
        <v>0.25</v>
      </c>
      <c r="P66" s="114"/>
      <c r="Q66" s="126" t="n">
        <f aca="false">M66+J66+G66</f>
        <v>11</v>
      </c>
      <c r="R66" s="126" t="n">
        <f aca="false">N66+K66+H66</f>
        <v>11</v>
      </c>
      <c r="S66" s="126" t="n">
        <f aca="false">O66+L66+I66</f>
        <v>7.25</v>
      </c>
      <c r="T66" s="127"/>
      <c r="U66" s="5" t="n">
        <f aca="false">A67-A66</f>
        <v>31</v>
      </c>
      <c r="V66" s="128" t="n">
        <f aca="false">CHOOSE(F$3,A67+24,A66)</f>
        <v>38991</v>
      </c>
      <c r="W66" s="5" t="n">
        <f aca="false">V66-C$3</f>
        <v>1760</v>
      </c>
      <c r="X66" s="124" t="n">
        <f aca="false">VLOOKUP($A66,Table,MATCH(X$4,Curves,0))</f>
        <v>2</v>
      </c>
      <c r="Y66" s="129" t="n">
        <f aca="false">1/(1+CHOOSE(F$3,(X67+($K$3/10000))/2,(X66+($K$3/10000))/2))^(2*W66/365.25)</f>
        <v>0.00125575020798447</v>
      </c>
      <c r="Z66" s="5" t="n">
        <f aca="false">IF(AND(mthbeg&lt;=A66,mthend&gt;=A66),1,0)</f>
        <v>0</v>
      </c>
      <c r="AA66" s="5" t="n">
        <f aca="false">U66*Z66</f>
        <v>0</v>
      </c>
      <c r="AC66" s="115" t="n">
        <f aca="false">IF(G59=2,F66*(S66-Q66),F66*(Q66-S66))</f>
        <v>0</v>
      </c>
      <c r="AE66" s="116" t="n">
        <f aca="false">IF($G$3=1,F66*(R66-Q66),F66*(Q66-R66))</f>
        <v>0</v>
      </c>
      <c r="AG66" s="116" t="n">
        <f aca="false">AC66+AE66</f>
        <v>0</v>
      </c>
    </row>
    <row r="67" customFormat="false" ht="12.75" hidden="false" customHeight="false" outlineLevel="0" collapsed="false">
      <c r="A67" s="120" t="n">
        <f aca="false">EDATE(A66,1)</f>
        <v>39022</v>
      </c>
      <c r="B67" s="121" t="e">
        <f aca="false">VLOOKUP(A67,'Inputs-Summary'!$A$32:$E$41,4,FALSE())</f>
        <v>#N/A</v>
      </c>
      <c r="C67" s="122"/>
      <c r="D67" s="123" t="e">
        <f aca="false">B67+C67</f>
        <v>#N/A</v>
      </c>
      <c r="E67" s="111" t="n">
        <f aca="false">IF(Z67=0,0,IF(AND(Z67=1,$H$3=1),D67*U67,IF($H$3=2,D67,"N/A")))</f>
        <v>0</v>
      </c>
      <c r="F67" s="111" t="n">
        <f aca="false">E67*Y67</f>
        <v>0</v>
      </c>
      <c r="G67" s="124" t="n">
        <f aca="false">VLOOKUP($A67,Table,MATCH(G$4,Curves,0))</f>
        <v>3</v>
      </c>
      <c r="H67" s="125" t="n">
        <f aca="false">G67+$H$7</f>
        <v>3</v>
      </c>
      <c r="I67" s="124" t="n">
        <f aca="false">H67</f>
        <v>3</v>
      </c>
      <c r="J67" s="124" t="n">
        <f aca="false">VLOOKUP($A67,Table,MATCH(J$4,Curves,0))</f>
        <v>4</v>
      </c>
      <c r="K67" s="125" t="n">
        <f aca="false">J67+$K$7</f>
        <v>4</v>
      </c>
      <c r="L67" s="126" t="n">
        <f aca="false">K67</f>
        <v>4</v>
      </c>
      <c r="M67" s="124" t="n">
        <f aca="false">VLOOKUP($A67,Table,MATCH(M$4,Curves,0))</f>
        <v>4</v>
      </c>
      <c r="N67" s="125" t="n">
        <f aca="false">M67+$N$7</f>
        <v>4</v>
      </c>
      <c r="O67" s="126" t="n">
        <v>0.25</v>
      </c>
      <c r="P67" s="114"/>
      <c r="Q67" s="126" t="n">
        <f aca="false">M67+J67+G67</f>
        <v>11</v>
      </c>
      <c r="R67" s="126" t="n">
        <f aca="false">N67+K67+H67</f>
        <v>11</v>
      </c>
      <c r="S67" s="126" t="n">
        <f aca="false">O67+L67+I67</f>
        <v>7.25</v>
      </c>
      <c r="T67" s="127"/>
      <c r="U67" s="5" t="n">
        <f aca="false">A68-A67</f>
        <v>30</v>
      </c>
      <c r="V67" s="128" t="n">
        <f aca="false">CHOOSE(F$3,A68+24,A67)</f>
        <v>39022</v>
      </c>
      <c r="W67" s="5" t="n">
        <f aca="false">V67-C$3</f>
        <v>1791</v>
      </c>
      <c r="X67" s="124" t="n">
        <f aca="false">VLOOKUP($A67,Table,MATCH(X$4,Curves,0))</f>
        <v>2</v>
      </c>
      <c r="Y67" s="129" t="n">
        <f aca="false">1/(1+CHOOSE(F$3,(X68+($K$3/10000))/2,(X67+($K$3/10000))/2))^(2*W67/365.25)</f>
        <v>0.00111636033082877</v>
      </c>
      <c r="Z67" s="5" t="n">
        <f aca="false">IF(AND(mthbeg&lt;=A67,mthend&gt;=A67),1,0)</f>
        <v>0</v>
      </c>
      <c r="AA67" s="5" t="n">
        <f aca="false">U67*Z67</f>
        <v>0</v>
      </c>
      <c r="AC67" s="115" t="n">
        <f aca="false">IF(G60=2,F67*(S67-Q67),F67*(Q67-S67))</f>
        <v>0</v>
      </c>
      <c r="AE67" s="116" t="n">
        <f aca="false">IF($G$3=1,F67*(R67-Q67),F67*(Q67-R67))</f>
        <v>0</v>
      </c>
      <c r="AG67" s="116" t="n">
        <f aca="false">AC67+AE67</f>
        <v>0</v>
      </c>
    </row>
    <row r="68" customFormat="false" ht="12.75" hidden="false" customHeight="false" outlineLevel="0" collapsed="false">
      <c r="A68" s="120" t="n">
        <f aca="false">EDATE(A67,1)</f>
        <v>39052</v>
      </c>
      <c r="B68" s="121" t="e">
        <f aca="false">VLOOKUP(A68,'Inputs-Summary'!$A$32:$E$41,4,FALSE())</f>
        <v>#N/A</v>
      </c>
      <c r="C68" s="122"/>
      <c r="D68" s="123" t="e">
        <f aca="false">B68+C68</f>
        <v>#N/A</v>
      </c>
      <c r="E68" s="111" t="n">
        <f aca="false">IF(Z68=0,0,IF(AND(Z68=1,$H$3=1),D68*U68,IF($H$3=2,D68,"N/A")))</f>
        <v>0</v>
      </c>
      <c r="F68" s="111" t="n">
        <f aca="false">E68*Y68</f>
        <v>0</v>
      </c>
      <c r="G68" s="124" t="n">
        <f aca="false">VLOOKUP($A68,Table,MATCH(G$4,Curves,0))</f>
        <v>3</v>
      </c>
      <c r="H68" s="125" t="n">
        <f aca="false">G68+$H$7</f>
        <v>3</v>
      </c>
      <c r="I68" s="124" t="n">
        <f aca="false">H68</f>
        <v>3</v>
      </c>
      <c r="J68" s="124" t="n">
        <f aca="false">VLOOKUP($A68,Table,MATCH(J$4,Curves,0))</f>
        <v>4</v>
      </c>
      <c r="K68" s="125" t="n">
        <f aca="false">J68+$K$7</f>
        <v>4</v>
      </c>
      <c r="L68" s="126" t="n">
        <f aca="false">K68</f>
        <v>4</v>
      </c>
      <c r="M68" s="124" t="n">
        <f aca="false">VLOOKUP($A68,Table,MATCH(M$4,Curves,0))</f>
        <v>4</v>
      </c>
      <c r="N68" s="125" t="n">
        <f aca="false">M68+$N$7</f>
        <v>4</v>
      </c>
      <c r="O68" s="126" t="n">
        <v>0.25</v>
      </c>
      <c r="P68" s="114"/>
      <c r="Q68" s="126" t="n">
        <f aca="false">M68+J68+G68</f>
        <v>11</v>
      </c>
      <c r="R68" s="126" t="n">
        <f aca="false">N68+K68+H68</f>
        <v>11</v>
      </c>
      <c r="S68" s="126" t="n">
        <f aca="false">O68+L68+I68</f>
        <v>7.25</v>
      </c>
      <c r="T68" s="127"/>
      <c r="U68" s="5" t="n">
        <f aca="false">A69-A68</f>
        <v>31</v>
      </c>
      <c r="V68" s="128" t="n">
        <f aca="false">CHOOSE(F$3,A69+24,A68)</f>
        <v>39052</v>
      </c>
      <c r="W68" s="5" t="n">
        <f aca="false">V68-C$3</f>
        <v>1821</v>
      </c>
      <c r="X68" s="124" t="n">
        <f aca="false">VLOOKUP($A68,Table,MATCH(X$4,Curves,0))</f>
        <v>2</v>
      </c>
      <c r="Y68" s="129" t="n">
        <f aca="false">1/(1+CHOOSE(F$3,(X69+($K$3/10000))/2,(X68+($K$3/10000))/2))^(2*W68/365.25)</f>
        <v>0.000996216849910671</v>
      </c>
      <c r="Z68" s="5" t="n">
        <f aca="false">IF(AND(mthbeg&lt;=A68,mthend&gt;=A68),1,0)</f>
        <v>0</v>
      </c>
      <c r="AA68" s="5" t="n">
        <f aca="false">U68*Z68</f>
        <v>0</v>
      </c>
      <c r="AC68" s="115" t="n">
        <f aca="false">IF(G61=2,F68*(S68-Q68),F68*(Q68-S68))</f>
        <v>0</v>
      </c>
      <c r="AE68" s="116" t="n">
        <f aca="false">IF($G$3=1,F68*(R68-Q68),F68*(Q68-R68))</f>
        <v>0</v>
      </c>
      <c r="AG68" s="116" t="n">
        <f aca="false">AC68+AE68</f>
        <v>0</v>
      </c>
    </row>
    <row r="69" customFormat="false" ht="12.75" hidden="false" customHeight="false" outlineLevel="0" collapsed="false">
      <c r="A69" s="120" t="n">
        <f aca="false">EDATE(A68,1)</f>
        <v>39083</v>
      </c>
      <c r="B69" s="121" t="e">
        <f aca="false">VLOOKUP(A69,'Inputs-Summary'!$A$32:$E$41,4,FALSE())</f>
        <v>#N/A</v>
      </c>
      <c r="C69" s="122"/>
      <c r="D69" s="123" t="e">
        <f aca="false">B69+C69</f>
        <v>#N/A</v>
      </c>
      <c r="E69" s="111" t="n">
        <f aca="false">IF(Z69=0,0,IF(AND(Z69=1,$H$3=1),D69*U69,IF($H$3=2,D69,"N/A")))</f>
        <v>0</v>
      </c>
      <c r="F69" s="111" t="n">
        <f aca="false">E69*Y69</f>
        <v>0</v>
      </c>
      <c r="G69" s="124" t="n">
        <f aca="false">VLOOKUP($A69,Table,MATCH(G$4,Curves,0))</f>
        <v>3</v>
      </c>
      <c r="H69" s="125" t="n">
        <f aca="false">G69+$H$7</f>
        <v>3</v>
      </c>
      <c r="I69" s="124" t="n">
        <f aca="false">H69</f>
        <v>3</v>
      </c>
      <c r="J69" s="124" t="n">
        <f aca="false">VLOOKUP($A69,Table,MATCH(J$4,Curves,0))</f>
        <v>4</v>
      </c>
      <c r="K69" s="125" t="n">
        <f aca="false">J69+$K$7</f>
        <v>4</v>
      </c>
      <c r="L69" s="126" t="n">
        <f aca="false">K69</f>
        <v>4</v>
      </c>
      <c r="M69" s="124" t="n">
        <f aca="false">VLOOKUP($A69,Table,MATCH(M$4,Curves,0))</f>
        <v>4</v>
      </c>
      <c r="N69" s="125" t="n">
        <f aca="false">M69+$N$7</f>
        <v>4</v>
      </c>
      <c r="O69" s="126" t="n">
        <v>0.25</v>
      </c>
      <c r="P69" s="114"/>
      <c r="Q69" s="126" t="n">
        <f aca="false">M69+J69+G69</f>
        <v>11</v>
      </c>
      <c r="R69" s="126" t="n">
        <f aca="false">N69+K69+H69</f>
        <v>11</v>
      </c>
      <c r="S69" s="126" t="n">
        <f aca="false">O69+L69+I69</f>
        <v>7.25</v>
      </c>
      <c r="T69" s="127"/>
      <c r="U69" s="5" t="n">
        <f aca="false">A70-A69</f>
        <v>31</v>
      </c>
      <c r="V69" s="128" t="n">
        <f aca="false">CHOOSE(F$3,A70+24,A69)</f>
        <v>39083</v>
      </c>
      <c r="W69" s="5" t="n">
        <f aca="false">V69-C$3</f>
        <v>1852</v>
      </c>
      <c r="X69" s="124" t="n">
        <f aca="false">VLOOKUP($A69,Table,MATCH(X$4,Curves,0))</f>
        <v>2</v>
      </c>
      <c r="Y69" s="129" t="n">
        <f aca="false">1/(1+CHOOSE(F$3,(X70+($K$3/10000))/2,(X69+($K$3/10000))/2))^(2*W69/365.25)</f>
        <v>0.000885635507023727</v>
      </c>
      <c r="Z69" s="5" t="n">
        <f aca="false">IF(AND(mthbeg&lt;=A69,mthend&gt;=A69),1,0)</f>
        <v>0</v>
      </c>
      <c r="AA69" s="5" t="n">
        <f aca="false">U69*Z69</f>
        <v>0</v>
      </c>
      <c r="AC69" s="115" t="n">
        <f aca="false">IF(G62=2,F69*(S69-Q69),F69*(Q69-S69))</f>
        <v>0</v>
      </c>
      <c r="AE69" s="116" t="n">
        <f aca="false">IF($G$3=1,F69*(R69-Q69),F69*(Q69-R69))</f>
        <v>0</v>
      </c>
      <c r="AG69" s="116" t="n">
        <f aca="false">AC69+AE69</f>
        <v>0</v>
      </c>
    </row>
    <row r="70" customFormat="false" ht="12.75" hidden="false" customHeight="false" outlineLevel="0" collapsed="false">
      <c r="A70" s="120" t="n">
        <f aca="false">EDATE(A69,1)</f>
        <v>39114</v>
      </c>
      <c r="B70" s="121" t="e">
        <f aca="false">VLOOKUP(A70,'Inputs-Summary'!$A$32:$E$41,4,FALSE())</f>
        <v>#N/A</v>
      </c>
      <c r="C70" s="122"/>
      <c r="D70" s="123" t="e">
        <f aca="false">B70+C70</f>
        <v>#N/A</v>
      </c>
      <c r="E70" s="111" t="n">
        <f aca="false">IF(Z70=0,0,IF(AND(Z70=1,$H$3=1),D70*U70,IF($H$3=2,D70,"N/A")))</f>
        <v>0</v>
      </c>
      <c r="F70" s="111" t="n">
        <f aca="false">E70*Y70</f>
        <v>0</v>
      </c>
      <c r="G70" s="124" t="n">
        <f aca="false">VLOOKUP($A70,Table,MATCH(G$4,Curves,0))</f>
        <v>3</v>
      </c>
      <c r="H70" s="125" t="n">
        <f aca="false">G70+$H$7</f>
        <v>3</v>
      </c>
      <c r="I70" s="124" t="n">
        <f aca="false">H70</f>
        <v>3</v>
      </c>
      <c r="J70" s="124" t="n">
        <f aca="false">VLOOKUP($A70,Table,MATCH(J$4,Curves,0))</f>
        <v>4</v>
      </c>
      <c r="K70" s="125" t="n">
        <f aca="false">J70+$K$7</f>
        <v>4</v>
      </c>
      <c r="L70" s="126" t="n">
        <f aca="false">K70</f>
        <v>4</v>
      </c>
      <c r="M70" s="124" t="n">
        <f aca="false">VLOOKUP($A70,Table,MATCH(M$4,Curves,0))</f>
        <v>4</v>
      </c>
      <c r="N70" s="125" t="n">
        <f aca="false">M70+$N$7</f>
        <v>4</v>
      </c>
      <c r="O70" s="126" t="n">
        <v>0.25</v>
      </c>
      <c r="P70" s="114"/>
      <c r="Q70" s="126" t="n">
        <f aca="false">M70+J70+G70</f>
        <v>11</v>
      </c>
      <c r="R70" s="126" t="n">
        <f aca="false">N70+K70+H70</f>
        <v>11</v>
      </c>
      <c r="S70" s="126" t="n">
        <f aca="false">O70+L70+I70</f>
        <v>7.25</v>
      </c>
      <c r="T70" s="127"/>
      <c r="U70" s="5" t="n">
        <f aca="false">A71-A70</f>
        <v>28</v>
      </c>
      <c r="V70" s="128" t="n">
        <f aca="false">CHOOSE(F$3,A71+24,A70)</f>
        <v>39114</v>
      </c>
      <c r="W70" s="5" t="n">
        <f aca="false">V70-C$3</f>
        <v>1883</v>
      </c>
      <c r="X70" s="124" t="n">
        <f aca="false">VLOOKUP($A70,Table,MATCH(X$4,Curves,0))</f>
        <v>2</v>
      </c>
      <c r="Y70" s="129" t="n">
        <f aca="false">1/(1+CHOOSE(F$3,(X71+($K$3/10000))/2,(X70+($K$3/10000))/2))^(2*W70/365.25)</f>
        <v>0.000787328834451561</v>
      </c>
      <c r="Z70" s="5" t="n">
        <f aca="false">IF(AND(mthbeg&lt;=A70,mthend&gt;=A70),1,0)</f>
        <v>0</v>
      </c>
      <c r="AA70" s="5" t="n">
        <f aca="false">U70*Z70</f>
        <v>0</v>
      </c>
      <c r="AC70" s="115" t="n">
        <f aca="false">IF(G63=2,F70*(S70-Q70),F70*(Q70-S70))</f>
        <v>0</v>
      </c>
      <c r="AE70" s="116" t="n">
        <f aca="false">IF($G$3=1,F70*(R70-Q70),F70*(Q70-R70))</f>
        <v>0</v>
      </c>
      <c r="AG70" s="116" t="n">
        <f aca="false">AC70+AE70</f>
        <v>0</v>
      </c>
    </row>
    <row r="71" customFormat="false" ht="12.75" hidden="false" customHeight="false" outlineLevel="0" collapsed="false">
      <c r="A71" s="120" t="n">
        <f aca="false">EDATE(A70,1)</f>
        <v>39142</v>
      </c>
      <c r="B71" s="121" t="e">
        <f aca="false">VLOOKUP(A71,'Inputs-Summary'!$A$32:$E$41,4,FALSE())</f>
        <v>#N/A</v>
      </c>
      <c r="C71" s="122"/>
      <c r="D71" s="123" t="e">
        <f aca="false">B71+C71</f>
        <v>#N/A</v>
      </c>
      <c r="E71" s="111" t="n">
        <f aca="false">IF(Z71=0,0,IF(AND(Z71=1,$H$3=1),D71*U71,IF($H$3=2,D71,"N/A")))</f>
        <v>0</v>
      </c>
      <c r="F71" s="111" t="n">
        <f aca="false">E71*Y71</f>
        <v>0</v>
      </c>
      <c r="G71" s="124" t="n">
        <f aca="false">VLOOKUP($A71,Table,MATCH(G$4,Curves,0))</f>
        <v>3</v>
      </c>
      <c r="H71" s="125" t="n">
        <f aca="false">G71+$H$7</f>
        <v>3</v>
      </c>
      <c r="I71" s="124" t="n">
        <f aca="false">H71</f>
        <v>3</v>
      </c>
      <c r="J71" s="124" t="n">
        <f aca="false">VLOOKUP($A71,Table,MATCH(J$4,Curves,0))</f>
        <v>4</v>
      </c>
      <c r="K71" s="125" t="n">
        <f aca="false">J71+$K$7</f>
        <v>4</v>
      </c>
      <c r="L71" s="126" t="n">
        <f aca="false">K71</f>
        <v>4</v>
      </c>
      <c r="M71" s="124" t="n">
        <f aca="false">VLOOKUP($A71,Table,MATCH(M$4,Curves,0))</f>
        <v>4</v>
      </c>
      <c r="N71" s="125" t="n">
        <f aca="false">M71+$N$7</f>
        <v>4</v>
      </c>
      <c r="O71" s="126" t="n">
        <v>0.25</v>
      </c>
      <c r="P71" s="114"/>
      <c r="Q71" s="126" t="n">
        <f aca="false">M71+J71+G71</f>
        <v>11</v>
      </c>
      <c r="R71" s="126" t="n">
        <f aca="false">N71+K71+H71</f>
        <v>11</v>
      </c>
      <c r="S71" s="126" t="n">
        <f aca="false">O71+L71+I71</f>
        <v>7.25</v>
      </c>
      <c r="T71" s="127"/>
      <c r="U71" s="5" t="n">
        <f aca="false">A72-A71</f>
        <v>31</v>
      </c>
      <c r="V71" s="128" t="n">
        <f aca="false">CHOOSE(F$3,A72+24,A71)</f>
        <v>39142</v>
      </c>
      <c r="W71" s="5" t="n">
        <f aca="false">V71-C$3</f>
        <v>1911</v>
      </c>
      <c r="X71" s="124" t="n">
        <f aca="false">VLOOKUP($A71,Table,MATCH(X$4,Curves,0))</f>
        <v>2</v>
      </c>
      <c r="Y71" s="129" t="n">
        <f aca="false">1/(1+CHOOSE(F$3,(X72+($K$3/10000))/2,(X71+($K$3/10000))/2))^(2*W71/365.25)</f>
        <v>0.000707949607263949</v>
      </c>
      <c r="Z71" s="5" t="n">
        <f aca="false">IF(AND(mthbeg&lt;=A71,mthend&gt;=A71),1,0)</f>
        <v>0</v>
      </c>
      <c r="AA71" s="5" t="n">
        <f aca="false">U71*Z71</f>
        <v>0</v>
      </c>
      <c r="AC71" s="115" t="n">
        <f aca="false">IF(G64=2,F71*(S71-Q71),F71*(Q71-S71))</f>
        <v>0</v>
      </c>
      <c r="AE71" s="116" t="n">
        <f aca="false">IF($G$3=1,F71*(R71-Q71),F71*(Q71-R71))</f>
        <v>0</v>
      </c>
      <c r="AG71" s="116" t="n">
        <f aca="false">AC71+AE71</f>
        <v>0</v>
      </c>
    </row>
    <row r="72" customFormat="false" ht="12.75" hidden="false" customHeight="false" outlineLevel="0" collapsed="false">
      <c r="A72" s="120" t="n">
        <f aca="false">EDATE(A71,1)</f>
        <v>39173</v>
      </c>
      <c r="B72" s="121" t="e">
        <f aca="false">VLOOKUP(A72,'Inputs-Summary'!$A$32:$E$41,4,FALSE())</f>
        <v>#N/A</v>
      </c>
      <c r="C72" s="122"/>
      <c r="D72" s="123" t="e">
        <f aca="false">B72+C72</f>
        <v>#N/A</v>
      </c>
      <c r="E72" s="111" t="n">
        <f aca="false">IF(Z72=0,0,IF(AND(Z72=1,$H$3=1),D72*U72,IF($H$3=2,D72,"N/A")))</f>
        <v>0</v>
      </c>
      <c r="F72" s="111" t="n">
        <f aca="false">E72*Y72</f>
        <v>0</v>
      </c>
      <c r="G72" s="124" t="n">
        <f aca="false">VLOOKUP($A72,Table,MATCH(G$4,Curves,0))</f>
        <v>3</v>
      </c>
      <c r="H72" s="125" t="n">
        <f aca="false">G72+$H$7</f>
        <v>3</v>
      </c>
      <c r="I72" s="124" t="n">
        <f aca="false">H72</f>
        <v>3</v>
      </c>
      <c r="J72" s="124" t="n">
        <f aca="false">VLOOKUP($A72,Table,MATCH(J$4,Curves,0))</f>
        <v>4</v>
      </c>
      <c r="K72" s="125" t="n">
        <f aca="false">J72+$K$7</f>
        <v>4</v>
      </c>
      <c r="L72" s="126" t="n">
        <f aca="false">K72</f>
        <v>4</v>
      </c>
      <c r="M72" s="124" t="n">
        <f aca="false">VLOOKUP($A72,Table,MATCH(M$4,Curves,0))</f>
        <v>4</v>
      </c>
      <c r="N72" s="125" t="n">
        <f aca="false">M72+$N$7</f>
        <v>4</v>
      </c>
      <c r="O72" s="126" t="n">
        <v>0.25</v>
      </c>
      <c r="P72" s="114"/>
      <c r="Q72" s="126" t="n">
        <f aca="false">M72+J72+G72</f>
        <v>11</v>
      </c>
      <c r="R72" s="126" t="n">
        <f aca="false">N72+K72+H72</f>
        <v>11</v>
      </c>
      <c r="S72" s="126" t="n">
        <f aca="false">O72+L72+I72</f>
        <v>7.25</v>
      </c>
      <c r="T72" s="127"/>
      <c r="U72" s="5" t="n">
        <f aca="false">A73-A72</f>
        <v>30</v>
      </c>
      <c r="V72" s="128" t="n">
        <f aca="false">CHOOSE(F$3,A73+24,A72)</f>
        <v>39173</v>
      </c>
      <c r="W72" s="5" t="n">
        <f aca="false">V72-C$3</f>
        <v>1942</v>
      </c>
      <c r="X72" s="124" t="n">
        <f aca="false">VLOOKUP($A72,Table,MATCH(X$4,Curves,0))</f>
        <v>2</v>
      </c>
      <c r="Y72" s="129" t="n">
        <f aca="false">1/(1+CHOOSE(F$3,(X73+($K$3/10000))/2,(X72+($K$3/10000))/2))^(2*W72/365.25)</f>
        <v>0.000629366296537423</v>
      </c>
      <c r="Z72" s="5" t="n">
        <f aca="false">IF(AND(mthbeg&lt;=A72,mthend&gt;=A72),1,0)</f>
        <v>0</v>
      </c>
      <c r="AA72" s="5" t="n">
        <f aca="false">U72*Z72</f>
        <v>0</v>
      </c>
      <c r="AC72" s="115" t="n">
        <f aca="false">IF(G65=2,F72*(S72-Q72),F72*(Q72-S72))</f>
        <v>0</v>
      </c>
      <c r="AE72" s="116" t="n">
        <f aca="false">IF($G$3=1,F72*(R72-Q72),F72*(Q72-R72))</f>
        <v>0</v>
      </c>
      <c r="AG72" s="116" t="n">
        <f aca="false">AC72+AE72</f>
        <v>0</v>
      </c>
    </row>
    <row r="73" customFormat="false" ht="12.75" hidden="false" customHeight="false" outlineLevel="0" collapsed="false">
      <c r="A73" s="120" t="n">
        <f aca="false">EDATE(A72,1)</f>
        <v>39203</v>
      </c>
      <c r="B73" s="121" t="e">
        <f aca="false">VLOOKUP(A73,'Inputs-Summary'!$A$32:$E$41,4,FALSE())</f>
        <v>#N/A</v>
      </c>
      <c r="C73" s="122"/>
      <c r="D73" s="123" t="e">
        <f aca="false">B73+C73</f>
        <v>#N/A</v>
      </c>
      <c r="E73" s="111" t="n">
        <f aca="false">IF(Z73=0,0,IF(AND(Z73=1,$H$3=1),D73*U73,IF($H$3=2,D73,"N/A")))</f>
        <v>0</v>
      </c>
      <c r="F73" s="111" t="n">
        <f aca="false">E73*Y73</f>
        <v>0</v>
      </c>
      <c r="G73" s="124" t="n">
        <f aca="false">VLOOKUP($A73,Table,MATCH(G$4,Curves,0))</f>
        <v>3</v>
      </c>
      <c r="H73" s="125" t="n">
        <f aca="false">G73+$H$7</f>
        <v>3</v>
      </c>
      <c r="I73" s="124" t="n">
        <f aca="false">H73</f>
        <v>3</v>
      </c>
      <c r="J73" s="124" t="n">
        <f aca="false">VLOOKUP($A73,Table,MATCH(J$4,Curves,0))</f>
        <v>4</v>
      </c>
      <c r="K73" s="125" t="n">
        <f aca="false">J73+$K$7</f>
        <v>4</v>
      </c>
      <c r="L73" s="126" t="n">
        <f aca="false">K73</f>
        <v>4</v>
      </c>
      <c r="M73" s="124" t="n">
        <f aca="false">VLOOKUP($A73,Table,MATCH(M$4,Curves,0))</f>
        <v>4</v>
      </c>
      <c r="N73" s="125" t="n">
        <f aca="false">M73+$N$7</f>
        <v>4</v>
      </c>
      <c r="O73" s="126" t="n">
        <v>0.25</v>
      </c>
      <c r="P73" s="114"/>
      <c r="Q73" s="126" t="n">
        <f aca="false">M73+J73+G73</f>
        <v>11</v>
      </c>
      <c r="R73" s="126" t="n">
        <f aca="false">N73+K73+H73</f>
        <v>11</v>
      </c>
      <c r="S73" s="126" t="n">
        <f aca="false">O73+L73+I73</f>
        <v>7.25</v>
      </c>
      <c r="T73" s="127"/>
      <c r="U73" s="5" t="n">
        <f aca="false">A74-A73</f>
        <v>31</v>
      </c>
      <c r="V73" s="128" t="n">
        <f aca="false">CHOOSE(F$3,A74+24,A73)</f>
        <v>39203</v>
      </c>
      <c r="W73" s="5" t="n">
        <f aca="false">V73-C$3</f>
        <v>1972</v>
      </c>
      <c r="X73" s="124" t="n">
        <f aca="false">VLOOKUP($A73,Table,MATCH(X$4,Curves,0))</f>
        <v>2</v>
      </c>
      <c r="Y73" s="129" t="n">
        <f aca="false">1/(1+CHOOSE(F$3,(X74+($K$3/10000))/2,(X73+($K$3/10000))/2))^(2*W73/365.25)</f>
        <v>0.000561633454774402</v>
      </c>
      <c r="Z73" s="5" t="n">
        <f aca="false">IF(AND(mthbeg&lt;=A73,mthend&gt;=A73),1,0)</f>
        <v>0</v>
      </c>
      <c r="AA73" s="5" t="n">
        <f aca="false">U73*Z73</f>
        <v>0</v>
      </c>
      <c r="AC73" s="115" t="n">
        <f aca="false">IF(G66=2,F73*(S73-Q73),F73*(Q73-S73))</f>
        <v>0</v>
      </c>
      <c r="AE73" s="116" t="n">
        <f aca="false">IF($G$3=1,F73*(R73-Q73),F73*(Q73-R73))</f>
        <v>0</v>
      </c>
      <c r="AG73" s="116" t="n">
        <f aca="false">AC73+AE73</f>
        <v>0</v>
      </c>
    </row>
    <row r="74" customFormat="false" ht="12.75" hidden="false" customHeight="false" outlineLevel="0" collapsed="false">
      <c r="A74" s="120" t="n">
        <f aca="false">EDATE(A73,1)</f>
        <v>39234</v>
      </c>
      <c r="B74" s="121" t="e">
        <f aca="false">VLOOKUP(A74,'Inputs-Summary'!$A$32:$E$41,4,FALSE())</f>
        <v>#N/A</v>
      </c>
      <c r="C74" s="122"/>
      <c r="D74" s="123" t="e">
        <f aca="false">B74+C74</f>
        <v>#N/A</v>
      </c>
      <c r="E74" s="111" t="n">
        <f aca="false">IF(Z74=0,0,IF(AND(Z74=1,$H$3=1),D74*U74,IF($H$3=2,D74,"N/A")))</f>
        <v>0</v>
      </c>
      <c r="F74" s="111" t="n">
        <f aca="false">E74*Y74</f>
        <v>0</v>
      </c>
      <c r="G74" s="124" t="n">
        <f aca="false">VLOOKUP($A74,Table,MATCH(G$4,Curves,0))</f>
        <v>3</v>
      </c>
      <c r="H74" s="125" t="n">
        <f aca="false">G74+$H$7</f>
        <v>3</v>
      </c>
      <c r="I74" s="124" t="n">
        <f aca="false">H74</f>
        <v>3</v>
      </c>
      <c r="J74" s="124" t="n">
        <f aca="false">VLOOKUP($A74,Table,MATCH(J$4,Curves,0))</f>
        <v>4</v>
      </c>
      <c r="K74" s="125" t="n">
        <f aca="false">J74+$K$7</f>
        <v>4</v>
      </c>
      <c r="L74" s="126" t="n">
        <f aca="false">K74</f>
        <v>4</v>
      </c>
      <c r="M74" s="124" t="n">
        <f aca="false">VLOOKUP($A74,Table,MATCH(M$4,Curves,0))</f>
        <v>4</v>
      </c>
      <c r="N74" s="125" t="n">
        <f aca="false">M74+$N$7</f>
        <v>4</v>
      </c>
      <c r="O74" s="126" t="n">
        <v>0.25</v>
      </c>
      <c r="P74" s="114"/>
      <c r="Q74" s="126" t="n">
        <f aca="false">M74+J74+G74</f>
        <v>11</v>
      </c>
      <c r="R74" s="126" t="n">
        <f aca="false">N74+K74+H74</f>
        <v>11</v>
      </c>
      <c r="S74" s="126" t="n">
        <f aca="false">O74+L74+I74</f>
        <v>7.25</v>
      </c>
      <c r="T74" s="127"/>
      <c r="U74" s="5" t="n">
        <f aca="false">A75-A74</f>
        <v>30</v>
      </c>
      <c r="V74" s="128" t="n">
        <f aca="false">CHOOSE(F$3,A75+24,A74)</f>
        <v>39234</v>
      </c>
      <c r="W74" s="5" t="n">
        <f aca="false">V74-C$3</f>
        <v>2003</v>
      </c>
      <c r="X74" s="124" t="n">
        <f aca="false">VLOOKUP($A74,Table,MATCH(X$4,Curves,0))</f>
        <v>2</v>
      </c>
      <c r="Y74" s="129" t="n">
        <f aca="false">1/(1+CHOOSE(F$3,(X75+($K$3/10000))/2,(X74+($K$3/10000))/2))^(2*W74/365.25)</f>
        <v>0.00049929142387545</v>
      </c>
      <c r="Z74" s="5" t="n">
        <f aca="false">IF(AND(mthbeg&lt;=A74,mthend&gt;=A74),1,0)</f>
        <v>0</v>
      </c>
      <c r="AA74" s="5" t="n">
        <f aca="false">U74*Z74</f>
        <v>0</v>
      </c>
      <c r="AC74" s="115" t="n">
        <f aca="false">IF(G67=2,F74*(S74-Q74),F74*(Q74-S74))</f>
        <v>0</v>
      </c>
      <c r="AE74" s="116" t="n">
        <f aca="false">IF($G$3=1,F74*(R74-Q74),F74*(Q74-R74))</f>
        <v>0</v>
      </c>
      <c r="AG74" s="116" t="n">
        <f aca="false">AC74+AE74</f>
        <v>0</v>
      </c>
    </row>
    <row r="75" customFormat="false" ht="12.75" hidden="false" customHeight="false" outlineLevel="0" collapsed="false">
      <c r="A75" s="120" t="n">
        <f aca="false">EDATE(A74,1)</f>
        <v>39264</v>
      </c>
      <c r="B75" s="121" t="e">
        <f aca="false">VLOOKUP(A75,'Inputs-Summary'!$A$32:$E$41,4,FALSE())</f>
        <v>#N/A</v>
      </c>
      <c r="C75" s="122"/>
      <c r="D75" s="123" t="e">
        <f aca="false">B75+C75</f>
        <v>#N/A</v>
      </c>
      <c r="E75" s="111" t="n">
        <f aca="false">IF(Z75=0,0,IF(AND(Z75=1,$H$3=1),D75*U75,IF($H$3=2,D75,"N/A")))</f>
        <v>0</v>
      </c>
      <c r="F75" s="111" t="n">
        <f aca="false">E75*Y75</f>
        <v>0</v>
      </c>
      <c r="G75" s="124" t="n">
        <f aca="false">VLOOKUP($A75,Table,MATCH(G$4,Curves,0))</f>
        <v>3</v>
      </c>
      <c r="H75" s="125" t="n">
        <f aca="false">G75+$H$7</f>
        <v>3</v>
      </c>
      <c r="I75" s="124" t="n">
        <f aca="false">H75</f>
        <v>3</v>
      </c>
      <c r="J75" s="124" t="n">
        <f aca="false">VLOOKUP($A75,Table,MATCH(J$4,Curves,0))</f>
        <v>4</v>
      </c>
      <c r="K75" s="125" t="n">
        <f aca="false">J75+$K$7</f>
        <v>4</v>
      </c>
      <c r="L75" s="126" t="n">
        <f aca="false">K75</f>
        <v>4</v>
      </c>
      <c r="M75" s="124" t="n">
        <f aca="false">VLOOKUP($A75,Table,MATCH(M$4,Curves,0))</f>
        <v>4</v>
      </c>
      <c r="N75" s="125" t="n">
        <f aca="false">M75+$N$7</f>
        <v>4</v>
      </c>
      <c r="O75" s="126" t="n">
        <v>0.25</v>
      </c>
      <c r="P75" s="114"/>
      <c r="Q75" s="126" t="n">
        <f aca="false">M75+J75+G75</f>
        <v>11</v>
      </c>
      <c r="R75" s="126" t="n">
        <f aca="false">N75+K75+H75</f>
        <v>11</v>
      </c>
      <c r="S75" s="126" t="n">
        <f aca="false">O75+L75+I75</f>
        <v>7.25</v>
      </c>
      <c r="T75" s="127"/>
      <c r="U75" s="5" t="n">
        <f aca="false">A76-A75</f>
        <v>31</v>
      </c>
      <c r="V75" s="128" t="n">
        <f aca="false">CHOOSE(F$3,A76+24,A75)</f>
        <v>39264</v>
      </c>
      <c r="W75" s="5" t="n">
        <f aca="false">V75-C$3</f>
        <v>2033</v>
      </c>
      <c r="X75" s="124" t="n">
        <f aca="false">VLOOKUP($A75,Table,MATCH(X$4,Curves,0))</f>
        <v>2</v>
      </c>
      <c r="Y75" s="129" t="n">
        <f aca="false">1/(1+CHOOSE(F$3,(X76+($K$3/10000))/2,(X75+($K$3/10000))/2))^(2*W75/365.25)</f>
        <v>0.000445557331037864</v>
      </c>
      <c r="Z75" s="5" t="n">
        <f aca="false">IF(AND(mthbeg&lt;=A75,mthend&gt;=A75),1,0)</f>
        <v>0</v>
      </c>
      <c r="AA75" s="5" t="n">
        <f aca="false">U75*Z75</f>
        <v>0</v>
      </c>
      <c r="AC75" s="115" t="n">
        <f aca="false">IF(G68=2,F75*(S75-Q75),F75*(Q75-S75))</f>
        <v>0</v>
      </c>
      <c r="AE75" s="116" t="n">
        <f aca="false">IF($G$3=1,F75*(R75-Q75),F75*(Q75-R75))</f>
        <v>0</v>
      </c>
      <c r="AG75" s="116" t="n">
        <f aca="false">AC75+AE75</f>
        <v>0</v>
      </c>
    </row>
    <row r="76" customFormat="false" ht="12.75" hidden="false" customHeight="false" outlineLevel="0" collapsed="false">
      <c r="A76" s="120" t="n">
        <f aca="false">EDATE(A75,1)</f>
        <v>39295</v>
      </c>
      <c r="B76" s="121" t="e">
        <f aca="false">VLOOKUP(A76,'Inputs-Summary'!$A$32:$E$41,4,FALSE())</f>
        <v>#N/A</v>
      </c>
      <c r="C76" s="122"/>
      <c r="D76" s="123" t="e">
        <f aca="false">B76+C76</f>
        <v>#N/A</v>
      </c>
      <c r="E76" s="111" t="n">
        <f aca="false">IF(Z76=0,0,IF(AND(Z76=1,$H$3=1),D76*U76,IF($H$3=2,D76,"N/A")))</f>
        <v>0</v>
      </c>
      <c r="F76" s="111" t="n">
        <f aca="false">E76*Y76</f>
        <v>0</v>
      </c>
      <c r="G76" s="124" t="n">
        <f aca="false">VLOOKUP($A76,Table,MATCH(G$4,Curves,0))</f>
        <v>3</v>
      </c>
      <c r="H76" s="125" t="n">
        <f aca="false">G76+$H$7</f>
        <v>3</v>
      </c>
      <c r="I76" s="124" t="n">
        <f aca="false">H76</f>
        <v>3</v>
      </c>
      <c r="J76" s="124" t="n">
        <f aca="false">VLOOKUP($A76,Table,MATCH(J$4,Curves,0))</f>
        <v>4</v>
      </c>
      <c r="K76" s="125" t="n">
        <f aca="false">J76+$K$7</f>
        <v>4</v>
      </c>
      <c r="L76" s="126" t="n">
        <f aca="false">K76</f>
        <v>4</v>
      </c>
      <c r="M76" s="124" t="n">
        <f aca="false">VLOOKUP($A76,Table,MATCH(M$4,Curves,0))</f>
        <v>4</v>
      </c>
      <c r="N76" s="125" t="n">
        <f aca="false">M76+$N$7</f>
        <v>4</v>
      </c>
      <c r="O76" s="126" t="n">
        <v>0.25</v>
      </c>
      <c r="P76" s="114"/>
      <c r="Q76" s="126" t="n">
        <f aca="false">M76+J76+G76</f>
        <v>11</v>
      </c>
      <c r="R76" s="126" t="n">
        <f aca="false">N76+K76+H76</f>
        <v>11</v>
      </c>
      <c r="S76" s="126" t="n">
        <f aca="false">O76+L76+I76</f>
        <v>7.25</v>
      </c>
      <c r="T76" s="127"/>
      <c r="U76" s="5" t="n">
        <f aca="false">A77-A76</f>
        <v>31</v>
      </c>
      <c r="V76" s="128" t="n">
        <f aca="false">CHOOSE(F$3,A77+24,A76)</f>
        <v>39295</v>
      </c>
      <c r="W76" s="5" t="n">
        <f aca="false">V76-C$3</f>
        <v>2064</v>
      </c>
      <c r="X76" s="124" t="n">
        <f aca="false">VLOOKUP($A76,Table,MATCH(X$4,Curves,0))</f>
        <v>2</v>
      </c>
      <c r="Y76" s="129" t="n">
        <f aca="false">1/(1+CHOOSE(F$3,(X77+($K$3/10000))/2,(X76+($K$3/10000))/2))^(2*W76/365.25)</f>
        <v>0.000396099898146915</v>
      </c>
      <c r="Z76" s="5" t="n">
        <f aca="false">IF(AND(mthbeg&lt;=A76,mthend&gt;=A76),1,0)</f>
        <v>0</v>
      </c>
      <c r="AA76" s="5" t="n">
        <f aca="false">U76*Z76</f>
        <v>0</v>
      </c>
      <c r="AC76" s="115" t="n">
        <f aca="false">IF(G69=2,F76*(S76-Q76),F76*(Q76-S76))</f>
        <v>0</v>
      </c>
      <c r="AE76" s="116" t="n">
        <f aca="false">IF($G$3=1,F76*(R76-Q76),F76*(Q76-R76))</f>
        <v>0</v>
      </c>
      <c r="AG76" s="116" t="n">
        <f aca="false">AC76+AE76</f>
        <v>0</v>
      </c>
    </row>
    <row r="77" customFormat="false" ht="12.75" hidden="false" customHeight="false" outlineLevel="0" collapsed="false">
      <c r="A77" s="120" t="n">
        <f aca="false">EDATE(A76,1)</f>
        <v>39326</v>
      </c>
      <c r="B77" s="121" t="e">
        <f aca="false">VLOOKUP(A77,'Inputs-Summary'!$A$32:$E$41,4,FALSE())</f>
        <v>#N/A</v>
      </c>
      <c r="C77" s="122"/>
      <c r="D77" s="123" t="e">
        <f aca="false">B77+C77</f>
        <v>#N/A</v>
      </c>
      <c r="E77" s="111" t="n">
        <f aca="false">IF(Z77=0,0,IF(AND(Z77=1,$H$3=1),D77*U77,IF($H$3=2,D77,"N/A")))</f>
        <v>0</v>
      </c>
      <c r="F77" s="111" t="n">
        <f aca="false">E77*Y77</f>
        <v>0</v>
      </c>
      <c r="G77" s="124" t="n">
        <f aca="false">VLOOKUP($A77,Table,MATCH(G$4,Curves,0))</f>
        <v>3</v>
      </c>
      <c r="H77" s="125" t="n">
        <f aca="false">G77+$H$7</f>
        <v>3</v>
      </c>
      <c r="I77" s="124" t="n">
        <f aca="false">H77</f>
        <v>3</v>
      </c>
      <c r="J77" s="124" t="n">
        <f aca="false">VLOOKUP($A77,Table,MATCH(J$4,Curves,0))</f>
        <v>4</v>
      </c>
      <c r="K77" s="125" t="n">
        <f aca="false">J77+$K$7</f>
        <v>4</v>
      </c>
      <c r="L77" s="126" t="n">
        <f aca="false">K77</f>
        <v>4</v>
      </c>
      <c r="M77" s="124" t="n">
        <f aca="false">VLOOKUP($A77,Table,MATCH(M$4,Curves,0))</f>
        <v>4</v>
      </c>
      <c r="N77" s="125" t="n">
        <f aca="false">M77+$N$7</f>
        <v>4</v>
      </c>
      <c r="O77" s="126" t="n">
        <v>0.25</v>
      </c>
      <c r="P77" s="114"/>
      <c r="Q77" s="126" t="n">
        <f aca="false">M77+J77+G77</f>
        <v>11</v>
      </c>
      <c r="R77" s="126" t="n">
        <f aca="false">N77+K77+H77</f>
        <v>11</v>
      </c>
      <c r="S77" s="126" t="n">
        <f aca="false">O77+L77+I77</f>
        <v>7.25</v>
      </c>
      <c r="T77" s="127"/>
      <c r="U77" s="5" t="n">
        <f aca="false">A78-A77</f>
        <v>30</v>
      </c>
      <c r="V77" s="128" t="n">
        <f aca="false">CHOOSE(F$3,A78+24,A77)</f>
        <v>39326</v>
      </c>
      <c r="W77" s="5" t="n">
        <f aca="false">V77-C$3</f>
        <v>2095</v>
      </c>
      <c r="X77" s="124" t="n">
        <f aca="false">VLOOKUP($A77,Table,MATCH(X$4,Curves,0))</f>
        <v>2</v>
      </c>
      <c r="Y77" s="129" t="n">
        <f aca="false">1/(1+CHOOSE(F$3,(X78+($K$3/10000))/2,(X77+($K$3/10000))/2))^(2*W77/365.25)</f>
        <v>0.000352132303482767</v>
      </c>
      <c r="Z77" s="5" t="n">
        <f aca="false">IF(AND(mthbeg&lt;=A77,mthend&gt;=A77),1,0)</f>
        <v>0</v>
      </c>
      <c r="AA77" s="5" t="n">
        <f aca="false">U77*Z77</f>
        <v>0</v>
      </c>
      <c r="AC77" s="115" t="n">
        <f aca="false">IF(G70=2,F77*(S77-Q77),F77*(Q77-S77))</f>
        <v>0</v>
      </c>
      <c r="AE77" s="116" t="n">
        <f aca="false">IF($G$3=1,F77*(R77-Q77),F77*(Q77-R77))</f>
        <v>0</v>
      </c>
      <c r="AG77" s="116" t="n">
        <f aca="false">AC77+AE77</f>
        <v>0</v>
      </c>
    </row>
    <row r="78" customFormat="false" ht="12.75" hidden="false" customHeight="false" outlineLevel="0" collapsed="false">
      <c r="A78" s="120" t="n">
        <f aca="false">EDATE(A77,1)</f>
        <v>39356</v>
      </c>
      <c r="B78" s="121" t="e">
        <f aca="false">VLOOKUP(A78,'Inputs-Summary'!$A$32:$E$41,4,FALSE())</f>
        <v>#N/A</v>
      </c>
      <c r="C78" s="122"/>
      <c r="D78" s="123" t="e">
        <f aca="false">B78+C78</f>
        <v>#N/A</v>
      </c>
      <c r="E78" s="111" t="n">
        <f aca="false">IF(Z78=0,0,IF(AND(Z78=1,$H$3=1),D78*U78,IF($H$3=2,D78,"N/A")))</f>
        <v>0</v>
      </c>
      <c r="F78" s="111" t="n">
        <f aca="false">E78*Y78</f>
        <v>0</v>
      </c>
      <c r="G78" s="124" t="n">
        <f aca="false">VLOOKUP($A78,Table,MATCH(G$4,Curves,0))</f>
        <v>3</v>
      </c>
      <c r="H78" s="125" t="n">
        <f aca="false">G78+$H$7</f>
        <v>3</v>
      </c>
      <c r="I78" s="124" t="n">
        <f aca="false">H78</f>
        <v>3</v>
      </c>
      <c r="J78" s="124" t="n">
        <f aca="false">VLOOKUP($A78,Table,MATCH(J$4,Curves,0))</f>
        <v>4</v>
      </c>
      <c r="K78" s="125" t="n">
        <f aca="false">J78+$K$7</f>
        <v>4</v>
      </c>
      <c r="L78" s="126" t="n">
        <f aca="false">K78</f>
        <v>4</v>
      </c>
      <c r="M78" s="124" t="n">
        <f aca="false">VLOOKUP($A78,Table,MATCH(M$4,Curves,0))</f>
        <v>4</v>
      </c>
      <c r="N78" s="125" t="n">
        <f aca="false">M78+$N$7</f>
        <v>4</v>
      </c>
      <c r="O78" s="126" t="n">
        <v>0.25</v>
      </c>
      <c r="P78" s="114"/>
      <c r="Q78" s="126" t="n">
        <f aca="false">M78+J78+G78</f>
        <v>11</v>
      </c>
      <c r="R78" s="126" t="n">
        <f aca="false">N78+K78+H78</f>
        <v>11</v>
      </c>
      <c r="S78" s="126" t="n">
        <f aca="false">O78+L78+I78</f>
        <v>7.25</v>
      </c>
      <c r="T78" s="127"/>
      <c r="U78" s="5" t="n">
        <f aca="false">A79-A78</f>
        <v>31</v>
      </c>
      <c r="V78" s="128" t="n">
        <f aca="false">CHOOSE(F$3,A79+24,A78)</f>
        <v>39356</v>
      </c>
      <c r="W78" s="5" t="n">
        <f aca="false">V78-C$3</f>
        <v>2125</v>
      </c>
      <c r="X78" s="124" t="n">
        <f aca="false">VLOOKUP($A78,Table,MATCH(X$4,Curves,0))</f>
        <v>2</v>
      </c>
      <c r="Y78" s="129" t="n">
        <f aca="false">1/(1+CHOOSE(F$3,(X79+($K$3/10000))/2,(X78+($K$3/10000))/2))^(2*W78/365.25)</f>
        <v>0.000314235578280501</v>
      </c>
      <c r="Z78" s="5" t="n">
        <f aca="false">IF(AND(mthbeg&lt;=A78,mthend&gt;=A78),1,0)</f>
        <v>0</v>
      </c>
      <c r="AA78" s="5" t="n">
        <f aca="false">U78*Z78</f>
        <v>0</v>
      </c>
      <c r="AC78" s="115" t="n">
        <f aca="false">IF(G71=2,F78*(S78-Q78),F78*(Q78-S78))</f>
        <v>0</v>
      </c>
      <c r="AE78" s="116" t="n">
        <f aca="false">IF($G$3=1,F78*(R78-Q78),F78*(Q78-R78))</f>
        <v>0</v>
      </c>
      <c r="AG78" s="116" t="n">
        <f aca="false">AC78+AE78</f>
        <v>0</v>
      </c>
    </row>
    <row r="79" customFormat="false" ht="12.75" hidden="false" customHeight="false" outlineLevel="0" collapsed="false">
      <c r="A79" s="120" t="n">
        <f aca="false">EDATE(A78,1)</f>
        <v>39387</v>
      </c>
      <c r="B79" s="121" t="e">
        <f aca="false">VLOOKUP(A79,'Inputs-Summary'!$A$32:$E$41,4,FALSE())</f>
        <v>#N/A</v>
      </c>
      <c r="C79" s="122"/>
      <c r="D79" s="123" t="e">
        <f aca="false">B79+C79</f>
        <v>#N/A</v>
      </c>
      <c r="E79" s="111" t="n">
        <f aca="false">IF(Z79=0,0,IF(AND(Z79=1,$H$3=1),D79*U79,IF($H$3=2,D79,"N/A")))</f>
        <v>0</v>
      </c>
      <c r="F79" s="111" t="n">
        <f aca="false">E79*Y79</f>
        <v>0</v>
      </c>
      <c r="G79" s="124" t="n">
        <f aca="false">VLOOKUP($A79,Table,MATCH(G$4,Curves,0))</f>
        <v>3</v>
      </c>
      <c r="H79" s="125" t="n">
        <f aca="false">G79+$H$7</f>
        <v>3</v>
      </c>
      <c r="I79" s="124" t="n">
        <f aca="false">H79</f>
        <v>3</v>
      </c>
      <c r="J79" s="124" t="n">
        <f aca="false">VLOOKUP($A79,Table,MATCH(J$4,Curves,0))</f>
        <v>4</v>
      </c>
      <c r="K79" s="125" t="n">
        <f aca="false">J79+$K$7</f>
        <v>4</v>
      </c>
      <c r="L79" s="126" t="n">
        <f aca="false">K79</f>
        <v>4</v>
      </c>
      <c r="M79" s="124" t="n">
        <f aca="false">VLOOKUP($A79,Table,MATCH(M$4,Curves,0))</f>
        <v>4</v>
      </c>
      <c r="N79" s="125" t="n">
        <f aca="false">M79+$N$7</f>
        <v>4</v>
      </c>
      <c r="O79" s="126" t="n">
        <v>0.25</v>
      </c>
      <c r="P79" s="114"/>
      <c r="Q79" s="126" t="n">
        <f aca="false">M79+J79+G79</f>
        <v>11</v>
      </c>
      <c r="R79" s="126" t="n">
        <f aca="false">N79+K79+H79</f>
        <v>11</v>
      </c>
      <c r="S79" s="126" t="n">
        <f aca="false">O79+L79+I79</f>
        <v>7.25</v>
      </c>
      <c r="T79" s="127"/>
      <c r="U79" s="5" t="n">
        <f aca="false">A80-A79</f>
        <v>30</v>
      </c>
      <c r="V79" s="128" t="n">
        <f aca="false">CHOOSE(F$3,A80+24,A79)</f>
        <v>39387</v>
      </c>
      <c r="W79" s="5" t="n">
        <f aca="false">V79-C$3</f>
        <v>2156</v>
      </c>
      <c r="X79" s="124" t="n">
        <f aca="false">VLOOKUP($A79,Table,MATCH(X$4,Curves,0))</f>
        <v>2</v>
      </c>
      <c r="Y79" s="129" t="n">
        <f aca="false">1/(1+CHOOSE(F$3,(X80+($K$3/10000))/2,(X79+($K$3/10000))/2))^(2*W79/365.25)</f>
        <v>0.000279355027693318</v>
      </c>
      <c r="Z79" s="5" t="n">
        <f aca="false">IF(AND(mthbeg&lt;=A79,mthend&gt;=A79),1,0)</f>
        <v>0</v>
      </c>
      <c r="AA79" s="5" t="n">
        <f aca="false">U79*Z79</f>
        <v>0</v>
      </c>
      <c r="AC79" s="115" t="n">
        <f aca="false">IF(G72=2,F79*(S79-Q79),F79*(Q79-S79))</f>
        <v>0</v>
      </c>
      <c r="AE79" s="116" t="n">
        <f aca="false">IF($G$3=1,F79*(R79-Q79),F79*(Q79-R79))</f>
        <v>0</v>
      </c>
      <c r="AG79" s="116" t="n">
        <f aca="false">AC79+AE79</f>
        <v>0</v>
      </c>
    </row>
    <row r="80" customFormat="false" ht="12.75" hidden="false" customHeight="false" outlineLevel="0" collapsed="false">
      <c r="A80" s="120" t="n">
        <f aca="false">EDATE(A79,1)</f>
        <v>39417</v>
      </c>
      <c r="B80" s="121" t="e">
        <f aca="false">VLOOKUP(A80,'Inputs-Summary'!$A$32:$E$41,4,FALSE())</f>
        <v>#N/A</v>
      </c>
      <c r="C80" s="122"/>
      <c r="D80" s="123" t="e">
        <f aca="false">B80+C80</f>
        <v>#N/A</v>
      </c>
      <c r="E80" s="111" t="n">
        <f aca="false">IF(Z80=0,0,IF(AND(Z80=1,$H$3=1),D80*U80,IF($H$3=2,D80,"N/A")))</f>
        <v>0</v>
      </c>
      <c r="F80" s="111" t="n">
        <f aca="false">E80*Y80</f>
        <v>0</v>
      </c>
      <c r="G80" s="124" t="n">
        <f aca="false">VLOOKUP($A80,Table,MATCH(G$4,Curves,0))</f>
        <v>3</v>
      </c>
      <c r="H80" s="125" t="n">
        <f aca="false">G80+$H$7</f>
        <v>3</v>
      </c>
      <c r="I80" s="124" t="n">
        <f aca="false">H80</f>
        <v>3</v>
      </c>
      <c r="J80" s="124" t="n">
        <f aca="false">VLOOKUP($A80,Table,MATCH(J$4,Curves,0))</f>
        <v>4</v>
      </c>
      <c r="K80" s="125" t="n">
        <f aca="false">J80+$K$7</f>
        <v>4</v>
      </c>
      <c r="L80" s="126" t="n">
        <f aca="false">K80</f>
        <v>4</v>
      </c>
      <c r="M80" s="124" t="n">
        <f aca="false">VLOOKUP($A80,Table,MATCH(M$4,Curves,0))</f>
        <v>4</v>
      </c>
      <c r="N80" s="125" t="n">
        <f aca="false">M80+$N$7</f>
        <v>4</v>
      </c>
      <c r="O80" s="126" t="n">
        <v>0.25</v>
      </c>
      <c r="P80" s="114"/>
      <c r="Q80" s="126" t="n">
        <f aca="false">M80+J80+G80</f>
        <v>11</v>
      </c>
      <c r="R80" s="126" t="n">
        <f aca="false">N80+K80+H80</f>
        <v>11</v>
      </c>
      <c r="S80" s="126" t="n">
        <f aca="false">O80+L80+I80</f>
        <v>7.25</v>
      </c>
      <c r="T80" s="127"/>
      <c r="U80" s="5" t="n">
        <f aca="false">A81-A80</f>
        <v>31</v>
      </c>
      <c r="V80" s="128" t="n">
        <f aca="false">CHOOSE(F$3,A81+24,A80)</f>
        <v>39417</v>
      </c>
      <c r="W80" s="5" t="n">
        <f aca="false">V80-C$3</f>
        <v>2186</v>
      </c>
      <c r="X80" s="124" t="n">
        <f aca="false">VLOOKUP($A80,Table,MATCH(X$4,Curves,0))</f>
        <v>2</v>
      </c>
      <c r="Y80" s="129" t="n">
        <f aca="false">1/(1+CHOOSE(F$3,(X81+($K$3/10000))/2,(X80+($K$3/10000))/2))^(2*W80/365.25)</f>
        <v>0.000249290643898768</v>
      </c>
      <c r="Z80" s="5" t="n">
        <f aca="false">IF(AND(mthbeg&lt;=A80,mthend&gt;=A80),1,0)</f>
        <v>0</v>
      </c>
      <c r="AA80" s="5" t="n">
        <f aca="false">U80*Z80</f>
        <v>0</v>
      </c>
      <c r="AC80" s="115" t="n">
        <f aca="false">IF(G73=2,F80*(S80-Q80),F80*(Q80-S80))</f>
        <v>0</v>
      </c>
      <c r="AE80" s="116" t="n">
        <f aca="false">IF($G$3=1,F80*(R80-Q80),F80*(Q80-R80))</f>
        <v>0</v>
      </c>
      <c r="AG80" s="116" t="n">
        <f aca="false">AC80+AE80</f>
        <v>0</v>
      </c>
    </row>
    <row r="81" customFormat="false" ht="12.75" hidden="false" customHeight="false" outlineLevel="0" collapsed="false">
      <c r="A81" s="120" t="n">
        <f aca="false">EDATE(A80,1)</f>
        <v>39448</v>
      </c>
      <c r="B81" s="121" t="e">
        <f aca="false">VLOOKUP(A81,'Inputs-Summary'!$A$32:$E$41,4,FALSE())</f>
        <v>#N/A</v>
      </c>
      <c r="C81" s="122"/>
      <c r="D81" s="123" t="e">
        <f aca="false">B81+C81</f>
        <v>#N/A</v>
      </c>
      <c r="E81" s="111" t="n">
        <f aca="false">IF(Z81=0,0,IF(AND(Z81=1,$H$3=1),D81*U81,IF($H$3=2,D81,"N/A")))</f>
        <v>0</v>
      </c>
      <c r="F81" s="111" t="n">
        <f aca="false">E81*Y81</f>
        <v>0</v>
      </c>
      <c r="G81" s="124" t="n">
        <f aca="false">VLOOKUP($A81,Table,MATCH(G$4,Curves,0))</f>
        <v>3</v>
      </c>
      <c r="H81" s="125" t="n">
        <f aca="false">G81+$H$7</f>
        <v>3</v>
      </c>
      <c r="I81" s="124" t="n">
        <f aca="false">H81</f>
        <v>3</v>
      </c>
      <c r="J81" s="124" t="n">
        <f aca="false">VLOOKUP($A81,Table,MATCH(J$4,Curves,0))</f>
        <v>4</v>
      </c>
      <c r="K81" s="125" t="n">
        <f aca="false">J81+$K$7</f>
        <v>4</v>
      </c>
      <c r="L81" s="126" t="n">
        <f aca="false">K81</f>
        <v>4</v>
      </c>
      <c r="M81" s="124" t="n">
        <f aca="false">VLOOKUP($A81,Table,MATCH(M$4,Curves,0))</f>
        <v>4</v>
      </c>
      <c r="N81" s="125" t="n">
        <f aca="false">M81+$N$7</f>
        <v>4</v>
      </c>
      <c r="O81" s="126" t="n">
        <v>0.25</v>
      </c>
      <c r="P81" s="114"/>
      <c r="Q81" s="126" t="n">
        <f aca="false">M81+J81+G81</f>
        <v>11</v>
      </c>
      <c r="R81" s="126" t="n">
        <f aca="false">N81+K81+H81</f>
        <v>11</v>
      </c>
      <c r="S81" s="126" t="n">
        <f aca="false">O81+L81+I81</f>
        <v>7.25</v>
      </c>
      <c r="T81" s="127"/>
      <c r="U81" s="5" t="n">
        <f aca="false">A82-A81</f>
        <v>31</v>
      </c>
      <c r="V81" s="128" t="n">
        <f aca="false">CHOOSE(F$3,A82+24,A81)</f>
        <v>39448</v>
      </c>
      <c r="W81" s="5" t="n">
        <f aca="false">V81-C$3</f>
        <v>2217</v>
      </c>
      <c r="X81" s="124" t="n">
        <f aca="false">VLOOKUP($A81,Table,MATCH(X$4,Curves,0))</f>
        <v>2</v>
      </c>
      <c r="Y81" s="129" t="n">
        <f aca="false">1/(1+CHOOSE(F$3,(X82+($K$3/10000))/2,(X81+($K$3/10000))/2))^(2*W81/365.25)</f>
        <v>0.000221619063987277</v>
      </c>
      <c r="Z81" s="5" t="n">
        <f aca="false">IF(AND(mthbeg&lt;=A81,mthend&gt;=A81),1,0)</f>
        <v>0</v>
      </c>
      <c r="AA81" s="5" t="n">
        <f aca="false">U81*Z81</f>
        <v>0</v>
      </c>
      <c r="AC81" s="115" t="n">
        <f aca="false">IF(G74=2,F81*(S81-Q81),F81*(Q81-S81))</f>
        <v>0</v>
      </c>
      <c r="AE81" s="116" t="n">
        <f aca="false">IF($G$3=1,F81*(R81-Q81),F81*(Q81-R81))</f>
        <v>0</v>
      </c>
      <c r="AG81" s="116" t="n">
        <f aca="false">AC81+AE81</f>
        <v>0</v>
      </c>
    </row>
    <row r="82" customFormat="false" ht="12.75" hidden="false" customHeight="false" outlineLevel="0" collapsed="false">
      <c r="A82" s="120" t="n">
        <f aca="false">EDATE(A81,1)</f>
        <v>39479</v>
      </c>
      <c r="B82" s="121" t="e">
        <f aca="false">VLOOKUP(A82,'Inputs-Summary'!$A$32:$E$41,4,FALSE())</f>
        <v>#N/A</v>
      </c>
      <c r="C82" s="122"/>
      <c r="D82" s="123" t="e">
        <f aca="false">B82+C82</f>
        <v>#N/A</v>
      </c>
      <c r="E82" s="111" t="n">
        <f aca="false">IF(Z82=0,0,IF(AND(Z82=1,$H$3=1),D82*U82,IF($H$3=2,D82,"N/A")))</f>
        <v>0</v>
      </c>
      <c r="F82" s="111" t="n">
        <f aca="false">E82*Y82</f>
        <v>0</v>
      </c>
      <c r="G82" s="124" t="n">
        <f aca="false">VLOOKUP($A82,Table,MATCH(G$4,Curves,0))</f>
        <v>3</v>
      </c>
      <c r="H82" s="125" t="n">
        <f aca="false">G82+$H$7</f>
        <v>3</v>
      </c>
      <c r="I82" s="124" t="n">
        <f aca="false">H82</f>
        <v>3</v>
      </c>
      <c r="J82" s="124" t="n">
        <f aca="false">VLOOKUP($A82,Table,MATCH(J$4,Curves,0))</f>
        <v>4</v>
      </c>
      <c r="K82" s="125" t="n">
        <f aca="false">J82+$K$7</f>
        <v>4</v>
      </c>
      <c r="L82" s="126" t="n">
        <f aca="false">K82</f>
        <v>4</v>
      </c>
      <c r="M82" s="124" t="n">
        <f aca="false">VLOOKUP($A82,Table,MATCH(M$4,Curves,0))</f>
        <v>4</v>
      </c>
      <c r="N82" s="125" t="n">
        <f aca="false">M82+$N$7</f>
        <v>4</v>
      </c>
      <c r="O82" s="126" t="n">
        <v>0.25</v>
      </c>
      <c r="P82" s="114"/>
      <c r="Q82" s="126" t="n">
        <f aca="false">M82+J82+G82</f>
        <v>11</v>
      </c>
      <c r="R82" s="126" t="n">
        <f aca="false">N82+K82+H82</f>
        <v>11</v>
      </c>
      <c r="S82" s="126" t="n">
        <f aca="false">O82+L82+I82</f>
        <v>7.25</v>
      </c>
      <c r="T82" s="127"/>
      <c r="U82" s="5" t="n">
        <f aca="false">A83-A82</f>
        <v>29</v>
      </c>
      <c r="V82" s="128" t="n">
        <f aca="false">CHOOSE(F$3,A83+24,A82)</f>
        <v>39479</v>
      </c>
      <c r="W82" s="5" t="n">
        <f aca="false">V82-C$3</f>
        <v>2248</v>
      </c>
      <c r="X82" s="124" t="n">
        <f aca="false">VLOOKUP($A82,Table,MATCH(X$4,Curves,0))</f>
        <v>2</v>
      </c>
      <c r="Y82" s="129" t="n">
        <f aca="false">1/(1+CHOOSE(F$3,(X83+($K$3/10000))/2,(X82+($K$3/10000))/2))^(2*W82/365.25)</f>
        <v>0.000197019064793067</v>
      </c>
      <c r="Z82" s="5" t="n">
        <f aca="false">IF(AND(mthbeg&lt;=A82,mthend&gt;=A82),1,0)</f>
        <v>0</v>
      </c>
      <c r="AA82" s="5" t="n">
        <f aca="false">U82*Z82</f>
        <v>0</v>
      </c>
      <c r="AC82" s="115" t="n">
        <f aca="false">IF(G75=2,F82*(S82-Q82),F82*(Q82-S82))</f>
        <v>0</v>
      </c>
      <c r="AE82" s="116" t="n">
        <f aca="false">IF($G$3=1,F82*(R82-Q82),F82*(Q82-R82))</f>
        <v>0</v>
      </c>
      <c r="AG82" s="116" t="n">
        <f aca="false">AC82+AE82</f>
        <v>0</v>
      </c>
    </row>
    <row r="83" customFormat="false" ht="12.75" hidden="false" customHeight="false" outlineLevel="0" collapsed="false">
      <c r="A83" s="120" t="n">
        <f aca="false">EDATE(A82,1)</f>
        <v>39508</v>
      </c>
      <c r="B83" s="121" t="e">
        <f aca="false">VLOOKUP(A83,'Inputs-Summary'!$A$32:$E$41,4,FALSE())</f>
        <v>#N/A</v>
      </c>
      <c r="C83" s="122"/>
      <c r="D83" s="123" t="e">
        <f aca="false">B83+C83</f>
        <v>#N/A</v>
      </c>
      <c r="E83" s="111" t="n">
        <f aca="false">IF(Z83=0,0,IF(AND(Z83=1,$H$3=1),D83*U83,IF($H$3=2,D83,"N/A")))</f>
        <v>0</v>
      </c>
      <c r="F83" s="111" t="n">
        <f aca="false">E83*Y83</f>
        <v>0</v>
      </c>
      <c r="G83" s="124" t="n">
        <f aca="false">VLOOKUP($A83,Table,MATCH(G$4,Curves,0))</f>
        <v>3</v>
      </c>
      <c r="H83" s="125" t="n">
        <f aca="false">G83+$H$7</f>
        <v>3</v>
      </c>
      <c r="I83" s="124" t="n">
        <f aca="false">H83</f>
        <v>3</v>
      </c>
      <c r="J83" s="124" t="n">
        <f aca="false">VLOOKUP($A83,Table,MATCH(J$4,Curves,0))</f>
        <v>4</v>
      </c>
      <c r="K83" s="125" t="n">
        <f aca="false">J83+$K$7</f>
        <v>4</v>
      </c>
      <c r="L83" s="126" t="n">
        <f aca="false">K83</f>
        <v>4</v>
      </c>
      <c r="M83" s="124" t="n">
        <f aca="false">VLOOKUP($A83,Table,MATCH(M$4,Curves,0))</f>
        <v>4</v>
      </c>
      <c r="N83" s="125" t="n">
        <f aca="false">M83+$N$7</f>
        <v>4</v>
      </c>
      <c r="O83" s="126" t="n">
        <v>0.25</v>
      </c>
      <c r="P83" s="114"/>
      <c r="Q83" s="126" t="n">
        <f aca="false">M83+J83+G83</f>
        <v>11</v>
      </c>
      <c r="R83" s="126" t="n">
        <f aca="false">N83+K83+H83</f>
        <v>11</v>
      </c>
      <c r="S83" s="126" t="n">
        <f aca="false">O83+L83+I83</f>
        <v>7.25</v>
      </c>
      <c r="T83" s="127"/>
      <c r="U83" s="5" t="n">
        <f aca="false">A84-A83</f>
        <v>31</v>
      </c>
      <c r="V83" s="128" t="n">
        <f aca="false">CHOOSE(F$3,A84+24,A83)</f>
        <v>39508</v>
      </c>
      <c r="W83" s="5" t="n">
        <f aca="false">V83-C$3</f>
        <v>2277</v>
      </c>
      <c r="X83" s="124" t="n">
        <f aca="false">VLOOKUP($A83,Table,MATCH(X$4,Curves,0))</f>
        <v>2</v>
      </c>
      <c r="Y83" s="129" t="n">
        <f aca="false">1/(1+CHOOSE(F$3,(X84+($K$3/10000))/2,(X83+($K$3/10000))/2))^(2*W83/365.25)</f>
        <v>0.000176484305815765</v>
      </c>
      <c r="Z83" s="5" t="n">
        <f aca="false">IF(AND(mthbeg&lt;=A83,mthend&gt;=A83),1,0)</f>
        <v>0</v>
      </c>
      <c r="AA83" s="5" t="n">
        <f aca="false">U83*Z83</f>
        <v>0</v>
      </c>
      <c r="AC83" s="115" t="n">
        <f aca="false">IF(G76=2,F83*(S83-Q83),F83*(Q83-S83))</f>
        <v>0</v>
      </c>
      <c r="AE83" s="116" t="n">
        <f aca="false">IF($G$3=1,F83*(R83-Q83),F83*(Q83-R83))</f>
        <v>0</v>
      </c>
      <c r="AG83" s="116" t="n">
        <f aca="false">AC83+AE83</f>
        <v>0</v>
      </c>
    </row>
    <row r="84" customFormat="false" ht="12.75" hidden="false" customHeight="false" outlineLevel="0" collapsed="false">
      <c r="A84" s="120" t="n">
        <f aca="false">EDATE(A83,1)</f>
        <v>39539</v>
      </c>
      <c r="B84" s="121" t="e">
        <f aca="false">VLOOKUP(A84,'Inputs-Summary'!$A$32:$E$41,4,FALSE())</f>
        <v>#N/A</v>
      </c>
      <c r="C84" s="122"/>
      <c r="D84" s="123" t="e">
        <f aca="false">B84+C84</f>
        <v>#N/A</v>
      </c>
      <c r="E84" s="111" t="n">
        <f aca="false">IF(Z84=0,0,IF(AND(Z84=1,$H$3=1),D84*U84,IF($H$3=2,D84,"N/A")))</f>
        <v>0</v>
      </c>
      <c r="F84" s="111" t="n">
        <f aca="false">E84*Y84</f>
        <v>0</v>
      </c>
      <c r="G84" s="124" t="n">
        <f aca="false">VLOOKUP($A84,Table,MATCH(G$4,Curves,0))</f>
        <v>3</v>
      </c>
      <c r="H84" s="125" t="n">
        <f aca="false">G84+$H$7</f>
        <v>3</v>
      </c>
      <c r="I84" s="124" t="n">
        <f aca="false">H84</f>
        <v>3</v>
      </c>
      <c r="J84" s="124" t="n">
        <f aca="false">VLOOKUP($A84,Table,MATCH(J$4,Curves,0))</f>
        <v>4</v>
      </c>
      <c r="K84" s="125" t="n">
        <f aca="false">J84+$K$7</f>
        <v>4</v>
      </c>
      <c r="L84" s="126" t="n">
        <f aca="false">K84</f>
        <v>4</v>
      </c>
      <c r="M84" s="124" t="n">
        <f aca="false">VLOOKUP($A84,Table,MATCH(M$4,Curves,0))</f>
        <v>4</v>
      </c>
      <c r="N84" s="125" t="n">
        <f aca="false">M84+$N$7</f>
        <v>4</v>
      </c>
      <c r="O84" s="126" t="n">
        <v>0.25</v>
      </c>
      <c r="P84" s="114"/>
      <c r="Q84" s="126" t="n">
        <f aca="false">M84+J84+G84</f>
        <v>11</v>
      </c>
      <c r="R84" s="126" t="n">
        <f aca="false">N84+K84+H84</f>
        <v>11</v>
      </c>
      <c r="S84" s="126" t="n">
        <f aca="false">O84+L84+I84</f>
        <v>7.25</v>
      </c>
      <c r="T84" s="127"/>
      <c r="U84" s="5" t="n">
        <f aca="false">A85-A84</f>
        <v>30</v>
      </c>
      <c r="V84" s="128" t="n">
        <f aca="false">CHOOSE(F$3,A85+24,A84)</f>
        <v>39539</v>
      </c>
      <c r="W84" s="5" t="n">
        <f aca="false">V84-C$3</f>
        <v>2308</v>
      </c>
      <c r="X84" s="124" t="n">
        <f aca="false">VLOOKUP($A84,Table,MATCH(X$4,Curves,0))</f>
        <v>2</v>
      </c>
      <c r="Y84" s="129" t="n">
        <f aca="false">1/(1+CHOOSE(F$3,(X85+($K$3/10000))/2,(X84+($K$3/10000))/2))^(2*W84/365.25)</f>
        <v>0.000156894322432802</v>
      </c>
      <c r="Z84" s="5" t="n">
        <f aca="false">IF(AND(mthbeg&lt;=A84,mthend&gt;=A84),1,0)</f>
        <v>0</v>
      </c>
      <c r="AA84" s="5" t="n">
        <f aca="false">U84*Z84</f>
        <v>0</v>
      </c>
      <c r="AC84" s="115" t="n">
        <f aca="false">IF(G77=2,F84*(S84-Q84),F84*(Q84-S84))</f>
        <v>0</v>
      </c>
      <c r="AE84" s="116" t="n">
        <f aca="false">IF($G$3=1,F84*(R84-Q84),F84*(Q84-R84))</f>
        <v>0</v>
      </c>
      <c r="AG84" s="116" t="n">
        <f aca="false">AC84+AE84</f>
        <v>0</v>
      </c>
    </row>
    <row r="85" customFormat="false" ht="12.75" hidden="false" customHeight="false" outlineLevel="0" collapsed="false">
      <c r="A85" s="120" t="n">
        <f aca="false">EDATE(A84,1)</f>
        <v>39569</v>
      </c>
      <c r="B85" s="121" t="e">
        <f aca="false">VLOOKUP(A85,'Inputs-Summary'!$A$32:$E$41,4,FALSE())</f>
        <v>#N/A</v>
      </c>
      <c r="C85" s="122"/>
      <c r="D85" s="123" t="e">
        <f aca="false">B85+C85</f>
        <v>#N/A</v>
      </c>
      <c r="E85" s="111" t="n">
        <f aca="false">IF(Z85=0,0,IF(AND(Z85=1,$H$3=1),D85*U85,IF($H$3=2,D85,"N/A")))</f>
        <v>0</v>
      </c>
      <c r="F85" s="111" t="n">
        <f aca="false">E85*Y85</f>
        <v>0</v>
      </c>
      <c r="G85" s="124" t="n">
        <f aca="false">VLOOKUP($A85,Table,MATCH(G$4,Curves,0))</f>
        <v>3</v>
      </c>
      <c r="H85" s="125" t="n">
        <f aca="false">G85+$H$7</f>
        <v>3</v>
      </c>
      <c r="I85" s="124" t="n">
        <f aca="false">H85</f>
        <v>3</v>
      </c>
      <c r="J85" s="124" t="n">
        <f aca="false">VLOOKUP($A85,Table,MATCH(J$4,Curves,0))</f>
        <v>4</v>
      </c>
      <c r="K85" s="125" t="n">
        <f aca="false">J85+$K$7</f>
        <v>4</v>
      </c>
      <c r="L85" s="126" t="n">
        <f aca="false">K85</f>
        <v>4</v>
      </c>
      <c r="M85" s="124" t="n">
        <f aca="false">VLOOKUP($A85,Table,MATCH(M$4,Curves,0))</f>
        <v>4</v>
      </c>
      <c r="N85" s="125" t="n">
        <f aca="false">M85+$N$7</f>
        <v>4</v>
      </c>
      <c r="O85" s="126" t="n">
        <v>0.25</v>
      </c>
      <c r="P85" s="114"/>
      <c r="Q85" s="126" t="n">
        <f aca="false">M85+J85+G85</f>
        <v>11</v>
      </c>
      <c r="R85" s="126" t="n">
        <f aca="false">N85+K85+H85</f>
        <v>11</v>
      </c>
      <c r="S85" s="126" t="n">
        <f aca="false">O85+L85+I85</f>
        <v>7.25</v>
      </c>
      <c r="T85" s="127"/>
      <c r="U85" s="5" t="n">
        <f aca="false">A86-A85</f>
        <v>31</v>
      </c>
      <c r="V85" s="128" t="n">
        <f aca="false">CHOOSE(F$3,A86+24,A85)</f>
        <v>39569</v>
      </c>
      <c r="W85" s="5" t="n">
        <f aca="false">V85-C$3</f>
        <v>2338</v>
      </c>
      <c r="X85" s="124" t="n">
        <f aca="false">VLOOKUP($A85,Table,MATCH(X$4,Curves,0))</f>
        <v>2</v>
      </c>
      <c r="Y85" s="129" t="n">
        <f aca="false">1/(1+CHOOSE(F$3,(X86+($K$3/10000))/2,(X85+($K$3/10000))/2))^(2*W85/365.25)</f>
        <v>0.000140009245533509</v>
      </c>
      <c r="Z85" s="5" t="n">
        <f aca="false">IF(AND(mthbeg&lt;=A85,mthend&gt;=A85),1,0)</f>
        <v>0</v>
      </c>
      <c r="AA85" s="5" t="n">
        <f aca="false">U85*Z85</f>
        <v>0</v>
      </c>
      <c r="AC85" s="115" t="n">
        <f aca="false">IF(G78=2,F85*(S85-Q85),F85*(Q85-S85))</f>
        <v>0</v>
      </c>
      <c r="AE85" s="116" t="n">
        <f aca="false">IF($G$3=1,F85*(R85-Q85),F85*(Q85-R85))</f>
        <v>0</v>
      </c>
      <c r="AG85" s="116" t="n">
        <f aca="false">AC85+AE85</f>
        <v>0</v>
      </c>
    </row>
    <row r="86" customFormat="false" ht="12.75" hidden="false" customHeight="false" outlineLevel="0" collapsed="false">
      <c r="A86" s="120" t="n">
        <f aca="false">EDATE(A85,1)</f>
        <v>39600</v>
      </c>
      <c r="B86" s="121" t="e">
        <f aca="false">VLOOKUP(A86,'Inputs-Summary'!$A$32:$E$41,4,FALSE())</f>
        <v>#N/A</v>
      </c>
      <c r="C86" s="122"/>
      <c r="D86" s="123" t="e">
        <f aca="false">B86+C86</f>
        <v>#N/A</v>
      </c>
      <c r="E86" s="111" t="n">
        <f aca="false">IF(Z86=0,0,IF(AND(Z86=1,$H$3=1),D86*U86,IF($H$3=2,D86,"N/A")))</f>
        <v>0</v>
      </c>
      <c r="F86" s="111" t="n">
        <f aca="false">E86*Y86</f>
        <v>0</v>
      </c>
      <c r="G86" s="124" t="n">
        <f aca="false">VLOOKUP($A86,Table,MATCH(G$4,Curves,0))</f>
        <v>3</v>
      </c>
      <c r="H86" s="125" t="n">
        <f aca="false">G86+$H$7</f>
        <v>3</v>
      </c>
      <c r="I86" s="124" t="n">
        <f aca="false">H86</f>
        <v>3</v>
      </c>
      <c r="J86" s="124" t="n">
        <f aca="false">VLOOKUP($A86,Table,MATCH(J$4,Curves,0))</f>
        <v>4</v>
      </c>
      <c r="K86" s="125" t="n">
        <f aca="false">J86+$K$7</f>
        <v>4</v>
      </c>
      <c r="L86" s="126" t="n">
        <f aca="false">K86</f>
        <v>4</v>
      </c>
      <c r="M86" s="124" t="n">
        <f aca="false">VLOOKUP($A86,Table,MATCH(M$4,Curves,0))</f>
        <v>4</v>
      </c>
      <c r="N86" s="125" t="n">
        <f aca="false">M86+$N$7</f>
        <v>4</v>
      </c>
      <c r="O86" s="126" t="n">
        <v>0.25</v>
      </c>
      <c r="P86" s="114"/>
      <c r="Q86" s="126" t="n">
        <f aca="false">M86+J86+G86</f>
        <v>11</v>
      </c>
      <c r="R86" s="126" t="n">
        <f aca="false">N86+K86+H86</f>
        <v>11</v>
      </c>
      <c r="S86" s="126" t="n">
        <f aca="false">O86+L86+I86</f>
        <v>7.25</v>
      </c>
      <c r="T86" s="127"/>
      <c r="U86" s="5" t="n">
        <f aca="false">A87-A86</f>
        <v>30</v>
      </c>
      <c r="V86" s="128" t="n">
        <f aca="false">CHOOSE(F$3,A87+24,A86)</f>
        <v>39600</v>
      </c>
      <c r="W86" s="5" t="n">
        <f aca="false">V86-C$3</f>
        <v>2369</v>
      </c>
      <c r="X86" s="124" t="n">
        <f aca="false">VLOOKUP($A86,Table,MATCH(X$4,Curves,0))</f>
        <v>2</v>
      </c>
      <c r="Y86" s="129" t="n">
        <f aca="false">1/(1+CHOOSE(F$3,(X87+($K$3/10000))/2,(X86+($K$3/10000))/2))^(2*W86/365.25)</f>
        <v>0.000124468040434367</v>
      </c>
      <c r="Z86" s="5" t="n">
        <f aca="false">IF(AND(mthbeg&lt;=A86,mthend&gt;=A86),1,0)</f>
        <v>0</v>
      </c>
      <c r="AA86" s="5" t="n">
        <f aca="false">U86*Z86</f>
        <v>0</v>
      </c>
      <c r="AC86" s="115" t="n">
        <f aca="false">IF(G79=2,F86*(S86-Q86),F86*(Q86-S86))</f>
        <v>0</v>
      </c>
      <c r="AE86" s="116" t="n">
        <f aca="false">IF($G$3=1,F86*(R86-Q86),F86*(Q86-R86))</f>
        <v>0</v>
      </c>
      <c r="AG86" s="116" t="n">
        <f aca="false">AC86+AE86</f>
        <v>0</v>
      </c>
    </row>
    <row r="87" customFormat="false" ht="12.75" hidden="false" customHeight="false" outlineLevel="0" collapsed="false">
      <c r="A87" s="120" t="n">
        <f aca="false">EDATE(A86,1)</f>
        <v>39630</v>
      </c>
      <c r="B87" s="121" t="e">
        <f aca="false">VLOOKUP(A87,'Inputs-Summary'!$A$32:$E$41,4,FALSE())</f>
        <v>#N/A</v>
      </c>
      <c r="C87" s="122"/>
      <c r="D87" s="123" t="e">
        <f aca="false">B87+C87</f>
        <v>#N/A</v>
      </c>
      <c r="E87" s="111" t="n">
        <f aca="false">IF(Z87=0,0,IF(AND(Z87=1,$H$3=1),D87*U87,IF($H$3=2,D87,"N/A")))</f>
        <v>0</v>
      </c>
      <c r="F87" s="111" t="n">
        <f aca="false">E87*Y87</f>
        <v>0</v>
      </c>
      <c r="G87" s="124" t="n">
        <f aca="false">VLOOKUP($A87,Table,MATCH(G$4,Curves,0))</f>
        <v>3</v>
      </c>
      <c r="H87" s="125" t="n">
        <f aca="false">G87+$H$7</f>
        <v>3</v>
      </c>
      <c r="I87" s="124" t="n">
        <f aca="false">H87</f>
        <v>3</v>
      </c>
      <c r="J87" s="124" t="n">
        <f aca="false">VLOOKUP($A87,Table,MATCH(J$4,Curves,0))</f>
        <v>4</v>
      </c>
      <c r="K87" s="125" t="n">
        <f aca="false">J87+$K$7</f>
        <v>4</v>
      </c>
      <c r="L87" s="126" t="n">
        <f aca="false">K87</f>
        <v>4</v>
      </c>
      <c r="M87" s="124" t="n">
        <f aca="false">VLOOKUP($A87,Table,MATCH(M$4,Curves,0))</f>
        <v>4</v>
      </c>
      <c r="N87" s="125" t="n">
        <f aca="false">M87+$N$7</f>
        <v>4</v>
      </c>
      <c r="O87" s="126" t="n">
        <v>0.25</v>
      </c>
      <c r="P87" s="114"/>
      <c r="Q87" s="126" t="n">
        <f aca="false">M87+J87+G87</f>
        <v>11</v>
      </c>
      <c r="R87" s="126" t="n">
        <f aca="false">N87+K87+H87</f>
        <v>11</v>
      </c>
      <c r="S87" s="126" t="n">
        <f aca="false">O87+L87+I87</f>
        <v>7.25</v>
      </c>
      <c r="T87" s="127"/>
      <c r="U87" s="5" t="n">
        <f aca="false">A88-A87</f>
        <v>31</v>
      </c>
      <c r="V87" s="128" t="n">
        <f aca="false">CHOOSE(F$3,A88+24,A87)</f>
        <v>39630</v>
      </c>
      <c r="W87" s="5" t="n">
        <f aca="false">V87-C$3</f>
        <v>2399</v>
      </c>
      <c r="X87" s="124" t="n">
        <f aca="false">VLOOKUP($A87,Table,MATCH(X$4,Curves,0))</f>
        <v>2</v>
      </c>
      <c r="Y87" s="129" t="n">
        <f aca="false">1/(1+CHOOSE(F$3,(X88+($K$3/10000))/2,(X87+($K$3/10000))/2))^(2*W87/365.25)</f>
        <v>0.000111072702721374</v>
      </c>
      <c r="Z87" s="5" t="n">
        <f aca="false">IF(AND(mthbeg&lt;=A87,mthend&gt;=A87),1,0)</f>
        <v>0</v>
      </c>
      <c r="AA87" s="5" t="n">
        <f aca="false">U87*Z87</f>
        <v>0</v>
      </c>
      <c r="AC87" s="115" t="n">
        <f aca="false">IF(G80=2,F87*(S87-Q87),F87*(Q87-S87))</f>
        <v>0</v>
      </c>
      <c r="AE87" s="116" t="n">
        <f aca="false">IF($G$3=1,F87*(R87-Q87),F87*(Q87-R87))</f>
        <v>0</v>
      </c>
      <c r="AG87" s="116" t="n">
        <f aca="false">AC87+AE87</f>
        <v>0</v>
      </c>
    </row>
    <row r="88" customFormat="false" ht="12.75" hidden="false" customHeight="false" outlineLevel="0" collapsed="false">
      <c r="A88" s="120" t="n">
        <f aca="false">EDATE(A87,1)</f>
        <v>39661</v>
      </c>
      <c r="B88" s="121" t="e">
        <f aca="false">VLOOKUP(A88,'Inputs-Summary'!$A$32:$E$41,4,FALSE())</f>
        <v>#N/A</v>
      </c>
      <c r="C88" s="122"/>
      <c r="D88" s="123" t="e">
        <f aca="false">B88+C88</f>
        <v>#N/A</v>
      </c>
      <c r="E88" s="111" t="n">
        <f aca="false">IF(Z88=0,0,IF(AND(Z88=1,$H$3=1),D88*U88,IF($H$3=2,D88,"N/A")))</f>
        <v>0</v>
      </c>
      <c r="F88" s="111" t="n">
        <f aca="false">E88*Y88</f>
        <v>0</v>
      </c>
      <c r="G88" s="124" t="n">
        <f aca="false">VLOOKUP($A88,Table,MATCH(G$4,Curves,0))</f>
        <v>3</v>
      </c>
      <c r="H88" s="125" t="n">
        <f aca="false">G88+$H$7</f>
        <v>3</v>
      </c>
      <c r="I88" s="124" t="n">
        <f aca="false">H88</f>
        <v>3</v>
      </c>
      <c r="J88" s="124" t="n">
        <f aca="false">VLOOKUP($A88,Table,MATCH(J$4,Curves,0))</f>
        <v>4</v>
      </c>
      <c r="K88" s="125" t="n">
        <f aca="false">J88+$K$7</f>
        <v>4</v>
      </c>
      <c r="L88" s="126" t="n">
        <f aca="false">K88</f>
        <v>4</v>
      </c>
      <c r="M88" s="124" t="n">
        <f aca="false">VLOOKUP($A88,Table,MATCH(M$4,Curves,0))</f>
        <v>4</v>
      </c>
      <c r="N88" s="125" t="n">
        <f aca="false">M88+$N$7</f>
        <v>4</v>
      </c>
      <c r="O88" s="126" t="n">
        <v>0.25</v>
      </c>
      <c r="P88" s="114"/>
      <c r="Q88" s="126" t="n">
        <f aca="false">M88+J88+G88</f>
        <v>11</v>
      </c>
      <c r="R88" s="126" t="n">
        <f aca="false">N88+K88+H88</f>
        <v>11</v>
      </c>
      <c r="S88" s="126" t="n">
        <f aca="false">O88+L88+I88</f>
        <v>7.25</v>
      </c>
      <c r="T88" s="127"/>
      <c r="U88" s="5" t="n">
        <f aca="false">A89-A88</f>
        <v>31</v>
      </c>
      <c r="V88" s="128" t="n">
        <f aca="false">CHOOSE(F$3,A89+24,A88)</f>
        <v>39661</v>
      </c>
      <c r="W88" s="5" t="n">
        <f aca="false">V88-C$3</f>
        <v>2430</v>
      </c>
      <c r="X88" s="124" t="n">
        <f aca="false">VLOOKUP($A88,Table,MATCH(X$4,Curves,0))</f>
        <v>2</v>
      </c>
      <c r="Y88" s="129" t="n">
        <f aca="false">1/(1+CHOOSE(F$3,(X89+($K$3/10000))/2,(X88+($K$3/10000))/2))^(2*W88/365.25)</f>
        <v>9.8743490837322E-005</v>
      </c>
      <c r="Z88" s="5" t="n">
        <f aca="false">IF(AND(mthbeg&lt;=A88,mthend&gt;=A88),1,0)</f>
        <v>0</v>
      </c>
      <c r="AA88" s="5" t="n">
        <f aca="false">U88*Z88</f>
        <v>0</v>
      </c>
      <c r="AC88" s="115" t="n">
        <f aca="false">IF(G81=2,F88*(S88-Q88),F88*(Q88-S88))</f>
        <v>0</v>
      </c>
      <c r="AE88" s="116" t="n">
        <f aca="false">IF($G$3=1,F88*(R88-Q88),F88*(Q88-R88))</f>
        <v>0</v>
      </c>
      <c r="AG88" s="116" t="n">
        <f aca="false">AC88+AE88</f>
        <v>0</v>
      </c>
    </row>
    <row r="89" customFormat="false" ht="12.75" hidden="false" customHeight="false" outlineLevel="0" collapsed="false">
      <c r="A89" s="120" t="n">
        <f aca="false">EDATE(A88,1)</f>
        <v>39692</v>
      </c>
      <c r="B89" s="121" t="e">
        <f aca="false">VLOOKUP(A89,'Inputs-Summary'!$A$32:$E$41,4,FALSE())</f>
        <v>#N/A</v>
      </c>
      <c r="C89" s="122"/>
      <c r="D89" s="123" t="e">
        <f aca="false">B89+C89</f>
        <v>#N/A</v>
      </c>
      <c r="E89" s="111" t="n">
        <f aca="false">IF(Z89=0,0,IF(AND(Z89=1,$H$3=1),D89*U89,IF($H$3=2,D89,"N/A")))</f>
        <v>0</v>
      </c>
      <c r="F89" s="111" t="n">
        <f aca="false">E89*Y89</f>
        <v>0</v>
      </c>
      <c r="G89" s="124" t="n">
        <f aca="false">VLOOKUP($A89,Table,MATCH(G$4,Curves,0))</f>
        <v>3</v>
      </c>
      <c r="H89" s="125" t="n">
        <f aca="false">G89+$H$7</f>
        <v>3</v>
      </c>
      <c r="I89" s="124" t="n">
        <f aca="false">H89</f>
        <v>3</v>
      </c>
      <c r="J89" s="124" t="n">
        <f aca="false">VLOOKUP($A89,Table,MATCH(J$4,Curves,0))</f>
        <v>4</v>
      </c>
      <c r="K89" s="125" t="n">
        <f aca="false">J89+$K$7</f>
        <v>4</v>
      </c>
      <c r="L89" s="126" t="n">
        <f aca="false">K89</f>
        <v>4</v>
      </c>
      <c r="M89" s="124" t="n">
        <f aca="false">VLOOKUP($A89,Table,MATCH(M$4,Curves,0))</f>
        <v>4</v>
      </c>
      <c r="N89" s="125" t="n">
        <f aca="false">M89+$N$7</f>
        <v>4</v>
      </c>
      <c r="O89" s="126" t="n">
        <v>0.25</v>
      </c>
      <c r="P89" s="114"/>
      <c r="Q89" s="126" t="n">
        <f aca="false">M89+J89+G89</f>
        <v>11</v>
      </c>
      <c r="R89" s="126" t="n">
        <f aca="false">N89+K89+H89</f>
        <v>11</v>
      </c>
      <c r="S89" s="126" t="n">
        <f aca="false">O89+L89+I89</f>
        <v>7.25</v>
      </c>
      <c r="T89" s="127"/>
      <c r="U89" s="5" t="n">
        <f aca="false">A90-A89</f>
        <v>30</v>
      </c>
      <c r="V89" s="128" t="n">
        <f aca="false">CHOOSE(F$3,A90+24,A89)</f>
        <v>39692</v>
      </c>
      <c r="W89" s="5" t="n">
        <f aca="false">V89-C$3</f>
        <v>2461</v>
      </c>
      <c r="X89" s="124" t="n">
        <f aca="false">VLOOKUP($A89,Table,MATCH(X$4,Curves,0))</f>
        <v>2</v>
      </c>
      <c r="Y89" s="129" t="n">
        <f aca="false">1/(1+CHOOSE(F$3,(X90+($K$3/10000))/2,(X89+($K$3/10000))/2))^(2*W89/365.25)</f>
        <v>8.77828372214803E-005</v>
      </c>
      <c r="Z89" s="5" t="n">
        <f aca="false">IF(AND(mthbeg&lt;=A89,mthend&gt;=A89),1,0)</f>
        <v>0</v>
      </c>
      <c r="AA89" s="5" t="n">
        <f aca="false">U89*Z89</f>
        <v>0</v>
      </c>
      <c r="AC89" s="115" t="n">
        <f aca="false">IF(G82=2,F89*(S89-Q89),F89*(Q89-S89))</f>
        <v>0</v>
      </c>
      <c r="AE89" s="116" t="n">
        <f aca="false">IF($G$3=1,F89*(R89-Q89),F89*(Q89-R89))</f>
        <v>0</v>
      </c>
      <c r="AG89" s="116" t="n">
        <f aca="false">AC89+AE89</f>
        <v>0</v>
      </c>
    </row>
    <row r="90" customFormat="false" ht="12.75" hidden="false" customHeight="false" outlineLevel="0" collapsed="false">
      <c r="A90" s="120" t="n">
        <f aca="false">EDATE(A89,1)</f>
        <v>39722</v>
      </c>
      <c r="B90" s="121" t="e">
        <f aca="false">VLOOKUP(A90,'Inputs-Summary'!$A$32:$E$41,4,FALSE())</f>
        <v>#N/A</v>
      </c>
      <c r="C90" s="122"/>
      <c r="D90" s="123" t="e">
        <f aca="false">B90+C90</f>
        <v>#N/A</v>
      </c>
      <c r="E90" s="111" t="n">
        <f aca="false">IF(Z90=0,0,IF(AND(Z90=1,$H$3=1),D90*U90,IF($H$3=2,D90,"N/A")))</f>
        <v>0</v>
      </c>
      <c r="F90" s="111" t="n">
        <f aca="false">E90*Y90</f>
        <v>0</v>
      </c>
      <c r="G90" s="124" t="n">
        <f aca="false">VLOOKUP($A90,Table,MATCH(G$4,Curves,0))</f>
        <v>3</v>
      </c>
      <c r="H90" s="125" t="n">
        <f aca="false">G90+$H$7</f>
        <v>3</v>
      </c>
      <c r="I90" s="124" t="n">
        <f aca="false">H90</f>
        <v>3</v>
      </c>
      <c r="J90" s="124" t="n">
        <f aca="false">VLOOKUP($A90,Table,MATCH(J$4,Curves,0))</f>
        <v>4</v>
      </c>
      <c r="K90" s="125" t="n">
        <f aca="false">J90+$K$7</f>
        <v>4</v>
      </c>
      <c r="L90" s="126" t="n">
        <f aca="false">K90</f>
        <v>4</v>
      </c>
      <c r="M90" s="124" t="n">
        <f aca="false">VLOOKUP($A90,Table,MATCH(M$4,Curves,0))</f>
        <v>4</v>
      </c>
      <c r="N90" s="125" t="n">
        <f aca="false">M90+$N$7</f>
        <v>4</v>
      </c>
      <c r="O90" s="126" t="n">
        <v>0.25</v>
      </c>
      <c r="P90" s="114"/>
      <c r="Q90" s="126" t="n">
        <f aca="false">M90+J90+G90</f>
        <v>11</v>
      </c>
      <c r="R90" s="126" t="n">
        <f aca="false">N90+K90+H90</f>
        <v>11</v>
      </c>
      <c r="S90" s="126" t="n">
        <f aca="false">O90+L90+I90</f>
        <v>7.25</v>
      </c>
      <c r="T90" s="127"/>
      <c r="U90" s="5" t="n">
        <f aca="false">A91-A90</f>
        <v>31</v>
      </c>
      <c r="V90" s="128" t="n">
        <f aca="false">CHOOSE(F$3,A91+24,A90)</f>
        <v>39722</v>
      </c>
      <c r="W90" s="5" t="n">
        <f aca="false">V90-C$3</f>
        <v>2491</v>
      </c>
      <c r="X90" s="124" t="n">
        <f aca="false">VLOOKUP($A90,Table,MATCH(X$4,Curves,0))</f>
        <v>2</v>
      </c>
      <c r="Y90" s="129" t="n">
        <f aca="false">1/(1+CHOOSE(F$3,(X91+($K$3/10000))/2,(X90+($K$3/10000))/2))^(2*W90/365.25)</f>
        <v>7.83355867796575E-005</v>
      </c>
      <c r="Z90" s="5" t="n">
        <f aca="false">IF(AND(mthbeg&lt;=A90,mthend&gt;=A90),1,0)</f>
        <v>0</v>
      </c>
      <c r="AA90" s="5" t="n">
        <f aca="false">U90*Z90</f>
        <v>0</v>
      </c>
      <c r="AC90" s="115" t="n">
        <f aca="false">IF(G83=2,F90*(S90-Q90),F90*(Q90-S90))</f>
        <v>0</v>
      </c>
      <c r="AE90" s="116" t="n">
        <f aca="false">IF($G$3=1,F90*(R90-Q90),F90*(Q90-R90))</f>
        <v>0</v>
      </c>
      <c r="AG90" s="116" t="n">
        <f aca="false">AC90+AE90</f>
        <v>0</v>
      </c>
    </row>
    <row r="91" customFormat="false" ht="12.75" hidden="false" customHeight="false" outlineLevel="0" collapsed="false">
      <c r="A91" s="120" t="n">
        <f aca="false">EDATE(A90,1)</f>
        <v>39753</v>
      </c>
      <c r="B91" s="121" t="e">
        <f aca="false">VLOOKUP(A91,'Inputs-Summary'!$A$32:$E$41,4,FALSE())</f>
        <v>#N/A</v>
      </c>
      <c r="C91" s="122"/>
      <c r="D91" s="123" t="e">
        <f aca="false">B91+C91</f>
        <v>#N/A</v>
      </c>
      <c r="E91" s="111" t="n">
        <f aca="false">IF(Z91=0,0,IF(AND(Z91=1,$H$3=1),D91*U91,IF($H$3=2,D91,"N/A")))</f>
        <v>0</v>
      </c>
      <c r="F91" s="111" t="n">
        <f aca="false">E91*Y91</f>
        <v>0</v>
      </c>
      <c r="G91" s="124" t="n">
        <f aca="false">VLOOKUP($A91,Table,MATCH(G$4,Curves,0))</f>
        <v>3</v>
      </c>
      <c r="H91" s="125" t="n">
        <f aca="false">G91+$H$7</f>
        <v>3</v>
      </c>
      <c r="I91" s="124" t="n">
        <f aca="false">H91</f>
        <v>3</v>
      </c>
      <c r="J91" s="124" t="n">
        <f aca="false">VLOOKUP($A91,Table,MATCH(J$4,Curves,0))</f>
        <v>4</v>
      </c>
      <c r="K91" s="125" t="n">
        <f aca="false">J91+$K$7</f>
        <v>4</v>
      </c>
      <c r="L91" s="126" t="n">
        <f aca="false">K91</f>
        <v>4</v>
      </c>
      <c r="M91" s="124" t="n">
        <f aca="false">VLOOKUP($A91,Table,MATCH(M$4,Curves,0))</f>
        <v>4</v>
      </c>
      <c r="N91" s="125" t="n">
        <f aca="false">M91+$N$7</f>
        <v>4</v>
      </c>
      <c r="O91" s="126" t="n">
        <v>0.25</v>
      </c>
      <c r="P91" s="114"/>
      <c r="Q91" s="126" t="n">
        <f aca="false">M91+J91+G91</f>
        <v>11</v>
      </c>
      <c r="R91" s="126" t="n">
        <f aca="false">N91+K91+H91</f>
        <v>11</v>
      </c>
      <c r="S91" s="126" t="n">
        <f aca="false">O91+L91+I91</f>
        <v>7.25</v>
      </c>
      <c r="T91" s="127"/>
      <c r="U91" s="5" t="n">
        <f aca="false">A92-A91</f>
        <v>30</v>
      </c>
      <c r="V91" s="128" t="n">
        <f aca="false">CHOOSE(F$3,A92+24,A91)</f>
        <v>39753</v>
      </c>
      <c r="W91" s="5" t="n">
        <f aca="false">V91-C$3</f>
        <v>2522</v>
      </c>
      <c r="X91" s="124" t="n">
        <f aca="false">VLOOKUP($A91,Table,MATCH(X$4,Curves,0))</f>
        <v>2</v>
      </c>
      <c r="Y91" s="129" t="n">
        <f aca="false">1/(1+CHOOSE(F$3,(X92+($K$3/10000))/2,(X91+($K$3/10000))/2))^(2*W91/365.25)</f>
        <v>6.96402365828525E-005</v>
      </c>
      <c r="Z91" s="5" t="n">
        <f aca="false">IF(AND(mthbeg&lt;=A91,mthend&gt;=A91),1,0)</f>
        <v>0</v>
      </c>
      <c r="AA91" s="5" t="n">
        <f aca="false">U91*Z91</f>
        <v>0</v>
      </c>
      <c r="AC91" s="115" t="n">
        <f aca="false">IF(G84=2,F91*(S91-Q91),F91*(Q91-S91))</f>
        <v>0</v>
      </c>
      <c r="AE91" s="116" t="n">
        <f aca="false">IF($G$3=1,F91*(R91-Q91),F91*(Q91-R91))</f>
        <v>0</v>
      </c>
      <c r="AG91" s="116" t="n">
        <f aca="false">AC91+AE91</f>
        <v>0</v>
      </c>
    </row>
    <row r="92" customFormat="false" ht="12.75" hidden="false" customHeight="false" outlineLevel="0" collapsed="false">
      <c r="A92" s="120" t="n">
        <f aca="false">EDATE(A91,1)</f>
        <v>39783</v>
      </c>
      <c r="B92" s="121" t="e">
        <f aca="false">VLOOKUP(A92,'Inputs-Summary'!$A$32:$E$41,4,FALSE())</f>
        <v>#N/A</v>
      </c>
      <c r="C92" s="122"/>
      <c r="D92" s="123" t="e">
        <f aca="false">B92+C92</f>
        <v>#N/A</v>
      </c>
      <c r="E92" s="111" t="n">
        <f aca="false">IF(Z92=0,0,IF(AND(Z92=1,$H$3=1),D92*U92,IF($H$3=2,D92,"N/A")))</f>
        <v>0</v>
      </c>
      <c r="F92" s="111" t="n">
        <f aca="false">E92*Y92</f>
        <v>0</v>
      </c>
      <c r="G92" s="124" t="n">
        <f aca="false">VLOOKUP($A92,Table,MATCH(G$4,Curves,0))</f>
        <v>3</v>
      </c>
      <c r="H92" s="125" t="n">
        <f aca="false">G92+$H$7</f>
        <v>3</v>
      </c>
      <c r="I92" s="124" t="n">
        <f aca="false">H92</f>
        <v>3</v>
      </c>
      <c r="J92" s="124" t="n">
        <f aca="false">VLOOKUP($A92,Table,MATCH(J$4,Curves,0))</f>
        <v>4</v>
      </c>
      <c r="K92" s="125" t="n">
        <f aca="false">J92+$K$7</f>
        <v>4</v>
      </c>
      <c r="L92" s="126" t="n">
        <f aca="false">K92</f>
        <v>4</v>
      </c>
      <c r="M92" s="124" t="n">
        <f aca="false">VLOOKUP($A92,Table,MATCH(M$4,Curves,0))</f>
        <v>4</v>
      </c>
      <c r="N92" s="125" t="n">
        <f aca="false">M92+$N$7</f>
        <v>4</v>
      </c>
      <c r="O92" s="126" t="n">
        <v>0.25</v>
      </c>
      <c r="P92" s="114"/>
      <c r="Q92" s="126" t="n">
        <f aca="false">M92+J92+G92</f>
        <v>11</v>
      </c>
      <c r="R92" s="126" t="n">
        <f aca="false">N92+K92+H92</f>
        <v>11</v>
      </c>
      <c r="S92" s="126" t="n">
        <f aca="false">O92+L92+I92</f>
        <v>7.25</v>
      </c>
      <c r="T92" s="127"/>
      <c r="U92" s="5" t="n">
        <f aca="false">A93-A92</f>
        <v>31</v>
      </c>
      <c r="V92" s="128" t="n">
        <f aca="false">CHOOSE(F$3,A93+24,A92)</f>
        <v>39783</v>
      </c>
      <c r="W92" s="5" t="n">
        <f aca="false">V92-C$3</f>
        <v>2552</v>
      </c>
      <c r="X92" s="124" t="n">
        <f aca="false">VLOOKUP($A92,Table,MATCH(X$4,Curves,0))</f>
        <v>2</v>
      </c>
      <c r="Y92" s="129" t="n">
        <f aca="false">1/(1+CHOOSE(F$3,(X93+($K$3/10000))/2,(X92+($K$3/10000))/2))^(2*W92/365.25)</f>
        <v>6.2145505532339E-005</v>
      </c>
      <c r="Z92" s="5" t="n">
        <f aca="false">IF(AND(mthbeg&lt;=A92,mthend&gt;=A92),1,0)</f>
        <v>0</v>
      </c>
      <c r="AA92" s="5" t="n">
        <f aca="false">U92*Z92</f>
        <v>0</v>
      </c>
      <c r="AC92" s="115" t="n">
        <f aca="false">IF(G85=2,F92*(S92-Q92),F92*(Q92-S92))</f>
        <v>0</v>
      </c>
      <c r="AE92" s="116" t="n">
        <f aca="false">IF($G$3=1,F92*(R92-Q92),F92*(Q92-R92))</f>
        <v>0</v>
      </c>
      <c r="AG92" s="116" t="n">
        <f aca="false">AC92+AE92</f>
        <v>0</v>
      </c>
    </row>
    <row r="93" customFormat="false" ht="12.75" hidden="false" customHeight="false" outlineLevel="0" collapsed="false">
      <c r="A93" s="120" t="n">
        <f aca="false">EDATE(A92,1)</f>
        <v>39814</v>
      </c>
      <c r="B93" s="121" t="e">
        <f aca="false">VLOOKUP(A93,'Inputs-Summary'!$A$32:$E$41,4,FALSE())</f>
        <v>#N/A</v>
      </c>
      <c r="C93" s="122"/>
      <c r="D93" s="123" t="e">
        <f aca="false">B93+C93</f>
        <v>#N/A</v>
      </c>
      <c r="E93" s="111" t="n">
        <f aca="false">IF(Z93=0,0,IF(AND(Z93=1,$H$3=1),D93*U93,IF($H$3=2,D93,"N/A")))</f>
        <v>0</v>
      </c>
      <c r="F93" s="111" t="n">
        <f aca="false">E93*Y93</f>
        <v>0</v>
      </c>
      <c r="G93" s="124" t="n">
        <f aca="false">VLOOKUP($A93,Table,MATCH(G$4,Curves,0))</f>
        <v>3</v>
      </c>
      <c r="H93" s="125" t="n">
        <f aca="false">G93+$H$7</f>
        <v>3</v>
      </c>
      <c r="I93" s="124" t="n">
        <f aca="false">H93</f>
        <v>3</v>
      </c>
      <c r="J93" s="124" t="n">
        <f aca="false">VLOOKUP($A93,Table,MATCH(J$4,Curves,0))</f>
        <v>4</v>
      </c>
      <c r="K93" s="125" t="n">
        <f aca="false">J93+$K$7</f>
        <v>4</v>
      </c>
      <c r="L93" s="126" t="n">
        <f aca="false">K93</f>
        <v>4</v>
      </c>
      <c r="M93" s="124" t="n">
        <f aca="false">VLOOKUP($A93,Table,MATCH(M$4,Curves,0))</f>
        <v>4</v>
      </c>
      <c r="N93" s="125" t="n">
        <f aca="false">M93+$N$7</f>
        <v>4</v>
      </c>
      <c r="O93" s="126" t="n">
        <v>0.25</v>
      </c>
      <c r="P93" s="114"/>
      <c r="Q93" s="126" t="n">
        <f aca="false">M93+J93+G93</f>
        <v>11</v>
      </c>
      <c r="R93" s="126" t="n">
        <f aca="false">N93+K93+H93</f>
        <v>11</v>
      </c>
      <c r="S93" s="126" t="n">
        <f aca="false">O93+L93+I93</f>
        <v>7.25</v>
      </c>
      <c r="T93" s="127"/>
      <c r="U93" s="5" t="n">
        <f aca="false">A94-A93</f>
        <v>31</v>
      </c>
      <c r="V93" s="128" t="n">
        <f aca="false">CHOOSE(F$3,A94+24,A93)</f>
        <v>39814</v>
      </c>
      <c r="W93" s="5" t="n">
        <f aca="false">V93-C$3</f>
        <v>2583</v>
      </c>
      <c r="X93" s="124" t="n">
        <f aca="false">VLOOKUP($A93,Table,MATCH(X$4,Curves,0))</f>
        <v>2</v>
      </c>
      <c r="Y93" s="129" t="n">
        <f aca="false">1/(1+CHOOSE(F$3,(X94+($K$3/10000))/2,(X93+($K$3/10000))/2))^(2*W93/365.25)</f>
        <v>5.52472750348622E-005</v>
      </c>
      <c r="Z93" s="5" t="n">
        <f aca="false">IF(AND(mthbeg&lt;=A93,mthend&gt;=A93),1,0)</f>
        <v>0</v>
      </c>
      <c r="AA93" s="5" t="n">
        <f aca="false">U93*Z93</f>
        <v>0</v>
      </c>
      <c r="AC93" s="115" t="n">
        <f aca="false">IF(G86=2,F93*(S93-Q93),F93*(Q93-S93))</f>
        <v>0</v>
      </c>
      <c r="AE93" s="116" t="n">
        <f aca="false">IF($G$3=1,F93*(R93-Q93),F93*(Q93-R93))</f>
        <v>0</v>
      </c>
      <c r="AG93" s="116" t="n">
        <f aca="false">AC93+AE93</f>
        <v>0</v>
      </c>
    </row>
    <row r="94" customFormat="false" ht="12.75" hidden="false" customHeight="false" outlineLevel="0" collapsed="false">
      <c r="A94" s="120" t="n">
        <f aca="false">EDATE(A93,1)</f>
        <v>39845</v>
      </c>
      <c r="B94" s="121" t="e">
        <f aca="false">VLOOKUP(A94,'Inputs-Summary'!$A$32:$E$41,4,FALSE())</f>
        <v>#N/A</v>
      </c>
      <c r="C94" s="122"/>
      <c r="D94" s="123" t="e">
        <f aca="false">B94+C94</f>
        <v>#N/A</v>
      </c>
      <c r="E94" s="111" t="n">
        <f aca="false">IF(Z94=0,0,IF(AND(Z94=1,$H$3=1),D94*U94,IF($H$3=2,D94,"N/A")))</f>
        <v>0</v>
      </c>
      <c r="F94" s="111" t="n">
        <f aca="false">E94*Y94</f>
        <v>0</v>
      </c>
      <c r="G94" s="124" t="n">
        <f aca="false">VLOOKUP($A94,Table,MATCH(G$4,Curves,0))</f>
        <v>3</v>
      </c>
      <c r="H94" s="125" t="n">
        <f aca="false">G94+$H$7</f>
        <v>3</v>
      </c>
      <c r="I94" s="124" t="n">
        <f aca="false">H94</f>
        <v>3</v>
      </c>
      <c r="J94" s="124" t="n">
        <f aca="false">VLOOKUP($A94,Table,MATCH(J$4,Curves,0))</f>
        <v>4</v>
      </c>
      <c r="K94" s="125" t="n">
        <f aca="false">J94+$K$7</f>
        <v>4</v>
      </c>
      <c r="L94" s="126" t="n">
        <f aca="false">K94</f>
        <v>4</v>
      </c>
      <c r="M94" s="124" t="n">
        <f aca="false">VLOOKUP($A94,Table,MATCH(M$4,Curves,0))</f>
        <v>4</v>
      </c>
      <c r="N94" s="125" t="n">
        <f aca="false">M94+$N$7</f>
        <v>4</v>
      </c>
      <c r="O94" s="126" t="n">
        <v>0.25</v>
      </c>
      <c r="P94" s="114"/>
      <c r="Q94" s="126" t="n">
        <f aca="false">M94+J94+G94</f>
        <v>11</v>
      </c>
      <c r="R94" s="126" t="n">
        <f aca="false">N94+K94+H94</f>
        <v>11</v>
      </c>
      <c r="S94" s="126" t="n">
        <f aca="false">O94+L94+I94</f>
        <v>7.25</v>
      </c>
      <c r="T94" s="127"/>
      <c r="U94" s="5" t="n">
        <f aca="false">A95-A94</f>
        <v>28</v>
      </c>
      <c r="V94" s="128" t="n">
        <f aca="false">CHOOSE(F$3,A95+24,A94)</f>
        <v>39845</v>
      </c>
      <c r="W94" s="5" t="n">
        <f aca="false">V94-C$3</f>
        <v>2614</v>
      </c>
      <c r="X94" s="124" t="n">
        <f aca="false">VLOOKUP($A94,Table,MATCH(X$4,Curves,0))</f>
        <v>2</v>
      </c>
      <c r="Y94" s="129" t="n">
        <f aca="false">1/(1+CHOOSE(F$3,(X95+($K$3/10000))/2,(X94+($K$3/10000))/2))^(2*W94/365.25)</f>
        <v>4.91147569342627E-005</v>
      </c>
      <c r="Z94" s="5" t="n">
        <f aca="false">IF(AND(mthbeg&lt;=A94,mthend&gt;=A94),1,0)</f>
        <v>0</v>
      </c>
      <c r="AA94" s="5" t="n">
        <f aca="false">U94*Z94</f>
        <v>0</v>
      </c>
      <c r="AC94" s="115" t="n">
        <f aca="false">IF(G87=2,F94*(S94-Q94),F94*(Q94-S94))</f>
        <v>0</v>
      </c>
      <c r="AE94" s="116" t="n">
        <f aca="false">IF($G$3=1,F94*(R94-Q94),F94*(Q94-R94))</f>
        <v>0</v>
      </c>
      <c r="AG94" s="116" t="n">
        <f aca="false">AC94+AE94</f>
        <v>0</v>
      </c>
    </row>
    <row r="95" customFormat="false" ht="12.75" hidden="false" customHeight="false" outlineLevel="0" collapsed="false">
      <c r="A95" s="120" t="n">
        <f aca="false">EDATE(A94,1)</f>
        <v>39873</v>
      </c>
      <c r="B95" s="121" t="e">
        <f aca="false">VLOOKUP(A95,'Inputs-Summary'!$A$32:$E$41,4,FALSE())</f>
        <v>#N/A</v>
      </c>
      <c r="C95" s="122"/>
      <c r="D95" s="123" t="e">
        <f aca="false">B95+C95</f>
        <v>#N/A</v>
      </c>
      <c r="E95" s="111" t="n">
        <f aca="false">IF(Z95=0,0,IF(AND(Z95=1,$H$3=1),D95*U95,IF($H$3=2,D95,"N/A")))</f>
        <v>0</v>
      </c>
      <c r="F95" s="111" t="n">
        <f aca="false">E95*Y95</f>
        <v>0</v>
      </c>
      <c r="G95" s="124" t="n">
        <f aca="false">VLOOKUP($A95,Table,MATCH(G$4,Curves,0))</f>
        <v>3</v>
      </c>
      <c r="H95" s="125" t="n">
        <f aca="false">G95+$H$7</f>
        <v>3</v>
      </c>
      <c r="I95" s="124" t="n">
        <f aca="false">H95</f>
        <v>3</v>
      </c>
      <c r="J95" s="124" t="n">
        <f aca="false">VLOOKUP($A95,Table,MATCH(J$4,Curves,0))</f>
        <v>4</v>
      </c>
      <c r="K95" s="125" t="n">
        <f aca="false">J95+$K$7</f>
        <v>4</v>
      </c>
      <c r="L95" s="126" t="n">
        <f aca="false">K95</f>
        <v>4</v>
      </c>
      <c r="M95" s="124" t="n">
        <f aca="false">VLOOKUP($A95,Table,MATCH(M$4,Curves,0))</f>
        <v>4</v>
      </c>
      <c r="N95" s="125" t="n">
        <f aca="false">M95+$N$7</f>
        <v>4</v>
      </c>
      <c r="O95" s="126" t="n">
        <v>0.25</v>
      </c>
      <c r="P95" s="114"/>
      <c r="Q95" s="126" t="n">
        <f aca="false">M95+J95+G95</f>
        <v>11</v>
      </c>
      <c r="R95" s="126" t="n">
        <f aca="false">N95+K95+H95</f>
        <v>11</v>
      </c>
      <c r="S95" s="126" t="n">
        <f aca="false">O95+L95+I95</f>
        <v>7.25</v>
      </c>
      <c r="T95" s="127"/>
      <c r="U95" s="5" t="n">
        <f aca="false">A96-A95</f>
        <v>31</v>
      </c>
      <c r="V95" s="128" t="n">
        <f aca="false">CHOOSE(F$3,A96+24,A95)</f>
        <v>39873</v>
      </c>
      <c r="W95" s="5" t="n">
        <f aca="false">V95-C$3</f>
        <v>2642</v>
      </c>
      <c r="X95" s="124" t="n">
        <f aca="false">VLOOKUP($A95,Table,MATCH(X$4,Curves,0))</f>
        <v>2</v>
      </c>
      <c r="Y95" s="129" t="n">
        <f aca="false">1/(1+CHOOSE(F$3,(X96+($K$3/10000))/2,(X95+($K$3/10000))/2))^(2*W95/365.25)</f>
        <v>4.41629613460002E-005</v>
      </c>
      <c r="Z95" s="5" t="n">
        <f aca="false">IF(AND(mthbeg&lt;=A95,mthend&gt;=A95),1,0)</f>
        <v>0</v>
      </c>
      <c r="AA95" s="5" t="n">
        <f aca="false">U95*Z95</f>
        <v>0</v>
      </c>
      <c r="AC95" s="115" t="n">
        <f aca="false">IF(G88=2,F95*(S95-Q95),F95*(Q95-S95))</f>
        <v>0</v>
      </c>
      <c r="AE95" s="116" t="n">
        <f aca="false">IF($G$3=1,F95*(R95-Q95),F95*(Q95-R95))</f>
        <v>0</v>
      </c>
      <c r="AG95" s="116" t="n">
        <f aca="false">AC95+AE95</f>
        <v>0</v>
      </c>
    </row>
    <row r="96" customFormat="false" ht="12.75" hidden="false" customHeight="false" outlineLevel="0" collapsed="false">
      <c r="A96" s="120" t="n">
        <f aca="false">EDATE(A95,1)</f>
        <v>39904</v>
      </c>
      <c r="B96" s="121" t="e">
        <f aca="false">VLOOKUP(A96,'Inputs-Summary'!$A$32:$E$41,4,FALSE())</f>
        <v>#N/A</v>
      </c>
      <c r="C96" s="122"/>
      <c r="D96" s="123" t="e">
        <f aca="false">B96+C96</f>
        <v>#N/A</v>
      </c>
      <c r="E96" s="111" t="n">
        <f aca="false">IF(Z96=0,0,IF(AND(Z96=1,$H$3=1),D96*U96,IF($H$3=2,D96,"N/A")))</f>
        <v>0</v>
      </c>
      <c r="F96" s="111" t="n">
        <f aca="false">E96*Y96</f>
        <v>0</v>
      </c>
      <c r="G96" s="124" t="n">
        <f aca="false">VLOOKUP($A96,Table,MATCH(G$4,Curves,0))</f>
        <v>3</v>
      </c>
      <c r="H96" s="125" t="n">
        <f aca="false">G96+$H$7</f>
        <v>3</v>
      </c>
      <c r="I96" s="124" t="n">
        <f aca="false">H96</f>
        <v>3</v>
      </c>
      <c r="J96" s="124" t="n">
        <f aca="false">VLOOKUP($A96,Table,MATCH(J$4,Curves,0))</f>
        <v>4</v>
      </c>
      <c r="K96" s="125" t="n">
        <f aca="false">J96+$K$7</f>
        <v>4</v>
      </c>
      <c r="L96" s="126" t="n">
        <f aca="false">K96</f>
        <v>4</v>
      </c>
      <c r="M96" s="124" t="n">
        <f aca="false">VLOOKUP($A96,Table,MATCH(M$4,Curves,0))</f>
        <v>4</v>
      </c>
      <c r="N96" s="125" t="n">
        <f aca="false">M96+$N$7</f>
        <v>4</v>
      </c>
      <c r="O96" s="126" t="n">
        <v>0.25</v>
      </c>
      <c r="P96" s="114"/>
      <c r="Q96" s="126" t="n">
        <f aca="false">M96+J96+G96</f>
        <v>11</v>
      </c>
      <c r="R96" s="126" t="n">
        <f aca="false">N96+K96+H96</f>
        <v>11</v>
      </c>
      <c r="S96" s="126" t="n">
        <f aca="false">O96+L96+I96</f>
        <v>7.25</v>
      </c>
      <c r="T96" s="127"/>
      <c r="U96" s="5" t="n">
        <f aca="false">A97-A96</f>
        <v>30</v>
      </c>
      <c r="V96" s="128" t="n">
        <f aca="false">CHOOSE(F$3,A97+24,A96)</f>
        <v>39904</v>
      </c>
      <c r="W96" s="5" t="n">
        <f aca="false">V96-C$3</f>
        <v>2673</v>
      </c>
      <c r="X96" s="124" t="n">
        <f aca="false">VLOOKUP($A96,Table,MATCH(X$4,Curves,0))</f>
        <v>2</v>
      </c>
      <c r="Y96" s="129" t="n">
        <f aca="false">1/(1+CHOOSE(F$3,(X97+($K$3/10000))/2,(X96+($K$3/10000))/2))^(2*W96/365.25)</f>
        <v>3.9260816223738E-005</v>
      </c>
      <c r="Z96" s="5" t="n">
        <f aca="false">IF(AND(mthbeg&lt;=A96,mthend&gt;=A96),1,0)</f>
        <v>0</v>
      </c>
      <c r="AA96" s="5" t="n">
        <f aca="false">U96*Z96</f>
        <v>0</v>
      </c>
      <c r="AC96" s="115" t="n">
        <f aca="false">IF(G89=2,F96*(S96-Q96),F96*(Q96-S96))</f>
        <v>0</v>
      </c>
      <c r="AE96" s="116" t="n">
        <f aca="false">IF($G$3=1,F96*(R96-Q96),F96*(Q96-R96))</f>
        <v>0</v>
      </c>
      <c r="AG96" s="116" t="n">
        <f aca="false">AC96+AE96</f>
        <v>0</v>
      </c>
    </row>
    <row r="97" customFormat="false" ht="12.75" hidden="false" customHeight="false" outlineLevel="0" collapsed="false">
      <c r="A97" s="120" t="n">
        <f aca="false">EDATE(A96,1)</f>
        <v>39934</v>
      </c>
      <c r="B97" s="121" t="e">
        <f aca="false">VLOOKUP(A97,'Inputs-Summary'!$A$32:$E$41,4,FALSE())</f>
        <v>#N/A</v>
      </c>
      <c r="C97" s="122"/>
      <c r="D97" s="123" t="e">
        <f aca="false">B97+C97</f>
        <v>#N/A</v>
      </c>
      <c r="E97" s="111" t="n">
        <f aca="false">IF(Z97=0,0,IF(AND(Z97=1,$H$3=1),D97*U97,IF($H$3=2,D97,"N/A")))</f>
        <v>0</v>
      </c>
      <c r="F97" s="111" t="n">
        <f aca="false">E97*Y97</f>
        <v>0</v>
      </c>
      <c r="G97" s="124" t="n">
        <f aca="false">VLOOKUP($A97,Table,MATCH(G$4,Curves,0))</f>
        <v>3</v>
      </c>
      <c r="H97" s="125" t="n">
        <f aca="false">G97+$H$7</f>
        <v>3</v>
      </c>
      <c r="I97" s="124" t="n">
        <f aca="false">H97</f>
        <v>3</v>
      </c>
      <c r="J97" s="124" t="n">
        <f aca="false">VLOOKUP($A97,Table,MATCH(J$4,Curves,0))</f>
        <v>4</v>
      </c>
      <c r="K97" s="125" t="n">
        <f aca="false">J97+$K$7</f>
        <v>4</v>
      </c>
      <c r="L97" s="126" t="n">
        <f aca="false">K97</f>
        <v>4</v>
      </c>
      <c r="M97" s="124" t="n">
        <f aca="false">VLOOKUP($A97,Table,MATCH(M$4,Curves,0))</f>
        <v>4</v>
      </c>
      <c r="N97" s="125" t="n">
        <f aca="false">M97+$N$7</f>
        <v>4</v>
      </c>
      <c r="O97" s="126" t="n">
        <v>0.25</v>
      </c>
      <c r="P97" s="114"/>
      <c r="Q97" s="126" t="n">
        <f aca="false">M97+J97+G97</f>
        <v>11</v>
      </c>
      <c r="R97" s="126" t="n">
        <f aca="false">N97+K97+H97</f>
        <v>11</v>
      </c>
      <c r="S97" s="126" t="n">
        <f aca="false">O97+L97+I97</f>
        <v>7.25</v>
      </c>
      <c r="T97" s="127"/>
      <c r="U97" s="5" t="n">
        <f aca="false">A98-A97</f>
        <v>31</v>
      </c>
      <c r="V97" s="128" t="n">
        <f aca="false">CHOOSE(F$3,A98+24,A97)</f>
        <v>39934</v>
      </c>
      <c r="W97" s="5" t="n">
        <f aca="false">V97-C$3</f>
        <v>2703</v>
      </c>
      <c r="X97" s="124" t="n">
        <f aca="false">VLOOKUP($A97,Table,MATCH(X$4,Curves,0))</f>
        <v>2</v>
      </c>
      <c r="Y97" s="129" t="n">
        <f aca="false">1/(1+CHOOSE(F$3,(X98+($K$3/10000))/2,(X97+($K$3/10000))/2))^(2*W97/365.25)</f>
        <v>3.50355396758837E-005</v>
      </c>
      <c r="Z97" s="5" t="n">
        <f aca="false">IF(AND(mthbeg&lt;=A97,mthend&gt;=A97),1,0)</f>
        <v>0</v>
      </c>
      <c r="AA97" s="5" t="n">
        <f aca="false">U97*Z97</f>
        <v>0</v>
      </c>
      <c r="AC97" s="115" t="n">
        <f aca="false">IF(G90=2,F97*(S97-Q97),F97*(Q97-S97))</f>
        <v>0</v>
      </c>
      <c r="AE97" s="116" t="n">
        <f aca="false">IF($G$3=1,F97*(R97-Q97),F97*(Q97-R97))</f>
        <v>0</v>
      </c>
      <c r="AG97" s="116" t="n">
        <f aca="false">AC97+AE97</f>
        <v>0</v>
      </c>
    </row>
    <row r="98" customFormat="false" ht="12.75" hidden="false" customHeight="false" outlineLevel="0" collapsed="false">
      <c r="A98" s="120" t="n">
        <f aca="false">EDATE(A97,1)</f>
        <v>39965</v>
      </c>
      <c r="B98" s="121" t="e">
        <f aca="false">VLOOKUP(A98,'Inputs-Summary'!$A$32:$E$41,4,FALSE())</f>
        <v>#N/A</v>
      </c>
      <c r="C98" s="122"/>
      <c r="D98" s="123" t="e">
        <f aca="false">B98+C98</f>
        <v>#N/A</v>
      </c>
      <c r="E98" s="111" t="n">
        <f aca="false">IF(Z98=0,0,IF(AND(Z98=1,$H$3=1),D98*U98,IF($H$3=2,D98,"N/A")))</f>
        <v>0</v>
      </c>
      <c r="F98" s="111" t="n">
        <f aca="false">E98*Y98</f>
        <v>0</v>
      </c>
      <c r="G98" s="124" t="n">
        <f aca="false">VLOOKUP($A98,Table,MATCH(G$4,Curves,0))</f>
        <v>3</v>
      </c>
      <c r="H98" s="125" t="n">
        <f aca="false">G98+$H$7</f>
        <v>3</v>
      </c>
      <c r="I98" s="124" t="n">
        <f aca="false">H98</f>
        <v>3</v>
      </c>
      <c r="J98" s="124" t="n">
        <f aca="false">VLOOKUP($A98,Table,MATCH(J$4,Curves,0))</f>
        <v>4</v>
      </c>
      <c r="K98" s="125" t="n">
        <f aca="false">J98+$K$7</f>
        <v>4</v>
      </c>
      <c r="L98" s="126" t="n">
        <f aca="false">K98</f>
        <v>4</v>
      </c>
      <c r="M98" s="124" t="n">
        <f aca="false">VLOOKUP($A98,Table,MATCH(M$4,Curves,0))</f>
        <v>4</v>
      </c>
      <c r="N98" s="125" t="n">
        <f aca="false">M98+$N$7</f>
        <v>4</v>
      </c>
      <c r="O98" s="126" t="n">
        <v>0.25</v>
      </c>
      <c r="P98" s="114"/>
      <c r="Q98" s="126" t="n">
        <f aca="false">M98+J98+G98</f>
        <v>11</v>
      </c>
      <c r="R98" s="126" t="n">
        <f aca="false">N98+K98+H98</f>
        <v>11</v>
      </c>
      <c r="S98" s="126" t="n">
        <f aca="false">O98+L98+I98</f>
        <v>7.25</v>
      </c>
      <c r="T98" s="127"/>
      <c r="U98" s="5" t="n">
        <f aca="false">A99-A98</f>
        <v>30</v>
      </c>
      <c r="V98" s="128" t="n">
        <f aca="false">CHOOSE(F$3,A99+24,A98)</f>
        <v>39965</v>
      </c>
      <c r="W98" s="5" t="n">
        <f aca="false">V98-C$3</f>
        <v>2734</v>
      </c>
      <c r="X98" s="124" t="n">
        <f aca="false">VLOOKUP($A98,Table,MATCH(X$4,Curves,0))</f>
        <v>2</v>
      </c>
      <c r="Y98" s="129" t="n">
        <f aca="false">1/(1+CHOOSE(F$3,(X99+($K$3/10000))/2,(X98+($K$3/10000))/2))^(2*W98/365.25)</f>
        <v>3.11465500181848E-005</v>
      </c>
      <c r="Z98" s="5" t="n">
        <f aca="false">IF(AND(mthbeg&lt;=A98,mthend&gt;=A98),1,0)</f>
        <v>0</v>
      </c>
      <c r="AA98" s="5" t="n">
        <f aca="false">U98*Z98</f>
        <v>0</v>
      </c>
      <c r="AC98" s="115" t="n">
        <f aca="false">IF(G91=2,F98*(S98-Q98),F98*(Q98-S98))</f>
        <v>0</v>
      </c>
      <c r="AE98" s="116" t="n">
        <f aca="false">IF($G$3=1,F98*(R98-Q98),F98*(Q98-R98))</f>
        <v>0</v>
      </c>
      <c r="AG98" s="116" t="n">
        <f aca="false">AC98+AE98</f>
        <v>0</v>
      </c>
    </row>
    <row r="99" customFormat="false" ht="12.75" hidden="false" customHeight="false" outlineLevel="0" collapsed="false">
      <c r="A99" s="120" t="n">
        <f aca="false">EDATE(A98,1)</f>
        <v>39995</v>
      </c>
      <c r="B99" s="121" t="e">
        <f aca="false">VLOOKUP(A99,'Inputs-Summary'!$A$32:$E$41,4,FALSE())</f>
        <v>#N/A</v>
      </c>
      <c r="C99" s="122"/>
      <c r="D99" s="123" t="e">
        <f aca="false">B99+C99</f>
        <v>#N/A</v>
      </c>
      <c r="E99" s="111" t="n">
        <f aca="false">IF(Z99=0,0,IF(AND(Z99=1,$H$3=1),D99*U99,IF($H$3=2,D99,"N/A")))</f>
        <v>0</v>
      </c>
      <c r="F99" s="111" t="n">
        <f aca="false">E99*Y99</f>
        <v>0</v>
      </c>
      <c r="G99" s="124" t="n">
        <f aca="false">VLOOKUP($A99,Table,MATCH(G$4,Curves,0))</f>
        <v>3</v>
      </c>
      <c r="H99" s="125" t="n">
        <f aca="false">G99+$H$7</f>
        <v>3</v>
      </c>
      <c r="I99" s="124" t="n">
        <f aca="false">H99</f>
        <v>3</v>
      </c>
      <c r="J99" s="124" t="n">
        <f aca="false">VLOOKUP($A99,Table,MATCH(J$4,Curves,0))</f>
        <v>4</v>
      </c>
      <c r="K99" s="125" t="n">
        <f aca="false">J99+$K$7</f>
        <v>4</v>
      </c>
      <c r="L99" s="126" t="n">
        <f aca="false">K99</f>
        <v>4</v>
      </c>
      <c r="M99" s="124" t="n">
        <f aca="false">VLOOKUP($A99,Table,MATCH(M$4,Curves,0))</f>
        <v>4</v>
      </c>
      <c r="N99" s="125" t="n">
        <f aca="false">M99+$N$7</f>
        <v>4</v>
      </c>
      <c r="O99" s="126" t="n">
        <v>0.25</v>
      </c>
      <c r="P99" s="114"/>
      <c r="Q99" s="126" t="n">
        <f aca="false">M99+J99+G99</f>
        <v>11</v>
      </c>
      <c r="R99" s="126" t="n">
        <f aca="false">N99+K99+H99</f>
        <v>11</v>
      </c>
      <c r="S99" s="126" t="n">
        <f aca="false">O99+L99+I99</f>
        <v>7.25</v>
      </c>
      <c r="T99" s="127"/>
      <c r="U99" s="5" t="n">
        <f aca="false">A100-A99</f>
        <v>31</v>
      </c>
      <c r="V99" s="128" t="n">
        <f aca="false">CHOOSE(F$3,A100+24,A99)</f>
        <v>39995</v>
      </c>
      <c r="W99" s="5" t="n">
        <f aca="false">V99-C$3</f>
        <v>2764</v>
      </c>
      <c r="X99" s="124" t="n">
        <f aca="false">VLOOKUP($A99,Table,MATCH(X$4,Curves,0))</f>
        <v>2</v>
      </c>
      <c r="Y99" s="129" t="n">
        <f aca="false">1/(1+CHOOSE(F$3,(X100+($K$3/10000))/2,(X99+($K$3/10000))/2))^(2*W99/365.25)</f>
        <v>2.77945364841708E-005</v>
      </c>
      <c r="Z99" s="5" t="n">
        <f aca="false">IF(AND(mthbeg&lt;=A99,mthend&gt;=A99),1,0)</f>
        <v>0</v>
      </c>
      <c r="AA99" s="5" t="n">
        <f aca="false">U99*Z99</f>
        <v>0</v>
      </c>
      <c r="AC99" s="115" t="n">
        <f aca="false">IF(G92=2,F99*(S99-Q99),F99*(Q99-S99))</f>
        <v>0</v>
      </c>
      <c r="AE99" s="116" t="n">
        <f aca="false">IF($G$3=1,F99*(R99-Q99),F99*(Q99-R99))</f>
        <v>0</v>
      </c>
      <c r="AG99" s="116" t="n">
        <f aca="false">AC99+AE99</f>
        <v>0</v>
      </c>
    </row>
    <row r="100" customFormat="false" ht="12.75" hidden="false" customHeight="false" outlineLevel="0" collapsed="false">
      <c r="A100" s="120" t="n">
        <f aca="false">EDATE(A99,1)</f>
        <v>40026</v>
      </c>
      <c r="B100" s="121" t="e">
        <f aca="false">VLOOKUP(A100,'Inputs-Summary'!$A$32:$E$41,4,FALSE())</f>
        <v>#N/A</v>
      </c>
      <c r="C100" s="122"/>
      <c r="D100" s="123" t="e">
        <f aca="false">B100+C100</f>
        <v>#N/A</v>
      </c>
      <c r="E100" s="111" t="n">
        <f aca="false">IF(Z100=0,0,IF(AND(Z100=1,$H$3=1),D100*U100,IF($H$3=2,D100,"N/A")))</f>
        <v>0</v>
      </c>
      <c r="F100" s="111" t="n">
        <f aca="false">E100*Y100</f>
        <v>0</v>
      </c>
      <c r="G100" s="124" t="n">
        <f aca="false">VLOOKUP($A100,Table,MATCH(G$4,Curves,0))</f>
        <v>3</v>
      </c>
      <c r="H100" s="125" t="n">
        <f aca="false">G100+$H$7</f>
        <v>3</v>
      </c>
      <c r="I100" s="124" t="n">
        <f aca="false">H100</f>
        <v>3</v>
      </c>
      <c r="J100" s="124" t="n">
        <f aca="false">VLOOKUP($A100,Table,MATCH(J$4,Curves,0))</f>
        <v>4</v>
      </c>
      <c r="K100" s="125" t="n">
        <f aca="false">J100+$K$7</f>
        <v>4</v>
      </c>
      <c r="L100" s="126" t="n">
        <f aca="false">K100</f>
        <v>4</v>
      </c>
      <c r="M100" s="124" t="n">
        <f aca="false">VLOOKUP($A100,Table,MATCH(M$4,Curves,0))</f>
        <v>4</v>
      </c>
      <c r="N100" s="125" t="n">
        <f aca="false">M100+$N$7</f>
        <v>4</v>
      </c>
      <c r="O100" s="126" t="n">
        <v>0.25</v>
      </c>
      <c r="P100" s="114"/>
      <c r="Q100" s="126" t="n">
        <f aca="false">M100+J100+G100</f>
        <v>11</v>
      </c>
      <c r="R100" s="126" t="n">
        <f aca="false">N100+K100+H100</f>
        <v>11</v>
      </c>
      <c r="S100" s="126" t="n">
        <f aca="false">O100+L100+I100</f>
        <v>7.25</v>
      </c>
      <c r="T100" s="127"/>
      <c r="U100" s="5" t="n">
        <f aca="false">A101-A100</f>
        <v>31</v>
      </c>
      <c r="V100" s="128" t="n">
        <f aca="false">CHOOSE(F$3,A101+24,A100)</f>
        <v>40026</v>
      </c>
      <c r="W100" s="5" t="n">
        <f aca="false">V100-C$3</f>
        <v>2795</v>
      </c>
      <c r="X100" s="124" t="n">
        <f aca="false">VLOOKUP($A100,Table,MATCH(X$4,Curves,0))</f>
        <v>2</v>
      </c>
      <c r="Y100" s="129" t="n">
        <f aca="false">1/(1+CHOOSE(F$3,(X101+($K$3/10000))/2,(X100+($K$3/10000))/2))^(2*W100/365.25)</f>
        <v>2.47093074302601E-005</v>
      </c>
      <c r="Z100" s="5" t="n">
        <f aca="false">IF(AND(mthbeg&lt;=A100,mthend&gt;=A100),1,0)</f>
        <v>0</v>
      </c>
      <c r="AA100" s="5" t="n">
        <f aca="false">U100*Z100</f>
        <v>0</v>
      </c>
      <c r="AC100" s="115" t="n">
        <f aca="false">IF(G93=2,F100*(S100-Q100),F100*(Q100-S100))</f>
        <v>0</v>
      </c>
      <c r="AE100" s="116" t="n">
        <f aca="false">IF($G$3=1,F100*(R100-Q100),F100*(Q100-R100))</f>
        <v>0</v>
      </c>
      <c r="AG100" s="116" t="n">
        <f aca="false">AC100+AE100</f>
        <v>0</v>
      </c>
    </row>
    <row r="101" customFormat="false" ht="12.75" hidden="false" customHeight="false" outlineLevel="0" collapsed="false">
      <c r="A101" s="120" t="n">
        <f aca="false">EDATE(A100,1)</f>
        <v>40057</v>
      </c>
      <c r="B101" s="121" t="e">
        <f aca="false">VLOOKUP(A101,'Inputs-Summary'!$A$32:$E$41,4,FALSE())</f>
        <v>#N/A</v>
      </c>
      <c r="C101" s="122"/>
      <c r="D101" s="123" t="e">
        <f aca="false">B101+C101</f>
        <v>#N/A</v>
      </c>
      <c r="E101" s="111" t="n">
        <f aca="false">IF(Z101=0,0,IF(AND(Z101=1,$H$3=1),D101*U101,IF($H$3=2,D101,"N/A")))</f>
        <v>0</v>
      </c>
      <c r="F101" s="111" t="n">
        <f aca="false">E101*Y101</f>
        <v>0</v>
      </c>
      <c r="G101" s="124" t="n">
        <f aca="false">VLOOKUP($A101,Table,MATCH(G$4,Curves,0))</f>
        <v>3</v>
      </c>
      <c r="H101" s="125" t="n">
        <f aca="false">G101+$H$7</f>
        <v>3</v>
      </c>
      <c r="I101" s="124" t="n">
        <f aca="false">H101</f>
        <v>3</v>
      </c>
      <c r="J101" s="124" t="n">
        <f aca="false">VLOOKUP($A101,Table,MATCH(J$4,Curves,0))</f>
        <v>4</v>
      </c>
      <c r="K101" s="125" t="n">
        <f aca="false">J101+$K$7</f>
        <v>4</v>
      </c>
      <c r="L101" s="126" t="n">
        <f aca="false">K101</f>
        <v>4</v>
      </c>
      <c r="M101" s="124" t="n">
        <f aca="false">VLOOKUP($A101,Table,MATCH(M$4,Curves,0))</f>
        <v>4</v>
      </c>
      <c r="N101" s="125" t="n">
        <f aca="false">M101+$N$7</f>
        <v>4</v>
      </c>
      <c r="O101" s="126" t="n">
        <v>0.25</v>
      </c>
      <c r="P101" s="114"/>
      <c r="Q101" s="126" t="n">
        <f aca="false">M101+J101+G101</f>
        <v>11</v>
      </c>
      <c r="R101" s="126" t="n">
        <f aca="false">N101+K101+H101</f>
        <v>11</v>
      </c>
      <c r="S101" s="126" t="n">
        <f aca="false">O101+L101+I101</f>
        <v>7.25</v>
      </c>
      <c r="T101" s="127"/>
      <c r="U101" s="5" t="n">
        <f aca="false">A102-A101</f>
        <v>30</v>
      </c>
      <c r="V101" s="128" t="n">
        <f aca="false">CHOOSE(F$3,A102+24,A101)</f>
        <v>40057</v>
      </c>
      <c r="W101" s="5" t="n">
        <f aca="false">V101-C$3</f>
        <v>2826</v>
      </c>
      <c r="X101" s="124" t="n">
        <f aca="false">VLOOKUP($A101,Table,MATCH(X$4,Curves,0))</f>
        <v>2</v>
      </c>
      <c r="Y101" s="129" t="n">
        <f aca="false">1/(1+CHOOSE(F$3,(X102+($K$3/10000))/2,(X101+($K$3/10000))/2))^(2*W101/365.25)</f>
        <v>2.19665427423415E-005</v>
      </c>
      <c r="Z101" s="5" t="n">
        <f aca="false">IF(AND(mthbeg&lt;=A101,mthend&gt;=A101),1,0)</f>
        <v>0</v>
      </c>
      <c r="AA101" s="5" t="n">
        <f aca="false">U101*Z101</f>
        <v>0</v>
      </c>
      <c r="AC101" s="115" t="n">
        <f aca="false">IF(G94=2,F101*(S101-Q101),F101*(Q101-S101))</f>
        <v>0</v>
      </c>
      <c r="AE101" s="116" t="n">
        <f aca="false">IF($G$3=1,F101*(R101-Q101),F101*(Q101-R101))</f>
        <v>0</v>
      </c>
      <c r="AG101" s="116" t="n">
        <f aca="false">AC101+AE101</f>
        <v>0</v>
      </c>
    </row>
    <row r="102" customFormat="false" ht="12.75" hidden="false" customHeight="false" outlineLevel="0" collapsed="false">
      <c r="A102" s="120" t="n">
        <f aca="false">EDATE(A101,1)</f>
        <v>40087</v>
      </c>
      <c r="B102" s="121" t="e">
        <f aca="false">VLOOKUP(A102,'Inputs-Summary'!$A$32:$E$41,4,FALSE())</f>
        <v>#N/A</v>
      </c>
      <c r="C102" s="122"/>
      <c r="D102" s="123" t="e">
        <f aca="false">B102+C102</f>
        <v>#N/A</v>
      </c>
      <c r="E102" s="111" t="n">
        <f aca="false">IF(Z102=0,0,IF(AND(Z102=1,$H$3=1),D102*U102,IF($H$3=2,D102,"N/A")))</f>
        <v>0</v>
      </c>
      <c r="F102" s="111" t="n">
        <f aca="false">E102*Y102</f>
        <v>0</v>
      </c>
      <c r="G102" s="124" t="n">
        <f aca="false">VLOOKUP($A102,Table,MATCH(G$4,Curves,0))</f>
        <v>3</v>
      </c>
      <c r="H102" s="125" t="n">
        <f aca="false">G102+$H$7</f>
        <v>3</v>
      </c>
      <c r="I102" s="124" t="n">
        <f aca="false">H102</f>
        <v>3</v>
      </c>
      <c r="J102" s="124" t="n">
        <f aca="false">VLOOKUP($A102,Table,MATCH(J$4,Curves,0))</f>
        <v>4</v>
      </c>
      <c r="K102" s="125" t="n">
        <f aca="false">J102+$K$7</f>
        <v>4</v>
      </c>
      <c r="L102" s="126" t="n">
        <f aca="false">K102</f>
        <v>4</v>
      </c>
      <c r="M102" s="124" t="n">
        <f aca="false">VLOOKUP($A102,Table,MATCH(M$4,Curves,0))</f>
        <v>4</v>
      </c>
      <c r="N102" s="125" t="n">
        <f aca="false">M102+$N$7</f>
        <v>4</v>
      </c>
      <c r="O102" s="126" t="n">
        <v>0.25</v>
      </c>
      <c r="P102" s="114"/>
      <c r="Q102" s="126" t="n">
        <f aca="false">M102+J102+G102</f>
        <v>11</v>
      </c>
      <c r="R102" s="126" t="n">
        <f aca="false">N102+K102+H102</f>
        <v>11</v>
      </c>
      <c r="S102" s="126" t="n">
        <f aca="false">O102+L102+I102</f>
        <v>7.25</v>
      </c>
      <c r="T102" s="127"/>
      <c r="U102" s="5" t="n">
        <f aca="false">A103-A102</f>
        <v>31</v>
      </c>
      <c r="V102" s="128" t="n">
        <f aca="false">CHOOSE(F$3,A103+24,A102)</f>
        <v>40087</v>
      </c>
      <c r="W102" s="5" t="n">
        <f aca="false">V102-C$3</f>
        <v>2856</v>
      </c>
      <c r="X102" s="124" t="n">
        <f aca="false">VLOOKUP($A102,Table,MATCH(X$4,Curves,0))</f>
        <v>2</v>
      </c>
      <c r="Y102" s="129" t="n">
        <f aca="false">1/(1+CHOOSE(F$3,(X103+($K$3/10000))/2,(X102+($K$3/10000))/2))^(2*W102/365.25)</f>
        <v>1.96024880228031E-005</v>
      </c>
      <c r="Z102" s="5" t="n">
        <f aca="false">IF(AND(mthbeg&lt;=A102,mthend&gt;=A102),1,0)</f>
        <v>0</v>
      </c>
      <c r="AA102" s="5" t="n">
        <f aca="false">U102*Z102</f>
        <v>0</v>
      </c>
      <c r="AC102" s="115" t="n">
        <f aca="false">IF(G95=2,F102*(S102-Q102),F102*(Q102-S102))</f>
        <v>0</v>
      </c>
      <c r="AE102" s="116" t="n">
        <f aca="false">IF($G$3=1,F102*(R102-Q102),F102*(Q102-R102))</f>
        <v>0</v>
      </c>
      <c r="AG102" s="116" t="n">
        <f aca="false">AC102+AE102</f>
        <v>0</v>
      </c>
    </row>
    <row r="103" customFormat="false" ht="12.75" hidden="false" customHeight="false" outlineLevel="0" collapsed="false">
      <c r="A103" s="120" t="n">
        <f aca="false">EDATE(A102,1)</f>
        <v>40118</v>
      </c>
      <c r="B103" s="121" t="e">
        <f aca="false">VLOOKUP(A103,'Inputs-Summary'!$A$32:$E$41,4,FALSE())</f>
        <v>#N/A</v>
      </c>
      <c r="C103" s="122"/>
      <c r="D103" s="123" t="e">
        <f aca="false">B103+C103</f>
        <v>#N/A</v>
      </c>
      <c r="E103" s="111" t="n">
        <f aca="false">IF(Z103=0,0,IF(AND(Z103=1,$H$3=1),D103*U103,IF($H$3=2,D103,"N/A")))</f>
        <v>0</v>
      </c>
      <c r="F103" s="111" t="n">
        <f aca="false">E103*Y103</f>
        <v>0</v>
      </c>
      <c r="G103" s="124" t="n">
        <f aca="false">VLOOKUP($A103,Table,MATCH(G$4,Curves,0))</f>
        <v>3</v>
      </c>
      <c r="H103" s="125" t="n">
        <f aca="false">G103+$H$7</f>
        <v>3</v>
      </c>
      <c r="I103" s="124" t="n">
        <f aca="false">H103</f>
        <v>3</v>
      </c>
      <c r="J103" s="124" t="n">
        <f aca="false">VLOOKUP($A103,Table,MATCH(J$4,Curves,0))</f>
        <v>4</v>
      </c>
      <c r="K103" s="125" t="n">
        <f aca="false">J103+$K$7</f>
        <v>4</v>
      </c>
      <c r="L103" s="126" t="n">
        <f aca="false">K103</f>
        <v>4</v>
      </c>
      <c r="M103" s="124" t="n">
        <f aca="false">VLOOKUP($A103,Table,MATCH(M$4,Curves,0))</f>
        <v>4</v>
      </c>
      <c r="N103" s="125" t="n">
        <f aca="false">M103+$N$7</f>
        <v>4</v>
      </c>
      <c r="O103" s="126" t="n">
        <v>0.25</v>
      </c>
      <c r="P103" s="114"/>
      <c r="Q103" s="126" t="n">
        <f aca="false">M103+J103+G103</f>
        <v>11</v>
      </c>
      <c r="R103" s="126" t="n">
        <f aca="false">N103+K103+H103</f>
        <v>11</v>
      </c>
      <c r="S103" s="126" t="n">
        <f aca="false">O103+L103+I103</f>
        <v>7.25</v>
      </c>
      <c r="T103" s="127"/>
      <c r="U103" s="5" t="n">
        <f aca="false">A104-A103</f>
        <v>30</v>
      </c>
      <c r="V103" s="128" t="n">
        <f aca="false">CHOOSE(F$3,A104+24,A103)</f>
        <v>40118</v>
      </c>
      <c r="W103" s="5" t="n">
        <f aca="false">V103-C$3</f>
        <v>2887</v>
      </c>
      <c r="X103" s="124" t="n">
        <f aca="false">VLOOKUP($A103,Table,MATCH(X$4,Curves,0))</f>
        <v>2</v>
      </c>
      <c r="Y103" s="129" t="n">
        <f aca="false">1/(1+CHOOSE(F$3,(X104+($K$3/10000))/2,(X103+($K$3/10000))/2))^(2*W103/365.25)</f>
        <v>1.7426586812458E-005</v>
      </c>
      <c r="Z103" s="5" t="n">
        <f aca="false">IF(AND(mthbeg&lt;=A103,mthend&gt;=A103),1,0)</f>
        <v>0</v>
      </c>
      <c r="AA103" s="5" t="n">
        <f aca="false">U103*Z103</f>
        <v>0</v>
      </c>
      <c r="AC103" s="115" t="n">
        <f aca="false">IF(G96=2,F103*(S103-Q103),F103*(Q103-S103))</f>
        <v>0</v>
      </c>
      <c r="AE103" s="116" t="n">
        <f aca="false">IF($G$3=1,F103*(R103-Q103),F103*(Q103-R103))</f>
        <v>0</v>
      </c>
      <c r="AG103" s="116" t="n">
        <f aca="false">AC103+AE103</f>
        <v>0</v>
      </c>
    </row>
    <row r="104" customFormat="false" ht="12.75" hidden="false" customHeight="false" outlineLevel="0" collapsed="false">
      <c r="A104" s="120" t="n">
        <f aca="false">EDATE(A103,1)</f>
        <v>40148</v>
      </c>
      <c r="B104" s="121" t="e">
        <f aca="false">VLOOKUP(A104,'Inputs-Summary'!$A$32:$E$41,4,FALSE())</f>
        <v>#N/A</v>
      </c>
      <c r="C104" s="122"/>
      <c r="D104" s="123" t="e">
        <f aca="false">B104+C104</f>
        <v>#N/A</v>
      </c>
      <c r="E104" s="111" t="n">
        <f aca="false">IF(Z104=0,0,IF(AND(Z104=1,$H$3=1),D104*U104,IF($H$3=2,D104,"N/A")))</f>
        <v>0</v>
      </c>
      <c r="F104" s="111" t="n">
        <f aca="false">E104*Y104</f>
        <v>0</v>
      </c>
      <c r="G104" s="124" t="n">
        <f aca="false">VLOOKUP($A104,Table,MATCH(G$4,Curves,0))</f>
        <v>3</v>
      </c>
      <c r="H104" s="125" t="n">
        <f aca="false">G104+$H$7</f>
        <v>3</v>
      </c>
      <c r="I104" s="124" t="n">
        <f aca="false">H104</f>
        <v>3</v>
      </c>
      <c r="J104" s="124" t="n">
        <f aca="false">VLOOKUP($A104,Table,MATCH(J$4,Curves,0))</f>
        <v>4</v>
      </c>
      <c r="K104" s="125" t="n">
        <f aca="false">J104+$K$7</f>
        <v>4</v>
      </c>
      <c r="L104" s="126" t="n">
        <f aca="false">K104</f>
        <v>4</v>
      </c>
      <c r="M104" s="124" t="n">
        <f aca="false">VLOOKUP($A104,Table,MATCH(M$4,Curves,0))</f>
        <v>4</v>
      </c>
      <c r="N104" s="125" t="n">
        <f aca="false">M104+$N$7</f>
        <v>4</v>
      </c>
      <c r="O104" s="126" t="n">
        <v>0.25</v>
      </c>
      <c r="P104" s="114"/>
      <c r="Q104" s="126" t="n">
        <f aca="false">M104+J104+G104</f>
        <v>11</v>
      </c>
      <c r="R104" s="126" t="n">
        <f aca="false">N104+K104+H104</f>
        <v>11</v>
      </c>
      <c r="S104" s="126" t="n">
        <f aca="false">O104+L104+I104</f>
        <v>7.25</v>
      </c>
      <c r="T104" s="127"/>
      <c r="U104" s="5" t="n">
        <f aca="false">A105-A104</f>
        <v>31</v>
      </c>
      <c r="V104" s="128" t="n">
        <f aca="false">CHOOSE(F$3,A105+24,A104)</f>
        <v>40148</v>
      </c>
      <c r="W104" s="5" t="n">
        <f aca="false">V104-C$3</f>
        <v>2917</v>
      </c>
      <c r="X104" s="124" t="n">
        <f aca="false">VLOOKUP($A104,Table,MATCH(X$4,Curves,0))</f>
        <v>2</v>
      </c>
      <c r="Y104" s="129" t="n">
        <f aca="false">1/(1+CHOOSE(F$3,(X105+($K$3/10000))/2,(X104+($K$3/10000))/2))^(2*W104/365.25)</f>
        <v>1.55511253307554E-005</v>
      </c>
      <c r="Z104" s="5" t="n">
        <f aca="false">IF(AND(mthbeg&lt;=A104,mthend&gt;=A104),1,0)</f>
        <v>0</v>
      </c>
      <c r="AA104" s="5" t="n">
        <f aca="false">U104*Z104</f>
        <v>0</v>
      </c>
      <c r="AC104" s="115" t="n">
        <f aca="false">IF(G97=2,F104*(S104-Q104),F104*(Q104-S104))</f>
        <v>0</v>
      </c>
      <c r="AE104" s="116" t="n">
        <f aca="false">IF($G$3=1,F104*(R104-Q104),F104*(Q104-R104))</f>
        <v>0</v>
      </c>
      <c r="AG104" s="116" t="n">
        <f aca="false">AC104+AE104</f>
        <v>0</v>
      </c>
    </row>
    <row r="105" customFormat="false" ht="12.75" hidden="false" customHeight="false" outlineLevel="0" collapsed="false">
      <c r="A105" s="120" t="n">
        <f aca="false">EDATE(A104,1)</f>
        <v>40179</v>
      </c>
      <c r="B105" s="121" t="e">
        <f aca="false">VLOOKUP(A105,'Inputs-Summary'!$A$32:$E$41,4,FALSE())</f>
        <v>#N/A</v>
      </c>
      <c r="C105" s="122"/>
      <c r="D105" s="123" t="e">
        <f aca="false">B105+C105</f>
        <v>#N/A</v>
      </c>
      <c r="E105" s="111" t="n">
        <f aca="false">IF(Z105=0,0,IF(AND(Z105=1,$H$3=1),D105*U105,IF($H$3=2,D105,"N/A")))</f>
        <v>0</v>
      </c>
      <c r="F105" s="111" t="n">
        <f aca="false">E105*Y105</f>
        <v>0</v>
      </c>
      <c r="G105" s="124" t="n">
        <f aca="false">VLOOKUP($A105,Table,MATCH(G$4,Curves,0))</f>
        <v>3</v>
      </c>
      <c r="H105" s="125" t="n">
        <f aca="false">G105+$H$7</f>
        <v>3</v>
      </c>
      <c r="I105" s="124" t="n">
        <f aca="false">H105</f>
        <v>3</v>
      </c>
      <c r="J105" s="124" t="n">
        <f aca="false">VLOOKUP($A105,Table,MATCH(J$4,Curves,0))</f>
        <v>4</v>
      </c>
      <c r="K105" s="125" t="n">
        <f aca="false">J105+$K$7</f>
        <v>4</v>
      </c>
      <c r="L105" s="126" t="n">
        <f aca="false">K105</f>
        <v>4</v>
      </c>
      <c r="M105" s="124" t="n">
        <f aca="false">VLOOKUP($A105,Table,MATCH(M$4,Curves,0))</f>
        <v>4</v>
      </c>
      <c r="N105" s="125" t="n">
        <f aca="false">M105+$N$7</f>
        <v>4</v>
      </c>
      <c r="O105" s="126" t="n">
        <v>0.25</v>
      </c>
      <c r="P105" s="114"/>
      <c r="Q105" s="126" t="n">
        <f aca="false">M105+J105+G105</f>
        <v>11</v>
      </c>
      <c r="R105" s="126" t="n">
        <f aca="false">N105+K105+H105</f>
        <v>11</v>
      </c>
      <c r="S105" s="126" t="n">
        <f aca="false">O105+L105+I105</f>
        <v>7.25</v>
      </c>
      <c r="T105" s="127"/>
      <c r="U105" s="5" t="n">
        <f aca="false">A106-A105</f>
        <v>31</v>
      </c>
      <c r="V105" s="128" t="n">
        <f aca="false">CHOOSE(F$3,A106+24,A105)</f>
        <v>40179</v>
      </c>
      <c r="W105" s="5" t="n">
        <f aca="false">V105-C$3</f>
        <v>2948</v>
      </c>
      <c r="X105" s="124" t="n">
        <f aca="false">VLOOKUP($A105,Table,MATCH(X$4,Curves,0))</f>
        <v>2</v>
      </c>
      <c r="Y105" s="129" t="n">
        <f aca="false">1/(1+CHOOSE(F$3,(X106+($K$3/10000))/2,(X105+($K$3/10000))/2))^(2*W105/365.25)</f>
        <v>1.38249305543548E-005</v>
      </c>
      <c r="Z105" s="5" t="n">
        <f aca="false">IF(AND(mthbeg&lt;=A105,mthend&gt;=A105),1,0)</f>
        <v>0</v>
      </c>
      <c r="AA105" s="5" t="n">
        <f aca="false">U105*Z105</f>
        <v>0</v>
      </c>
      <c r="AC105" s="115" t="n">
        <f aca="false">IF(G98=2,F105*(S105-Q105),F105*(Q105-S105))</f>
        <v>0</v>
      </c>
      <c r="AE105" s="116" t="n">
        <f aca="false">IF($G$3=1,F105*(R105-Q105),F105*(Q105-R105))</f>
        <v>0</v>
      </c>
      <c r="AG105" s="116" t="n">
        <f aca="false">AC105+AE105</f>
        <v>0</v>
      </c>
    </row>
    <row r="106" customFormat="false" ht="12.75" hidden="false" customHeight="false" outlineLevel="0" collapsed="false">
      <c r="A106" s="120" t="n">
        <f aca="false">EDATE(A105,1)</f>
        <v>40210</v>
      </c>
      <c r="B106" s="121" t="e">
        <f aca="false">VLOOKUP(A106,'Inputs-Summary'!$A$32:$E$41,4,FALSE())</f>
        <v>#N/A</v>
      </c>
      <c r="C106" s="122"/>
      <c r="D106" s="123" t="e">
        <f aca="false">B106+C106</f>
        <v>#N/A</v>
      </c>
      <c r="E106" s="111" t="n">
        <f aca="false">IF(Z106=0,0,IF(AND(Z106=1,$H$3=1),D106*U106,IF($H$3=2,D106,"N/A")))</f>
        <v>0</v>
      </c>
      <c r="F106" s="111" t="n">
        <f aca="false">E106*Y106</f>
        <v>0</v>
      </c>
      <c r="G106" s="124" t="n">
        <f aca="false">VLOOKUP($A106,Table,MATCH(G$4,Curves,0))</f>
        <v>3</v>
      </c>
      <c r="H106" s="125" t="n">
        <f aca="false">G106+$H$7</f>
        <v>3</v>
      </c>
      <c r="I106" s="124" t="n">
        <f aca="false">H106</f>
        <v>3</v>
      </c>
      <c r="J106" s="124" t="n">
        <f aca="false">VLOOKUP($A106,Table,MATCH(J$4,Curves,0))</f>
        <v>4</v>
      </c>
      <c r="K106" s="125" t="n">
        <f aca="false">J106+$K$7</f>
        <v>4</v>
      </c>
      <c r="L106" s="126" t="n">
        <f aca="false">K106</f>
        <v>4</v>
      </c>
      <c r="M106" s="124" t="n">
        <f aca="false">VLOOKUP($A106,Table,MATCH(M$4,Curves,0))</f>
        <v>4</v>
      </c>
      <c r="N106" s="125" t="n">
        <f aca="false">M106+$N$7</f>
        <v>4</v>
      </c>
      <c r="O106" s="126" t="n">
        <v>0.25</v>
      </c>
      <c r="P106" s="114"/>
      <c r="Q106" s="126" t="n">
        <f aca="false">M106+J106+G106</f>
        <v>11</v>
      </c>
      <c r="R106" s="126" t="n">
        <f aca="false">N106+K106+H106</f>
        <v>11</v>
      </c>
      <c r="S106" s="126" t="n">
        <f aca="false">O106+L106+I106</f>
        <v>7.25</v>
      </c>
      <c r="T106" s="127"/>
      <c r="U106" s="5" t="n">
        <f aca="false">A107-A106</f>
        <v>28</v>
      </c>
      <c r="V106" s="128" t="n">
        <f aca="false">CHOOSE(F$3,A107+24,A106)</f>
        <v>40210</v>
      </c>
      <c r="W106" s="5" t="n">
        <f aca="false">V106-C$3</f>
        <v>2979</v>
      </c>
      <c r="X106" s="124" t="n">
        <f aca="false">VLOOKUP($A106,Table,MATCH(X$4,Curves,0))</f>
        <v>2</v>
      </c>
      <c r="Y106" s="129" t="n">
        <f aca="false">1/(1+CHOOSE(F$3,(X107+($K$3/10000))/2,(X106+($K$3/10000))/2))^(2*W106/365.25)</f>
        <v>1.22903456031402E-005</v>
      </c>
      <c r="Z106" s="5" t="n">
        <f aca="false">IF(AND(mthbeg&lt;=A106,mthend&gt;=A106),1,0)</f>
        <v>0</v>
      </c>
      <c r="AA106" s="5" t="n">
        <f aca="false">U106*Z106</f>
        <v>0</v>
      </c>
      <c r="AC106" s="115" t="n">
        <f aca="false">IF(G99=2,F106*(S106-Q106),F106*(Q106-S106))</f>
        <v>0</v>
      </c>
      <c r="AE106" s="116" t="n">
        <f aca="false">IF($G$3=1,F106*(R106-Q106),F106*(Q106-R106))</f>
        <v>0</v>
      </c>
      <c r="AG106" s="116" t="n">
        <f aca="false">AC106+AE106</f>
        <v>0</v>
      </c>
    </row>
    <row r="107" customFormat="false" ht="12.75" hidden="false" customHeight="false" outlineLevel="0" collapsed="false">
      <c r="A107" s="120" t="n">
        <f aca="false">EDATE(A106,1)</f>
        <v>40238</v>
      </c>
      <c r="B107" s="121" t="e">
        <f aca="false">VLOOKUP(A107,'Inputs-Summary'!$A$32:$E$41,4,FALSE())</f>
        <v>#N/A</v>
      </c>
      <c r="C107" s="122"/>
      <c r="D107" s="123" t="e">
        <f aca="false">B107+C107</f>
        <v>#N/A</v>
      </c>
      <c r="E107" s="111" t="n">
        <f aca="false">IF(Z107=0,0,IF(AND(Z107=1,$H$3=1),D107*U107,IF($H$3=2,D107,"N/A")))</f>
        <v>0</v>
      </c>
      <c r="F107" s="111" t="n">
        <f aca="false">E107*Y107</f>
        <v>0</v>
      </c>
      <c r="G107" s="124" t="n">
        <f aca="false">VLOOKUP($A107,Table,MATCH(G$4,Curves,0))</f>
        <v>3</v>
      </c>
      <c r="H107" s="125" t="n">
        <f aca="false">G107+$H$7</f>
        <v>3</v>
      </c>
      <c r="I107" s="124" t="n">
        <f aca="false">H107</f>
        <v>3</v>
      </c>
      <c r="J107" s="124" t="n">
        <f aca="false">VLOOKUP($A107,Table,MATCH(J$4,Curves,0))</f>
        <v>4</v>
      </c>
      <c r="K107" s="125" t="n">
        <f aca="false">J107+$K$7</f>
        <v>4</v>
      </c>
      <c r="L107" s="126" t="n">
        <f aca="false">K107</f>
        <v>4</v>
      </c>
      <c r="M107" s="124" t="n">
        <f aca="false">VLOOKUP($A107,Table,MATCH(M$4,Curves,0))</f>
        <v>4</v>
      </c>
      <c r="N107" s="125" t="n">
        <f aca="false">M107+$N$7</f>
        <v>4</v>
      </c>
      <c r="O107" s="126" t="n">
        <v>0.25</v>
      </c>
      <c r="P107" s="114"/>
      <c r="Q107" s="126" t="n">
        <f aca="false">M107+J107+G107</f>
        <v>11</v>
      </c>
      <c r="R107" s="126" t="n">
        <f aca="false">N107+K107+H107</f>
        <v>11</v>
      </c>
      <c r="S107" s="126" t="n">
        <f aca="false">O107+L107+I107</f>
        <v>7.25</v>
      </c>
      <c r="T107" s="127"/>
      <c r="U107" s="5" t="n">
        <f aca="false">A108-A107</f>
        <v>31</v>
      </c>
      <c r="V107" s="128" t="n">
        <f aca="false">CHOOSE(F$3,A108+24,A107)</f>
        <v>40238</v>
      </c>
      <c r="W107" s="5" t="n">
        <f aca="false">V107-C$3</f>
        <v>3007</v>
      </c>
      <c r="X107" s="124" t="n">
        <f aca="false">VLOOKUP($A107,Table,MATCH(X$4,Curves,0))</f>
        <v>2</v>
      </c>
      <c r="Y107" s="129" t="n">
        <f aca="false">1/(1+CHOOSE(F$3,(X108+($K$3/10000))/2,(X107+($K$3/10000))/2))^(2*W107/365.25)</f>
        <v>1.10512215000258E-005</v>
      </c>
      <c r="Z107" s="5" t="n">
        <f aca="false">IF(AND(mthbeg&lt;=A107,mthend&gt;=A107),1,0)</f>
        <v>0</v>
      </c>
      <c r="AA107" s="5" t="n">
        <f aca="false">U107*Z107</f>
        <v>0</v>
      </c>
      <c r="AC107" s="115" t="n">
        <f aca="false">IF(G100=2,F107*(S107-Q107),F107*(Q107-S107))</f>
        <v>0</v>
      </c>
      <c r="AE107" s="116" t="n">
        <f aca="false">IF($G$3=1,F107*(R107-Q107),F107*(Q107-R107))</f>
        <v>0</v>
      </c>
      <c r="AG107" s="116" t="n">
        <f aca="false">AC107+AE107</f>
        <v>0</v>
      </c>
    </row>
    <row r="108" customFormat="false" ht="12.75" hidden="false" customHeight="false" outlineLevel="0" collapsed="false">
      <c r="A108" s="120" t="n">
        <f aca="false">EDATE(A107,1)</f>
        <v>40269</v>
      </c>
      <c r="B108" s="121" t="e">
        <f aca="false">VLOOKUP(A108,'Inputs-Summary'!$A$32:$E$41,4,FALSE())</f>
        <v>#N/A</v>
      </c>
      <c r="C108" s="122"/>
      <c r="D108" s="123" t="e">
        <f aca="false">B108+C108</f>
        <v>#N/A</v>
      </c>
      <c r="E108" s="111" t="n">
        <f aca="false">IF(Z108=0,0,IF(AND(Z108=1,$H$3=1),D108*U108,IF($H$3=2,D108,"N/A")))</f>
        <v>0</v>
      </c>
      <c r="F108" s="111" t="n">
        <f aca="false">E108*Y108</f>
        <v>0</v>
      </c>
      <c r="G108" s="124" t="n">
        <f aca="false">VLOOKUP($A108,Table,MATCH(G$4,Curves,0))</f>
        <v>3</v>
      </c>
      <c r="H108" s="125" t="n">
        <f aca="false">G108+$H$7</f>
        <v>3</v>
      </c>
      <c r="I108" s="124" t="n">
        <f aca="false">H108</f>
        <v>3</v>
      </c>
      <c r="J108" s="124" t="n">
        <f aca="false">VLOOKUP($A108,Table,MATCH(J$4,Curves,0))</f>
        <v>4</v>
      </c>
      <c r="K108" s="125" t="n">
        <f aca="false">J108+$K$7</f>
        <v>4</v>
      </c>
      <c r="L108" s="126" t="n">
        <f aca="false">K108</f>
        <v>4</v>
      </c>
      <c r="M108" s="124" t="n">
        <f aca="false">VLOOKUP($A108,Table,MATCH(M$4,Curves,0))</f>
        <v>4</v>
      </c>
      <c r="N108" s="125" t="n">
        <f aca="false">M108+$N$7</f>
        <v>4</v>
      </c>
      <c r="O108" s="126" t="n">
        <v>0.25</v>
      </c>
      <c r="P108" s="114"/>
      <c r="Q108" s="126" t="n">
        <f aca="false">M108+J108+G108</f>
        <v>11</v>
      </c>
      <c r="R108" s="126" t="n">
        <f aca="false">N108+K108+H108</f>
        <v>11</v>
      </c>
      <c r="S108" s="126" t="n">
        <f aca="false">O108+L108+I108</f>
        <v>7.25</v>
      </c>
      <c r="T108" s="127"/>
      <c r="U108" s="5" t="n">
        <f aca="false">A109-A108</f>
        <v>30</v>
      </c>
      <c r="V108" s="128" t="n">
        <f aca="false">CHOOSE(F$3,A109+24,A108)</f>
        <v>40269</v>
      </c>
      <c r="W108" s="5" t="n">
        <f aca="false">V108-C$3</f>
        <v>3038</v>
      </c>
      <c r="X108" s="124" t="n">
        <f aca="false">VLOOKUP($A108,Table,MATCH(X$4,Curves,0))</f>
        <v>2</v>
      </c>
      <c r="Y108" s="129" t="n">
        <f aca="false">1/(1+CHOOSE(F$3,(X109+($K$3/10000))/2,(X108+($K$3/10000))/2))^(2*W108/365.25)</f>
        <v>9.82452179692048E-006</v>
      </c>
      <c r="Z108" s="5" t="n">
        <f aca="false">IF(AND(mthbeg&lt;=A108,mthend&gt;=A108),1,0)</f>
        <v>0</v>
      </c>
      <c r="AA108" s="5" t="n">
        <f aca="false">U108*Z108</f>
        <v>0</v>
      </c>
      <c r="AC108" s="115" t="n">
        <f aca="false">IF(G101=2,F108*(S108-Q108),F108*(Q108-S108))</f>
        <v>0</v>
      </c>
      <c r="AE108" s="116" t="n">
        <f aca="false">IF($G$3=1,F108*(R108-Q108),F108*(Q108-R108))</f>
        <v>0</v>
      </c>
      <c r="AG108" s="116" t="n">
        <f aca="false">AC108+AE108</f>
        <v>0</v>
      </c>
    </row>
    <row r="109" customFormat="false" ht="12.75" hidden="false" customHeight="false" outlineLevel="0" collapsed="false">
      <c r="A109" s="120" t="n">
        <f aca="false">EDATE(A108,1)</f>
        <v>40299</v>
      </c>
      <c r="B109" s="121" t="e">
        <f aca="false">VLOOKUP(A109,'Inputs-Summary'!$A$32:$E$41,4,FALSE())</f>
        <v>#N/A</v>
      </c>
      <c r="C109" s="122"/>
      <c r="D109" s="123" t="e">
        <f aca="false">B109+C109</f>
        <v>#N/A</v>
      </c>
      <c r="E109" s="111" t="n">
        <f aca="false">IF(Z109=0,0,IF(AND(Z109=1,$H$3=1),D109*U109,IF($H$3=2,D109,"N/A")))</f>
        <v>0</v>
      </c>
      <c r="F109" s="111" t="n">
        <f aca="false">E109*Y109</f>
        <v>0</v>
      </c>
      <c r="G109" s="124" t="n">
        <f aca="false">VLOOKUP($A109,Table,MATCH(G$4,Curves,0))</f>
        <v>3</v>
      </c>
      <c r="H109" s="125" t="n">
        <f aca="false">G109+$H$7</f>
        <v>3</v>
      </c>
      <c r="I109" s="124" t="n">
        <f aca="false">H109</f>
        <v>3</v>
      </c>
      <c r="J109" s="124" t="n">
        <f aca="false">VLOOKUP($A109,Table,MATCH(J$4,Curves,0))</f>
        <v>4</v>
      </c>
      <c r="K109" s="125" t="n">
        <f aca="false">J109+$K$7</f>
        <v>4</v>
      </c>
      <c r="L109" s="126" t="n">
        <f aca="false">K109</f>
        <v>4</v>
      </c>
      <c r="M109" s="124" t="n">
        <f aca="false">VLOOKUP($A109,Table,MATCH(M$4,Curves,0))</f>
        <v>4</v>
      </c>
      <c r="N109" s="125" t="n">
        <f aca="false">M109+$N$7</f>
        <v>4</v>
      </c>
      <c r="O109" s="126" t="n">
        <v>0.25</v>
      </c>
      <c r="P109" s="114"/>
      <c r="Q109" s="126" t="n">
        <f aca="false">M109+J109+G109</f>
        <v>11</v>
      </c>
      <c r="R109" s="126" t="n">
        <f aca="false">N109+K109+H109</f>
        <v>11</v>
      </c>
      <c r="S109" s="126" t="n">
        <f aca="false">O109+L109+I109</f>
        <v>7.25</v>
      </c>
      <c r="T109" s="127"/>
      <c r="U109" s="5" t="n">
        <f aca="false">A110-A109</f>
        <v>31</v>
      </c>
      <c r="V109" s="128" t="n">
        <f aca="false">CHOOSE(F$3,A110+24,A109)</f>
        <v>40299</v>
      </c>
      <c r="W109" s="5" t="n">
        <f aca="false">V109-C$3</f>
        <v>3068</v>
      </c>
      <c r="X109" s="124" t="n">
        <f aca="false">VLOOKUP($A109,Table,MATCH(X$4,Curves,0))</f>
        <v>2</v>
      </c>
      <c r="Y109" s="129" t="n">
        <f aca="false">1/(1+CHOOSE(F$3,(X110+($K$3/10000))/2,(X109+($K$3/10000))/2))^(2*W109/365.25)</f>
        <v>8.76719987814404E-006</v>
      </c>
      <c r="Z109" s="5" t="n">
        <f aca="false">IF(AND(mthbeg&lt;=A109,mthend&gt;=A109),1,0)</f>
        <v>0</v>
      </c>
      <c r="AA109" s="5" t="n">
        <f aca="false">U109*Z109</f>
        <v>0</v>
      </c>
      <c r="AC109" s="115" t="n">
        <f aca="false">IF(G102=2,F109*(S109-Q109),F109*(Q109-S109))</f>
        <v>0</v>
      </c>
      <c r="AE109" s="116" t="n">
        <f aca="false">IF($G$3=1,F109*(R109-Q109),F109*(Q109-R109))</f>
        <v>0</v>
      </c>
      <c r="AG109" s="116" t="n">
        <f aca="false">AC109+AE109</f>
        <v>0</v>
      </c>
    </row>
    <row r="110" customFormat="false" ht="12.75" hidden="false" customHeight="false" outlineLevel="0" collapsed="false">
      <c r="A110" s="120" t="n">
        <f aca="false">EDATE(A109,1)</f>
        <v>40330</v>
      </c>
      <c r="B110" s="121" t="e">
        <f aca="false">VLOOKUP(A110,'Inputs-Summary'!$A$32:$E$41,4,FALSE())</f>
        <v>#N/A</v>
      </c>
      <c r="C110" s="122"/>
      <c r="D110" s="123" t="e">
        <f aca="false">B110+C110</f>
        <v>#N/A</v>
      </c>
      <c r="E110" s="111" t="n">
        <f aca="false">IF(Z110=0,0,IF(AND(Z110=1,$H$3=1),D110*U110,IF($H$3=2,D110,"N/A")))</f>
        <v>0</v>
      </c>
      <c r="F110" s="111" t="n">
        <f aca="false">E110*Y110</f>
        <v>0</v>
      </c>
      <c r="G110" s="124" t="n">
        <f aca="false">VLOOKUP($A110,Table,MATCH(G$4,Curves,0))</f>
        <v>3</v>
      </c>
      <c r="H110" s="125" t="n">
        <f aca="false">G110+$H$7</f>
        <v>3</v>
      </c>
      <c r="I110" s="124" t="n">
        <f aca="false">H110</f>
        <v>3</v>
      </c>
      <c r="J110" s="124" t="n">
        <f aca="false">VLOOKUP($A110,Table,MATCH(J$4,Curves,0))</f>
        <v>4</v>
      </c>
      <c r="K110" s="125" t="n">
        <f aca="false">J110+$K$7</f>
        <v>4</v>
      </c>
      <c r="L110" s="126" t="n">
        <f aca="false">K110</f>
        <v>4</v>
      </c>
      <c r="M110" s="124" t="n">
        <f aca="false">VLOOKUP($A110,Table,MATCH(M$4,Curves,0))</f>
        <v>4</v>
      </c>
      <c r="N110" s="125" t="n">
        <f aca="false">M110+$N$7</f>
        <v>4</v>
      </c>
      <c r="O110" s="126" t="n">
        <v>0.25</v>
      </c>
      <c r="P110" s="114"/>
      <c r="Q110" s="126" t="n">
        <f aca="false">M110+J110+G110</f>
        <v>11</v>
      </c>
      <c r="R110" s="126" t="n">
        <f aca="false">N110+K110+H110</f>
        <v>11</v>
      </c>
      <c r="S110" s="126" t="n">
        <f aca="false">O110+L110+I110</f>
        <v>7.25</v>
      </c>
      <c r="T110" s="127"/>
      <c r="U110" s="5" t="n">
        <f aca="false">A111-A110</f>
        <v>30</v>
      </c>
      <c r="V110" s="128" t="n">
        <f aca="false">CHOOSE(F$3,A111+24,A110)</f>
        <v>40330</v>
      </c>
      <c r="W110" s="5" t="n">
        <f aca="false">V110-C$3</f>
        <v>3099</v>
      </c>
      <c r="X110" s="124" t="n">
        <f aca="false">VLOOKUP($A110,Table,MATCH(X$4,Curves,0))</f>
        <v>2</v>
      </c>
      <c r="Y110" s="129" t="n">
        <f aca="false">1/(1+CHOOSE(F$3,(X111+($K$3/10000))/2,(X110+($K$3/10000))/2))^(2*W110/365.25)</f>
        <v>7.79402949262973E-006</v>
      </c>
      <c r="Z110" s="5" t="n">
        <f aca="false">IF(AND(mthbeg&lt;=A110,mthend&gt;=A110),1,0)</f>
        <v>0</v>
      </c>
      <c r="AA110" s="5" t="n">
        <f aca="false">U110*Z110</f>
        <v>0</v>
      </c>
      <c r="AC110" s="115" t="n">
        <f aca="false">IF(G103=2,F110*(S110-Q110),F110*(Q110-S110))</f>
        <v>0</v>
      </c>
      <c r="AE110" s="116" t="n">
        <f aca="false">IF($G$3=1,F110*(R110-Q110),F110*(Q110-R110))</f>
        <v>0</v>
      </c>
      <c r="AG110" s="116" t="n">
        <f aca="false">AC110+AE110</f>
        <v>0</v>
      </c>
    </row>
    <row r="111" customFormat="false" ht="12.75" hidden="false" customHeight="false" outlineLevel="0" collapsed="false">
      <c r="A111" s="120" t="n">
        <f aca="false">EDATE(A110,1)</f>
        <v>40360</v>
      </c>
      <c r="B111" s="121" t="e">
        <f aca="false">VLOOKUP(A111,'Inputs-Summary'!$A$32:$E$41,4,FALSE())</f>
        <v>#N/A</v>
      </c>
      <c r="C111" s="122"/>
      <c r="D111" s="123" t="e">
        <f aca="false">B111+C111</f>
        <v>#N/A</v>
      </c>
      <c r="E111" s="111" t="n">
        <f aca="false">IF(Z111=0,0,IF(AND(Z111=1,$H$3=1),D111*U111,IF($H$3=2,D111,"N/A")))</f>
        <v>0</v>
      </c>
      <c r="F111" s="111" t="n">
        <f aca="false">E111*Y111</f>
        <v>0</v>
      </c>
      <c r="G111" s="124" t="n">
        <f aca="false">VLOOKUP($A111,Table,MATCH(G$4,Curves,0))</f>
        <v>3</v>
      </c>
      <c r="H111" s="125" t="n">
        <f aca="false">G111+$H$7</f>
        <v>3</v>
      </c>
      <c r="I111" s="124" t="n">
        <f aca="false">H111</f>
        <v>3</v>
      </c>
      <c r="J111" s="124" t="n">
        <f aca="false">VLOOKUP($A111,Table,MATCH(J$4,Curves,0))</f>
        <v>4</v>
      </c>
      <c r="K111" s="125" t="n">
        <f aca="false">J111+$K$7</f>
        <v>4</v>
      </c>
      <c r="L111" s="126" t="n">
        <f aca="false">K111</f>
        <v>4</v>
      </c>
      <c r="M111" s="124" t="n">
        <f aca="false">VLOOKUP($A111,Table,MATCH(M$4,Curves,0))</f>
        <v>4</v>
      </c>
      <c r="N111" s="125" t="n">
        <f aca="false">M111+$N$7</f>
        <v>4</v>
      </c>
      <c r="O111" s="126" t="n">
        <v>0.25</v>
      </c>
      <c r="P111" s="114"/>
      <c r="Q111" s="126" t="n">
        <f aca="false">M111+J111+G111</f>
        <v>11</v>
      </c>
      <c r="R111" s="126" t="n">
        <f aca="false">N111+K111+H111</f>
        <v>11</v>
      </c>
      <c r="S111" s="126" t="n">
        <f aca="false">O111+L111+I111</f>
        <v>7.25</v>
      </c>
      <c r="T111" s="127"/>
      <c r="U111" s="5" t="n">
        <f aca="false">A112-A111</f>
        <v>31</v>
      </c>
      <c r="V111" s="128" t="n">
        <f aca="false">CHOOSE(F$3,A112+24,A111)</f>
        <v>40360</v>
      </c>
      <c r="W111" s="5" t="n">
        <f aca="false">V111-C$3</f>
        <v>3129</v>
      </c>
      <c r="X111" s="124" t="n">
        <f aca="false">VLOOKUP($A111,Table,MATCH(X$4,Curves,0))</f>
        <v>2</v>
      </c>
      <c r="Y111" s="129" t="n">
        <f aca="false">1/(1+CHOOSE(F$3,(X112+($K$3/10000))/2,(X111+($K$3/10000))/2))^(2*W111/365.25)</f>
        <v>6.95523057818991E-006</v>
      </c>
      <c r="Z111" s="5" t="n">
        <f aca="false">IF(AND(mthbeg&lt;=A111,mthend&gt;=A111),1,0)</f>
        <v>0</v>
      </c>
      <c r="AA111" s="5" t="n">
        <f aca="false">U111*Z111</f>
        <v>0</v>
      </c>
      <c r="AC111" s="115" t="n">
        <f aca="false">IF(G104=2,F111*(S111-Q111),F111*(Q111-S111))</f>
        <v>0</v>
      </c>
      <c r="AE111" s="116" t="n">
        <f aca="false">IF($G$3=1,F111*(R111-Q111),F111*(Q111-R111))</f>
        <v>0</v>
      </c>
      <c r="AG111" s="116" t="n">
        <f aca="false">AC111+AE111</f>
        <v>0</v>
      </c>
    </row>
    <row r="112" customFormat="false" ht="12.75" hidden="false" customHeight="false" outlineLevel="0" collapsed="false">
      <c r="A112" s="120" t="n">
        <f aca="false">EDATE(A111,1)</f>
        <v>40391</v>
      </c>
      <c r="B112" s="121" t="e">
        <f aca="false">VLOOKUP(A112,'Inputs-Summary'!$A$32:$E$41,4,FALSE())</f>
        <v>#N/A</v>
      </c>
      <c r="C112" s="122"/>
      <c r="D112" s="123" t="e">
        <f aca="false">B112+C112</f>
        <v>#N/A</v>
      </c>
      <c r="E112" s="111" t="n">
        <f aca="false">IF(Z112=0,0,IF(AND(Z112=1,$H$3=1),D112*U112,IF($H$3=2,D112,"N/A")))</f>
        <v>0</v>
      </c>
      <c r="F112" s="111" t="n">
        <f aca="false">E112*Y112</f>
        <v>0</v>
      </c>
      <c r="G112" s="124" t="n">
        <f aca="false">VLOOKUP($A112,Table,MATCH(G$4,Curves,0))</f>
        <v>3</v>
      </c>
      <c r="H112" s="125" t="n">
        <f aca="false">G112+$H$7</f>
        <v>3</v>
      </c>
      <c r="I112" s="124" t="n">
        <f aca="false">H112</f>
        <v>3</v>
      </c>
      <c r="J112" s="124" t="n">
        <f aca="false">VLOOKUP($A112,Table,MATCH(J$4,Curves,0))</f>
        <v>4</v>
      </c>
      <c r="K112" s="125" t="n">
        <f aca="false">J112+$K$7</f>
        <v>4</v>
      </c>
      <c r="L112" s="126" t="n">
        <f aca="false">K112</f>
        <v>4</v>
      </c>
      <c r="M112" s="124" t="n">
        <f aca="false">VLOOKUP($A112,Table,MATCH(M$4,Curves,0))</f>
        <v>4</v>
      </c>
      <c r="N112" s="125" t="n">
        <f aca="false">M112+$N$7</f>
        <v>4</v>
      </c>
      <c r="O112" s="126" t="n">
        <v>0.25</v>
      </c>
      <c r="P112" s="114"/>
      <c r="Q112" s="126" t="n">
        <f aca="false">M112+J112+G112</f>
        <v>11</v>
      </c>
      <c r="R112" s="126" t="n">
        <f aca="false">N112+K112+H112</f>
        <v>11</v>
      </c>
      <c r="S112" s="126" t="n">
        <f aca="false">O112+L112+I112</f>
        <v>7.25</v>
      </c>
      <c r="T112" s="127"/>
      <c r="U112" s="5" t="n">
        <f aca="false">A113-A112</f>
        <v>31</v>
      </c>
      <c r="V112" s="128" t="n">
        <f aca="false">CHOOSE(F$3,A113+24,A112)</f>
        <v>40391</v>
      </c>
      <c r="W112" s="5" t="n">
        <f aca="false">V112-C$3</f>
        <v>3160</v>
      </c>
      <c r="X112" s="124" t="n">
        <f aca="false">VLOOKUP($A112,Table,MATCH(X$4,Curves,0))</f>
        <v>2</v>
      </c>
      <c r="Y112" s="129" t="n">
        <f aca="false">1/(1+CHOOSE(F$3,(X113+($K$3/10000))/2,(X112+($K$3/10000))/2))^(2*W112/365.25)</f>
        <v>6.18319109954272E-006</v>
      </c>
      <c r="Z112" s="5" t="n">
        <f aca="false">IF(AND(mthbeg&lt;=A112,mthend&gt;=A112),1,0)</f>
        <v>0</v>
      </c>
      <c r="AA112" s="5" t="n">
        <f aca="false">U112*Z112</f>
        <v>0</v>
      </c>
      <c r="AC112" s="115" t="n">
        <f aca="false">IF(G105=2,F112*(S112-Q112),F112*(Q112-S112))</f>
        <v>0</v>
      </c>
      <c r="AE112" s="116" t="n">
        <f aca="false">IF($G$3=1,F112*(R112-Q112),F112*(Q112-R112))</f>
        <v>0</v>
      </c>
      <c r="AG112" s="116" t="n">
        <f aca="false">AC112+AE112</f>
        <v>0</v>
      </c>
    </row>
    <row r="113" customFormat="false" ht="12.75" hidden="false" customHeight="false" outlineLevel="0" collapsed="false">
      <c r="A113" s="120" t="n">
        <f aca="false">EDATE(A112,1)</f>
        <v>40422</v>
      </c>
      <c r="B113" s="121" t="e">
        <f aca="false">VLOOKUP(A113,'Inputs-Summary'!$A$32:$E$41,4,FALSE())</f>
        <v>#N/A</v>
      </c>
      <c r="C113" s="122"/>
      <c r="D113" s="123" t="e">
        <f aca="false">B113+C113</f>
        <v>#N/A</v>
      </c>
      <c r="E113" s="111" t="n">
        <f aca="false">IF(Z113=0,0,IF(AND(Z113=1,$H$3=1),D113*U113,IF($H$3=2,D113,"N/A")))</f>
        <v>0</v>
      </c>
      <c r="F113" s="111" t="n">
        <f aca="false">E113*Y113</f>
        <v>0</v>
      </c>
      <c r="G113" s="124" t="n">
        <f aca="false">VLOOKUP($A113,Table,MATCH(G$4,Curves,0))</f>
        <v>3</v>
      </c>
      <c r="H113" s="125" t="n">
        <f aca="false">G113+$H$7</f>
        <v>3</v>
      </c>
      <c r="I113" s="124" t="n">
        <f aca="false">H113</f>
        <v>3</v>
      </c>
      <c r="J113" s="124" t="n">
        <f aca="false">VLOOKUP($A113,Table,MATCH(J$4,Curves,0))</f>
        <v>4</v>
      </c>
      <c r="K113" s="125" t="n">
        <f aca="false">J113+$K$7</f>
        <v>4</v>
      </c>
      <c r="L113" s="126" t="n">
        <f aca="false">K113</f>
        <v>4</v>
      </c>
      <c r="M113" s="124" t="n">
        <f aca="false">VLOOKUP($A113,Table,MATCH(M$4,Curves,0))</f>
        <v>4</v>
      </c>
      <c r="N113" s="125" t="n">
        <f aca="false">M113+$N$7</f>
        <v>4</v>
      </c>
      <c r="O113" s="126" t="n">
        <v>0.25</v>
      </c>
      <c r="P113" s="114"/>
      <c r="Q113" s="126" t="n">
        <f aca="false">M113+J113+G113</f>
        <v>11</v>
      </c>
      <c r="R113" s="126" t="n">
        <f aca="false">N113+K113+H113</f>
        <v>11</v>
      </c>
      <c r="S113" s="126" t="n">
        <f aca="false">O113+L113+I113</f>
        <v>7.25</v>
      </c>
      <c r="T113" s="127"/>
      <c r="U113" s="5" t="n">
        <f aca="false">A114-A113</f>
        <v>30</v>
      </c>
      <c r="V113" s="128" t="n">
        <f aca="false">CHOOSE(F$3,A114+24,A113)</f>
        <v>40422</v>
      </c>
      <c r="W113" s="5" t="n">
        <f aca="false">V113-C$3</f>
        <v>3191</v>
      </c>
      <c r="X113" s="124" t="n">
        <f aca="false">VLOOKUP($A113,Table,MATCH(X$4,Curves,0))</f>
        <v>2</v>
      </c>
      <c r="Y113" s="129" t="n">
        <f aca="false">1/(1+CHOOSE(F$3,(X114+($K$3/10000))/2,(X113+($K$3/10000))/2))^(2*W113/365.25)</f>
        <v>5.49684898921267E-006</v>
      </c>
      <c r="Z113" s="5" t="n">
        <f aca="false">IF(AND(mthbeg&lt;=A113,mthend&gt;=A113),1,0)</f>
        <v>0</v>
      </c>
      <c r="AA113" s="5" t="n">
        <f aca="false">U113*Z113</f>
        <v>0</v>
      </c>
      <c r="AC113" s="115" t="n">
        <f aca="false">IF(G106=2,F113*(S113-Q113),F113*(Q113-S113))</f>
        <v>0</v>
      </c>
      <c r="AE113" s="116" t="n">
        <f aca="false">IF($G$3=1,F113*(R113-Q113),F113*(Q113-R113))</f>
        <v>0</v>
      </c>
      <c r="AG113" s="116" t="n">
        <f aca="false">AC113+AE113</f>
        <v>0</v>
      </c>
    </row>
    <row r="114" customFormat="false" ht="12.75" hidden="false" customHeight="false" outlineLevel="0" collapsed="false">
      <c r="A114" s="120" t="n">
        <f aca="false">EDATE(A113,1)</f>
        <v>40452</v>
      </c>
      <c r="B114" s="121" t="e">
        <f aca="false">VLOOKUP(A114,'Inputs-Summary'!$A$32:$E$41,4,FALSE())</f>
        <v>#N/A</v>
      </c>
      <c r="C114" s="122"/>
      <c r="D114" s="123" t="e">
        <f aca="false">B114+C114</f>
        <v>#N/A</v>
      </c>
      <c r="E114" s="111" t="n">
        <f aca="false">IF(Z114=0,0,IF(AND(Z114=1,$H$3=1),D114*U114,IF($H$3=2,D114,"N/A")))</f>
        <v>0</v>
      </c>
      <c r="F114" s="111" t="n">
        <f aca="false">E114*Y114</f>
        <v>0</v>
      </c>
      <c r="G114" s="124" t="n">
        <f aca="false">VLOOKUP($A114,Table,MATCH(G$4,Curves,0))</f>
        <v>3</v>
      </c>
      <c r="H114" s="125" t="n">
        <f aca="false">G114+$H$7</f>
        <v>3</v>
      </c>
      <c r="I114" s="124" t="n">
        <f aca="false">H114</f>
        <v>3</v>
      </c>
      <c r="J114" s="124" t="n">
        <f aca="false">VLOOKUP($A114,Table,MATCH(J$4,Curves,0))</f>
        <v>4</v>
      </c>
      <c r="K114" s="125" t="n">
        <f aca="false">J114+$K$7</f>
        <v>4</v>
      </c>
      <c r="L114" s="126" t="n">
        <f aca="false">K114</f>
        <v>4</v>
      </c>
      <c r="M114" s="124" t="n">
        <f aca="false">VLOOKUP($A114,Table,MATCH(M$4,Curves,0))</f>
        <v>4</v>
      </c>
      <c r="N114" s="125" t="n">
        <f aca="false">M114+$N$7</f>
        <v>4</v>
      </c>
      <c r="O114" s="126" t="n">
        <v>0.25</v>
      </c>
      <c r="P114" s="114"/>
      <c r="Q114" s="126" t="n">
        <f aca="false">M114+J114+G114</f>
        <v>11</v>
      </c>
      <c r="R114" s="126" t="n">
        <f aca="false">N114+K114+H114</f>
        <v>11</v>
      </c>
      <c r="S114" s="126" t="n">
        <f aca="false">O114+L114+I114</f>
        <v>7.25</v>
      </c>
      <c r="T114" s="127"/>
      <c r="U114" s="5" t="n">
        <f aca="false">A115-A114</f>
        <v>31</v>
      </c>
      <c r="V114" s="128" t="n">
        <f aca="false">CHOOSE(F$3,A115+24,A114)</f>
        <v>40452</v>
      </c>
      <c r="W114" s="5" t="n">
        <f aca="false">V114-C$3</f>
        <v>3221</v>
      </c>
      <c r="X114" s="124" t="n">
        <f aca="false">VLOOKUP($A114,Table,MATCH(X$4,Curves,0))</f>
        <v>2</v>
      </c>
      <c r="Y114" s="129" t="n">
        <f aca="false">1/(1+CHOOSE(F$3,(X115+($K$3/10000))/2,(X114+($K$3/10000))/2))^(2*W114/365.25)</f>
        <v>4.90527424993932E-006</v>
      </c>
      <c r="Z114" s="5" t="n">
        <f aca="false">IF(AND(mthbeg&lt;=A114,mthend&gt;=A114),1,0)</f>
        <v>0</v>
      </c>
      <c r="AA114" s="5" t="n">
        <f aca="false">U114*Z114</f>
        <v>0</v>
      </c>
      <c r="AC114" s="115" t="n">
        <f aca="false">IF(G107=2,F114*(S114-Q114),F114*(Q114-S114))</f>
        <v>0</v>
      </c>
      <c r="AE114" s="116" t="n">
        <f aca="false">IF($G$3=1,F114*(R114-Q114),F114*(Q114-R114))</f>
        <v>0</v>
      </c>
      <c r="AG114" s="116" t="n">
        <f aca="false">AC114+AE114</f>
        <v>0</v>
      </c>
    </row>
    <row r="115" customFormat="false" ht="12.75" hidden="false" customHeight="false" outlineLevel="0" collapsed="false">
      <c r="A115" s="120" t="n">
        <f aca="false">EDATE(A114,1)</f>
        <v>40483</v>
      </c>
      <c r="B115" s="121" t="e">
        <f aca="false">VLOOKUP(A115,'Inputs-Summary'!$A$32:$E$41,4,FALSE())</f>
        <v>#N/A</v>
      </c>
      <c r="C115" s="122"/>
      <c r="D115" s="123" t="e">
        <f aca="false">B115+C115</f>
        <v>#N/A</v>
      </c>
      <c r="E115" s="111" t="n">
        <f aca="false">IF(Z115=0,0,IF(AND(Z115=1,$H$3=1),D115*U115,IF($H$3=2,D115,"N/A")))</f>
        <v>0</v>
      </c>
      <c r="F115" s="111" t="n">
        <f aca="false">E115*Y115</f>
        <v>0</v>
      </c>
      <c r="G115" s="124" t="n">
        <f aca="false">VLOOKUP($A115,Table,MATCH(G$4,Curves,0))</f>
        <v>3</v>
      </c>
      <c r="H115" s="125" t="n">
        <f aca="false">G115+$H$7</f>
        <v>3</v>
      </c>
      <c r="I115" s="124" t="n">
        <f aca="false">H115</f>
        <v>3</v>
      </c>
      <c r="J115" s="124" t="n">
        <f aca="false">VLOOKUP($A115,Table,MATCH(J$4,Curves,0))</f>
        <v>4</v>
      </c>
      <c r="K115" s="125" t="n">
        <f aca="false">J115+$K$7</f>
        <v>4</v>
      </c>
      <c r="L115" s="126" t="n">
        <f aca="false">K115</f>
        <v>4</v>
      </c>
      <c r="M115" s="124" t="n">
        <f aca="false">VLOOKUP($A115,Table,MATCH(M$4,Curves,0))</f>
        <v>4</v>
      </c>
      <c r="N115" s="125" t="n">
        <f aca="false">M115+$N$7</f>
        <v>4</v>
      </c>
      <c r="O115" s="126" t="n">
        <v>0.25</v>
      </c>
      <c r="P115" s="114"/>
      <c r="Q115" s="126" t="n">
        <f aca="false">M115+J115+G115</f>
        <v>11</v>
      </c>
      <c r="R115" s="126" t="n">
        <f aca="false">N115+K115+H115</f>
        <v>11</v>
      </c>
      <c r="S115" s="126" t="n">
        <f aca="false">O115+L115+I115</f>
        <v>7.25</v>
      </c>
      <c r="T115" s="127"/>
      <c r="U115" s="5" t="n">
        <f aca="false">A116-A115</f>
        <v>30</v>
      </c>
      <c r="V115" s="128" t="n">
        <f aca="false">CHOOSE(F$3,A116+24,A115)</f>
        <v>40483</v>
      </c>
      <c r="W115" s="5" t="n">
        <f aca="false">V115-C$3</f>
        <v>3252</v>
      </c>
      <c r="X115" s="124" t="n">
        <f aca="false">VLOOKUP($A115,Table,MATCH(X$4,Curves,0))</f>
        <v>2</v>
      </c>
      <c r="Y115" s="129" t="n">
        <f aca="false">1/(1+CHOOSE(F$3,(X116+($K$3/10000))/2,(X115+($K$3/10000))/2))^(2*W115/365.25)</f>
        <v>4.36078254229989E-006</v>
      </c>
      <c r="Z115" s="5" t="n">
        <f aca="false">IF(AND(mthbeg&lt;=A115,mthend&gt;=A115),1,0)</f>
        <v>0</v>
      </c>
      <c r="AA115" s="5" t="n">
        <f aca="false">U115*Z115</f>
        <v>0</v>
      </c>
      <c r="AC115" s="115" t="n">
        <f aca="false">IF(G108=2,F115*(S115-Q115),F115*(Q115-S115))</f>
        <v>0</v>
      </c>
      <c r="AE115" s="116" t="n">
        <f aca="false">IF($G$3=1,F115*(R115-Q115),F115*(Q115-R115))</f>
        <v>0</v>
      </c>
      <c r="AG115" s="116" t="n">
        <f aca="false">AC115+AE115</f>
        <v>0</v>
      </c>
    </row>
    <row r="116" customFormat="false" ht="12.75" hidden="false" customHeight="false" outlineLevel="0" collapsed="false">
      <c r="A116" s="120" t="n">
        <f aca="false">EDATE(A115,1)</f>
        <v>40513</v>
      </c>
      <c r="B116" s="121" t="e">
        <f aca="false">VLOOKUP(A116,'Inputs-Summary'!$A$32:$E$41,4,FALSE())</f>
        <v>#N/A</v>
      </c>
      <c r="C116" s="122"/>
      <c r="D116" s="123" t="e">
        <f aca="false">B116+C116</f>
        <v>#N/A</v>
      </c>
      <c r="E116" s="111" t="n">
        <f aca="false">IF(Z116=0,0,IF(AND(Z116=1,$H$3=1),D116*U116,IF($H$3=2,D116,"N/A")))</f>
        <v>0</v>
      </c>
      <c r="F116" s="111" t="n">
        <f aca="false">E116*Y116</f>
        <v>0</v>
      </c>
      <c r="G116" s="124" t="n">
        <f aca="false">VLOOKUP($A116,Table,MATCH(G$4,Curves,0))</f>
        <v>3</v>
      </c>
      <c r="H116" s="125" t="n">
        <f aca="false">G116+$H$7</f>
        <v>3</v>
      </c>
      <c r="I116" s="124" t="n">
        <f aca="false">H116</f>
        <v>3</v>
      </c>
      <c r="J116" s="124" t="n">
        <f aca="false">VLOOKUP($A116,Table,MATCH(J$4,Curves,0))</f>
        <v>4</v>
      </c>
      <c r="K116" s="125" t="n">
        <f aca="false">J116+$K$7</f>
        <v>4</v>
      </c>
      <c r="L116" s="126" t="n">
        <f aca="false">K116</f>
        <v>4</v>
      </c>
      <c r="M116" s="124" t="n">
        <f aca="false">VLOOKUP($A116,Table,MATCH(M$4,Curves,0))</f>
        <v>4</v>
      </c>
      <c r="N116" s="125" t="n">
        <f aca="false">M116+$N$7</f>
        <v>4</v>
      </c>
      <c r="O116" s="126" t="n">
        <v>0.25</v>
      </c>
      <c r="P116" s="114"/>
      <c r="Q116" s="126" t="n">
        <f aca="false">M116+J116+G116</f>
        <v>11</v>
      </c>
      <c r="R116" s="126" t="n">
        <f aca="false">N116+K116+H116</f>
        <v>11</v>
      </c>
      <c r="S116" s="126" t="n">
        <f aca="false">O116+L116+I116</f>
        <v>7.25</v>
      </c>
      <c r="T116" s="127"/>
      <c r="U116" s="5" t="n">
        <f aca="false">A117-A116</f>
        <v>31</v>
      </c>
      <c r="V116" s="128" t="n">
        <f aca="false">CHOOSE(F$3,A117+24,A116)</f>
        <v>40513</v>
      </c>
      <c r="W116" s="5" t="n">
        <f aca="false">V116-C$3</f>
        <v>3282</v>
      </c>
      <c r="X116" s="124" t="n">
        <f aca="false">VLOOKUP($A116,Table,MATCH(X$4,Curves,0))</f>
        <v>2</v>
      </c>
      <c r="Y116" s="129" t="n">
        <f aca="false">1/(1+CHOOSE(F$3,(X117+($K$3/10000))/2,(X116+($K$3/10000))/2))^(2*W116/365.25)</f>
        <v>3.89147206996356E-006</v>
      </c>
      <c r="Z116" s="5" t="n">
        <f aca="false">IF(AND(mthbeg&lt;=A116,mthend&gt;=A116),1,0)</f>
        <v>0</v>
      </c>
      <c r="AA116" s="5" t="n">
        <f aca="false">U116*Z116</f>
        <v>0</v>
      </c>
      <c r="AC116" s="115" t="n">
        <f aca="false">IF(G109=2,F116*(S116-Q116),F116*(Q116-S116))</f>
        <v>0</v>
      </c>
      <c r="AE116" s="116" t="n">
        <f aca="false">IF($G$3=1,F116*(R116-Q116),F116*(Q116-R116))</f>
        <v>0</v>
      </c>
      <c r="AG116" s="116" t="n">
        <f aca="false">AC116+AE116</f>
        <v>0</v>
      </c>
    </row>
    <row r="117" customFormat="false" ht="12.75" hidden="false" customHeight="false" outlineLevel="0" collapsed="false">
      <c r="A117" s="120" t="n">
        <f aca="false">EDATE(A116,1)</f>
        <v>40544</v>
      </c>
      <c r="B117" s="121" t="e">
        <f aca="false">VLOOKUP(A117,'Inputs-Summary'!$A$32:$E$41,4,FALSE())</f>
        <v>#N/A</v>
      </c>
      <c r="C117" s="122"/>
      <c r="D117" s="123" t="e">
        <f aca="false">B117+C117</f>
        <v>#N/A</v>
      </c>
      <c r="E117" s="111" t="n">
        <f aca="false">IF(Z117=0,0,IF(AND(Z117=1,$H$3=1),D117*U117,IF($H$3=2,D117,"N/A")))</f>
        <v>0</v>
      </c>
      <c r="F117" s="111" t="n">
        <f aca="false">E117*Y117</f>
        <v>0</v>
      </c>
      <c r="G117" s="124" t="n">
        <f aca="false">VLOOKUP($A117,Table,MATCH(G$4,Curves,0))</f>
        <v>3</v>
      </c>
      <c r="H117" s="125" t="n">
        <f aca="false">G117+$H$7</f>
        <v>3</v>
      </c>
      <c r="I117" s="124" t="n">
        <f aca="false">H117</f>
        <v>3</v>
      </c>
      <c r="J117" s="124" t="n">
        <f aca="false">VLOOKUP($A117,Table,MATCH(J$4,Curves,0))</f>
        <v>4</v>
      </c>
      <c r="K117" s="125" t="n">
        <f aca="false">J117+$K$7</f>
        <v>4</v>
      </c>
      <c r="L117" s="126" t="n">
        <f aca="false">K117</f>
        <v>4</v>
      </c>
      <c r="M117" s="124" t="n">
        <f aca="false">VLOOKUP($A117,Table,MATCH(M$4,Curves,0))</f>
        <v>4</v>
      </c>
      <c r="N117" s="125" t="n">
        <f aca="false">M117+$N$7</f>
        <v>4</v>
      </c>
      <c r="O117" s="126" t="n">
        <v>0.25</v>
      </c>
      <c r="P117" s="114"/>
      <c r="Q117" s="126" t="n">
        <f aca="false">M117+J117+G117</f>
        <v>11</v>
      </c>
      <c r="R117" s="126" t="n">
        <f aca="false">N117+K117+H117</f>
        <v>11</v>
      </c>
      <c r="S117" s="126" t="n">
        <f aca="false">O117+L117+I117</f>
        <v>7.25</v>
      </c>
      <c r="T117" s="127"/>
      <c r="U117" s="5" t="n">
        <f aca="false">A118-A117</f>
        <v>31</v>
      </c>
      <c r="V117" s="128" t="n">
        <f aca="false">CHOOSE(F$3,A118+24,A117)</f>
        <v>40544</v>
      </c>
      <c r="W117" s="5" t="n">
        <f aca="false">V117-C$3</f>
        <v>3313</v>
      </c>
      <c r="X117" s="124" t="n">
        <f aca="false">VLOOKUP($A117,Table,MATCH(X$4,Curves,0))</f>
        <v>2</v>
      </c>
      <c r="Y117" s="129" t="n">
        <f aca="false">1/(1+CHOOSE(F$3,(X118+($K$3/10000))/2,(X117+($K$3/10000))/2))^(2*W117/365.25)</f>
        <v>3.45951369931143E-006</v>
      </c>
      <c r="Z117" s="5" t="n">
        <f aca="false">IF(AND(mthbeg&lt;=A117,mthend&gt;=A117),1,0)</f>
        <v>0</v>
      </c>
      <c r="AA117" s="5" t="n">
        <f aca="false">U117*Z117</f>
        <v>0</v>
      </c>
      <c r="AC117" s="115" t="n">
        <f aca="false">IF(G110=2,F117*(S117-Q117),F117*(Q117-S117))</f>
        <v>0</v>
      </c>
      <c r="AE117" s="116" t="n">
        <f aca="false">IF($G$3=1,F117*(R117-Q117),F117*(Q117-R117))</f>
        <v>0</v>
      </c>
      <c r="AG117" s="116" t="n">
        <f aca="false">AC117+AE117</f>
        <v>0</v>
      </c>
    </row>
    <row r="118" customFormat="false" ht="12.75" hidden="false" customHeight="false" outlineLevel="0" collapsed="false">
      <c r="A118" s="120" t="n">
        <f aca="false">EDATE(A117,1)</f>
        <v>40575</v>
      </c>
      <c r="B118" s="121" t="e">
        <f aca="false">VLOOKUP(A118,'Inputs-Summary'!$A$32:$E$41,4,FALSE())</f>
        <v>#N/A</v>
      </c>
      <c r="C118" s="122"/>
      <c r="D118" s="123" t="e">
        <f aca="false">B118+C118</f>
        <v>#N/A</v>
      </c>
      <c r="E118" s="111" t="n">
        <f aca="false">IF(Z118=0,0,IF(AND(Z118=1,$H$3=1),D118*U118,IF($H$3=2,D118,"N/A")))</f>
        <v>0</v>
      </c>
      <c r="F118" s="111" t="n">
        <f aca="false">E118*Y118</f>
        <v>0</v>
      </c>
      <c r="G118" s="124" t="n">
        <f aca="false">VLOOKUP($A118,Table,MATCH(G$4,Curves,0))</f>
        <v>3</v>
      </c>
      <c r="H118" s="125" t="n">
        <f aca="false">G118+$H$7</f>
        <v>3</v>
      </c>
      <c r="I118" s="124" t="n">
        <f aca="false">H118</f>
        <v>3</v>
      </c>
      <c r="J118" s="124" t="n">
        <f aca="false">VLOOKUP($A118,Table,MATCH(J$4,Curves,0))</f>
        <v>4</v>
      </c>
      <c r="K118" s="125" t="n">
        <f aca="false">J118+$K$7</f>
        <v>4</v>
      </c>
      <c r="L118" s="126" t="n">
        <f aca="false">K118</f>
        <v>4</v>
      </c>
      <c r="M118" s="124" t="n">
        <f aca="false">VLOOKUP($A118,Table,MATCH(M$4,Curves,0))</f>
        <v>4</v>
      </c>
      <c r="N118" s="125" t="n">
        <f aca="false">M118+$N$7</f>
        <v>4</v>
      </c>
      <c r="O118" s="126" t="n">
        <v>0.25</v>
      </c>
      <c r="P118" s="114"/>
      <c r="Q118" s="126" t="n">
        <f aca="false">M118+J118+G118</f>
        <v>11</v>
      </c>
      <c r="R118" s="126" t="n">
        <f aca="false">N118+K118+H118</f>
        <v>11</v>
      </c>
      <c r="S118" s="126" t="n">
        <f aca="false">O118+L118+I118</f>
        <v>7.25</v>
      </c>
      <c r="T118" s="127"/>
      <c r="U118" s="5" t="n">
        <f aca="false">A119-A118</f>
        <v>28</v>
      </c>
      <c r="V118" s="128" t="n">
        <f aca="false">CHOOSE(F$3,A119+24,A118)</f>
        <v>40575</v>
      </c>
      <c r="W118" s="5" t="n">
        <f aca="false">V118-C$3</f>
        <v>3344</v>
      </c>
      <c r="X118" s="124" t="n">
        <f aca="false">VLOOKUP($A118,Table,MATCH(X$4,Curves,0))</f>
        <v>2</v>
      </c>
      <c r="Y118" s="129" t="n">
        <f aca="false">1/(1+CHOOSE(F$3,(X119+($K$3/10000))/2,(X118+($K$3/10000))/2))^(2*W118/365.25)</f>
        <v>3.07550325957641E-006</v>
      </c>
      <c r="Z118" s="5" t="n">
        <f aca="false">IF(AND(mthbeg&lt;=A118,mthend&gt;=A118),1,0)</f>
        <v>0</v>
      </c>
      <c r="AA118" s="5" t="n">
        <f aca="false">U118*Z118</f>
        <v>0</v>
      </c>
      <c r="AC118" s="115" t="n">
        <f aca="false">IF(G111=2,F118*(S118-Q118),F118*(Q118-S118))</f>
        <v>0</v>
      </c>
      <c r="AE118" s="116" t="n">
        <f aca="false">IF($G$3=1,F118*(R118-Q118),F118*(Q118-R118))</f>
        <v>0</v>
      </c>
      <c r="AG118" s="116" t="n">
        <f aca="false">AC118+AE118</f>
        <v>0</v>
      </c>
    </row>
    <row r="119" customFormat="false" ht="12.75" hidden="false" customHeight="false" outlineLevel="0" collapsed="false">
      <c r="A119" s="120" t="n">
        <f aca="false">EDATE(A118,1)</f>
        <v>40603</v>
      </c>
      <c r="B119" s="121" t="e">
        <f aca="false">VLOOKUP(A119,'Inputs-Summary'!$A$32:$E$41,4,FALSE())</f>
        <v>#N/A</v>
      </c>
      <c r="C119" s="122"/>
      <c r="D119" s="123" t="e">
        <f aca="false">B119+C119</f>
        <v>#N/A</v>
      </c>
      <c r="E119" s="111" t="n">
        <f aca="false">IF(Z119=0,0,IF(AND(Z119=1,$H$3=1),D119*U119,IF($H$3=2,D119,"N/A")))</f>
        <v>0</v>
      </c>
      <c r="F119" s="111" t="n">
        <f aca="false">E119*Y119</f>
        <v>0</v>
      </c>
      <c r="G119" s="124" t="n">
        <f aca="false">VLOOKUP($A119,Table,MATCH(G$4,Curves,0))</f>
        <v>3</v>
      </c>
      <c r="H119" s="125" t="n">
        <f aca="false">G119+$H$7</f>
        <v>3</v>
      </c>
      <c r="I119" s="124" t="n">
        <f aca="false">H119</f>
        <v>3</v>
      </c>
      <c r="J119" s="124" t="n">
        <f aca="false">VLOOKUP($A119,Table,MATCH(J$4,Curves,0))</f>
        <v>4</v>
      </c>
      <c r="K119" s="125" t="n">
        <f aca="false">J119+$K$7</f>
        <v>4</v>
      </c>
      <c r="L119" s="126" t="n">
        <f aca="false">K119</f>
        <v>4</v>
      </c>
      <c r="M119" s="124" t="n">
        <f aca="false">VLOOKUP($A119,Table,MATCH(M$4,Curves,0))</f>
        <v>4</v>
      </c>
      <c r="N119" s="125" t="n">
        <f aca="false">M119+$N$7</f>
        <v>4</v>
      </c>
      <c r="O119" s="126" t="n">
        <v>0.25</v>
      </c>
      <c r="P119" s="114"/>
      <c r="Q119" s="126" t="n">
        <f aca="false">M119+J119+G119</f>
        <v>11</v>
      </c>
      <c r="R119" s="126" t="n">
        <f aca="false">N119+K119+H119</f>
        <v>11</v>
      </c>
      <c r="S119" s="126" t="n">
        <f aca="false">O119+L119+I119</f>
        <v>7.25</v>
      </c>
      <c r="T119" s="127"/>
      <c r="U119" s="5" t="n">
        <f aca="false">A120-A119</f>
        <v>31</v>
      </c>
      <c r="V119" s="128" t="n">
        <f aca="false">CHOOSE(F$3,A120+24,A119)</f>
        <v>40603</v>
      </c>
      <c r="W119" s="5" t="n">
        <f aca="false">V119-C$3</f>
        <v>3372</v>
      </c>
      <c r="X119" s="124" t="n">
        <f aca="false">VLOOKUP($A119,Table,MATCH(X$4,Curves,0))</f>
        <v>2</v>
      </c>
      <c r="Y119" s="129" t="n">
        <f aca="false">1/(1+CHOOSE(F$3,(X120+($K$3/10000))/2,(X119+($K$3/10000))/2))^(2*W119/365.25)</f>
        <v>2.76542815337481E-006</v>
      </c>
      <c r="Z119" s="5" t="n">
        <f aca="false">IF(AND(mthbeg&lt;=A119,mthend&gt;=A119),1,0)</f>
        <v>0</v>
      </c>
      <c r="AA119" s="5" t="n">
        <f aca="false">U119*Z119</f>
        <v>0</v>
      </c>
      <c r="AC119" s="115" t="n">
        <f aca="false">IF(G112=2,F119*(S119-Q119),F119*(Q119-S119))</f>
        <v>0</v>
      </c>
      <c r="AE119" s="116" t="n">
        <f aca="false">IF($G$3=1,F119*(R119-Q119),F119*(Q119-R119))</f>
        <v>0</v>
      </c>
      <c r="AG119" s="116" t="n">
        <f aca="false">AC119+AE119</f>
        <v>0</v>
      </c>
    </row>
    <row r="120" customFormat="false" ht="12.75" hidden="false" customHeight="false" outlineLevel="0" collapsed="false">
      <c r="A120" s="120" t="n">
        <f aca="false">EDATE(A119,1)</f>
        <v>40634</v>
      </c>
      <c r="B120" s="121" t="e">
        <f aca="false">VLOOKUP(A120,'Inputs-Summary'!$A$32:$E$41,4,FALSE())</f>
        <v>#N/A</v>
      </c>
      <c r="C120" s="122"/>
      <c r="D120" s="123" t="e">
        <f aca="false">B120+C120</f>
        <v>#N/A</v>
      </c>
      <c r="E120" s="111" t="n">
        <f aca="false">IF(Z120=0,0,IF(AND(Z120=1,$H$3=1),D120*U120,IF($H$3=2,D120,"N/A")))</f>
        <v>0</v>
      </c>
      <c r="F120" s="111" t="n">
        <f aca="false">E120*Y120</f>
        <v>0</v>
      </c>
      <c r="G120" s="124" t="n">
        <f aca="false">VLOOKUP($A120,Table,MATCH(G$4,Curves,0))</f>
        <v>3</v>
      </c>
      <c r="H120" s="125" t="n">
        <f aca="false">G120+$H$7</f>
        <v>3</v>
      </c>
      <c r="I120" s="124" t="n">
        <f aca="false">H120</f>
        <v>3</v>
      </c>
      <c r="J120" s="124" t="n">
        <f aca="false">VLOOKUP($A120,Table,MATCH(J$4,Curves,0))</f>
        <v>4</v>
      </c>
      <c r="K120" s="125" t="n">
        <f aca="false">J120+$K$7</f>
        <v>4</v>
      </c>
      <c r="L120" s="126" t="n">
        <f aca="false">K120</f>
        <v>4</v>
      </c>
      <c r="M120" s="124" t="n">
        <f aca="false">VLOOKUP($A120,Table,MATCH(M$4,Curves,0))</f>
        <v>4</v>
      </c>
      <c r="N120" s="125" t="n">
        <f aca="false">M120+$N$7</f>
        <v>4</v>
      </c>
      <c r="O120" s="126" t="n">
        <v>0.25</v>
      </c>
      <c r="P120" s="114"/>
      <c r="Q120" s="126" t="n">
        <f aca="false">M120+J120+G120</f>
        <v>11</v>
      </c>
      <c r="R120" s="126" t="n">
        <f aca="false">N120+K120+H120</f>
        <v>11</v>
      </c>
      <c r="S120" s="126" t="n">
        <f aca="false">O120+L120+I120</f>
        <v>7.25</v>
      </c>
      <c r="T120" s="127"/>
      <c r="U120" s="5" t="n">
        <f aca="false">A121-A120</f>
        <v>30</v>
      </c>
      <c r="V120" s="128" t="n">
        <f aca="false">CHOOSE(F$3,A121+24,A120)</f>
        <v>40634</v>
      </c>
      <c r="W120" s="5" t="n">
        <f aca="false">V120-C$3</f>
        <v>3403</v>
      </c>
      <c r="X120" s="124" t="n">
        <f aca="false">VLOOKUP($A120,Table,MATCH(X$4,Curves,0))</f>
        <v>2</v>
      </c>
      <c r="Y120" s="129" t="n">
        <f aca="false">1/(1+CHOOSE(F$3,(X121+($K$3/10000))/2,(X120+($K$3/10000))/2))^(2*W120/365.25)</f>
        <v>2.4584620958493E-006</v>
      </c>
      <c r="Z120" s="5" t="n">
        <f aca="false">IF(AND(mthbeg&lt;=A120,mthend&gt;=A120),1,0)</f>
        <v>0</v>
      </c>
      <c r="AA120" s="5" t="n">
        <f aca="false">U120*Z120</f>
        <v>0</v>
      </c>
      <c r="AC120" s="115" t="n">
        <f aca="false">IF(G113=2,F120*(S120-Q120),F120*(Q120-S120))</f>
        <v>0</v>
      </c>
      <c r="AE120" s="116" t="n">
        <f aca="false">IF($G$3=1,F120*(R120-Q120),F120*(Q120-R120))</f>
        <v>0</v>
      </c>
      <c r="AG120" s="116" t="n">
        <f aca="false">AC120+AE120</f>
        <v>0</v>
      </c>
    </row>
    <row r="121" customFormat="false" ht="12.75" hidden="false" customHeight="false" outlineLevel="0" collapsed="false">
      <c r="A121" s="120" t="n">
        <f aca="false">EDATE(A120,1)</f>
        <v>40664</v>
      </c>
      <c r="B121" s="121" t="e">
        <f aca="false">VLOOKUP(A121,'Inputs-Summary'!$A$32:$E$41,4,FALSE())</f>
        <v>#N/A</v>
      </c>
      <c r="C121" s="122"/>
      <c r="D121" s="123" t="e">
        <f aca="false">B121+C121</f>
        <v>#N/A</v>
      </c>
      <c r="E121" s="111" t="n">
        <f aca="false">IF(Z121=0,0,IF(AND(Z121=1,$H$3=1),D121*U121,IF($H$3=2,D121,"N/A")))</f>
        <v>0</v>
      </c>
      <c r="F121" s="111" t="n">
        <f aca="false">E121*Y121</f>
        <v>0</v>
      </c>
      <c r="G121" s="124" t="n">
        <f aca="false">VLOOKUP($A121,Table,MATCH(G$4,Curves,0))</f>
        <v>3</v>
      </c>
      <c r="H121" s="125" t="n">
        <f aca="false">G121+$H$7</f>
        <v>3</v>
      </c>
      <c r="I121" s="124" t="n">
        <f aca="false">H121</f>
        <v>3</v>
      </c>
      <c r="J121" s="124" t="n">
        <f aca="false">VLOOKUP($A121,Table,MATCH(J$4,Curves,0))</f>
        <v>4</v>
      </c>
      <c r="K121" s="125" t="n">
        <f aca="false">J121+$K$7</f>
        <v>4</v>
      </c>
      <c r="L121" s="126" t="n">
        <f aca="false">K121</f>
        <v>4</v>
      </c>
      <c r="M121" s="124" t="n">
        <f aca="false">VLOOKUP($A121,Table,MATCH(M$4,Curves,0))</f>
        <v>4</v>
      </c>
      <c r="N121" s="125" t="n">
        <f aca="false">M121+$N$7</f>
        <v>4</v>
      </c>
      <c r="O121" s="126" t="n">
        <v>0.25</v>
      </c>
      <c r="P121" s="114"/>
      <c r="Q121" s="126" t="n">
        <f aca="false">M121+J121+G121</f>
        <v>11</v>
      </c>
      <c r="R121" s="126" t="n">
        <f aca="false">N121+K121+H121</f>
        <v>11</v>
      </c>
      <c r="S121" s="126" t="n">
        <f aca="false">O121+L121+I121</f>
        <v>7.25</v>
      </c>
      <c r="T121" s="127"/>
      <c r="U121" s="5" t="n">
        <f aca="false">A122-A121</f>
        <v>31</v>
      </c>
      <c r="V121" s="128" t="n">
        <f aca="false">CHOOSE(F$3,A122+24,A121)</f>
        <v>40664</v>
      </c>
      <c r="W121" s="5" t="n">
        <f aca="false">V121-C$3</f>
        <v>3433</v>
      </c>
      <c r="X121" s="124" t="n">
        <f aca="false">VLOOKUP($A121,Table,MATCH(X$4,Curves,0))</f>
        <v>2</v>
      </c>
      <c r="Y121" s="129" t="n">
        <f aca="false">1/(1+CHOOSE(F$3,(X122+($K$3/10000))/2,(X121+($K$3/10000))/2))^(2*W121/365.25)</f>
        <v>2.19388068271251E-006</v>
      </c>
      <c r="Z121" s="5" t="n">
        <f aca="false">IF(AND(mthbeg&lt;=A121,mthend&gt;=A121),1,0)</f>
        <v>0</v>
      </c>
      <c r="AA121" s="5" t="n">
        <f aca="false">U121*Z121</f>
        <v>0</v>
      </c>
      <c r="AC121" s="115" t="n">
        <f aca="false">IF(G114=2,F121*(S121-Q121),F121*(Q121-S121))</f>
        <v>0</v>
      </c>
      <c r="AE121" s="116" t="n">
        <f aca="false">IF($G$3=1,F121*(R121-Q121),F121*(Q121-R121))</f>
        <v>0</v>
      </c>
      <c r="AG121" s="116" t="n">
        <f aca="false">AC121+AE121</f>
        <v>0</v>
      </c>
    </row>
    <row r="122" customFormat="false" ht="12.75" hidden="false" customHeight="false" outlineLevel="0" collapsed="false">
      <c r="A122" s="120" t="n">
        <f aca="false">EDATE(A121,1)</f>
        <v>40695</v>
      </c>
      <c r="B122" s="121" t="e">
        <f aca="false">VLOOKUP(A122,'Inputs-Summary'!$A$32:$E$41,4,FALSE())</f>
        <v>#N/A</v>
      </c>
      <c r="C122" s="122"/>
      <c r="D122" s="123" t="e">
        <f aca="false">B122+C122</f>
        <v>#N/A</v>
      </c>
      <c r="E122" s="111" t="n">
        <f aca="false">IF(Z122=0,0,IF(AND(Z122=1,$H$3=1),D122*U122,IF($H$3=2,D122,"N/A")))</f>
        <v>0</v>
      </c>
      <c r="F122" s="111" t="n">
        <f aca="false">E122*Y122</f>
        <v>0</v>
      </c>
      <c r="G122" s="124" t="n">
        <f aca="false">VLOOKUP($A122,Table,MATCH(G$4,Curves,0))</f>
        <v>3</v>
      </c>
      <c r="H122" s="125" t="n">
        <f aca="false">G122+$H$7</f>
        <v>3</v>
      </c>
      <c r="I122" s="124" t="n">
        <f aca="false">H122</f>
        <v>3</v>
      </c>
      <c r="J122" s="124" t="n">
        <f aca="false">VLOOKUP($A122,Table,MATCH(J$4,Curves,0))</f>
        <v>4</v>
      </c>
      <c r="K122" s="125" t="n">
        <f aca="false">J122+$K$7</f>
        <v>4</v>
      </c>
      <c r="L122" s="126" t="n">
        <f aca="false">K122</f>
        <v>4</v>
      </c>
      <c r="M122" s="124" t="n">
        <f aca="false">VLOOKUP($A122,Table,MATCH(M$4,Curves,0))</f>
        <v>4</v>
      </c>
      <c r="N122" s="125" t="n">
        <f aca="false">M122+$N$7</f>
        <v>4</v>
      </c>
      <c r="O122" s="126" t="n">
        <v>0.25</v>
      </c>
      <c r="P122" s="114"/>
      <c r="Q122" s="126" t="n">
        <f aca="false">M122+J122+G122</f>
        <v>11</v>
      </c>
      <c r="R122" s="126" t="n">
        <f aca="false">N122+K122+H122</f>
        <v>11</v>
      </c>
      <c r="S122" s="126" t="n">
        <f aca="false">O122+L122+I122</f>
        <v>7.25</v>
      </c>
      <c r="T122" s="127"/>
      <c r="U122" s="5" t="n">
        <f aca="false">A123-A122</f>
        <v>30</v>
      </c>
      <c r="V122" s="128" t="n">
        <f aca="false">CHOOSE(F$3,A123+24,A122)</f>
        <v>40695</v>
      </c>
      <c r="W122" s="5" t="n">
        <f aca="false">V122-C$3</f>
        <v>3464</v>
      </c>
      <c r="X122" s="124" t="n">
        <f aca="false">VLOOKUP($A122,Table,MATCH(X$4,Curves,0))</f>
        <v>2</v>
      </c>
      <c r="Y122" s="129" t="n">
        <f aca="false">1/(1+CHOOSE(F$3,(X123+($K$3/10000))/2,(X122+($K$3/10000))/2))^(2*W122/365.25)</f>
        <v>1.95035712451348E-006</v>
      </c>
      <c r="Z122" s="5" t="n">
        <f aca="false">IF(AND(mthbeg&lt;=A122,mthend&gt;=A122),1,0)</f>
        <v>0</v>
      </c>
      <c r="AA122" s="5" t="n">
        <f aca="false">U122*Z122</f>
        <v>0</v>
      </c>
      <c r="AC122" s="115" t="n">
        <f aca="false">IF(G115=2,F122*(S122-Q122),F122*(Q122-S122))</f>
        <v>0</v>
      </c>
      <c r="AE122" s="116" t="n">
        <f aca="false">IF($G$3=1,F122*(R122-Q122),F122*(Q122-R122))</f>
        <v>0</v>
      </c>
      <c r="AG122" s="116" t="n">
        <f aca="false">AC122+AE122</f>
        <v>0</v>
      </c>
    </row>
    <row r="123" customFormat="false" ht="12.75" hidden="false" customHeight="false" outlineLevel="0" collapsed="false">
      <c r="A123" s="120" t="n">
        <f aca="false">EDATE(A122,1)</f>
        <v>40725</v>
      </c>
      <c r="B123" s="121" t="e">
        <f aca="false">VLOOKUP(A123,'Inputs-Summary'!$A$32:$E$41,4,FALSE())</f>
        <v>#N/A</v>
      </c>
      <c r="C123" s="122"/>
      <c r="D123" s="123" t="e">
        <f aca="false">B123+C123</f>
        <v>#N/A</v>
      </c>
      <c r="E123" s="111" t="n">
        <f aca="false">IF(Z123=0,0,IF(AND(Z123=1,$H$3=1),D123*U123,IF($H$3=2,D123,"N/A")))</f>
        <v>0</v>
      </c>
      <c r="F123" s="111" t="n">
        <f aca="false">E123*Y123</f>
        <v>0</v>
      </c>
      <c r="G123" s="124" t="n">
        <f aca="false">VLOOKUP($A123,Table,MATCH(G$4,Curves,0))</f>
        <v>3</v>
      </c>
      <c r="H123" s="125" t="n">
        <f aca="false">G123+$H$7</f>
        <v>3</v>
      </c>
      <c r="I123" s="124" t="n">
        <f aca="false">H123</f>
        <v>3</v>
      </c>
      <c r="J123" s="124" t="n">
        <f aca="false">VLOOKUP($A123,Table,MATCH(J$4,Curves,0))</f>
        <v>4</v>
      </c>
      <c r="K123" s="125" t="n">
        <f aca="false">J123+$K$7</f>
        <v>4</v>
      </c>
      <c r="L123" s="126" t="n">
        <f aca="false">K123</f>
        <v>4</v>
      </c>
      <c r="M123" s="124" t="n">
        <f aca="false">VLOOKUP($A123,Table,MATCH(M$4,Curves,0))</f>
        <v>4</v>
      </c>
      <c r="N123" s="125" t="n">
        <f aca="false">M123+$N$7</f>
        <v>4</v>
      </c>
      <c r="O123" s="126" t="n">
        <v>0.25</v>
      </c>
      <c r="P123" s="114"/>
      <c r="Q123" s="126" t="n">
        <f aca="false">M123+J123+G123</f>
        <v>11</v>
      </c>
      <c r="R123" s="126" t="n">
        <f aca="false">N123+K123+H123</f>
        <v>11</v>
      </c>
      <c r="S123" s="126" t="n">
        <f aca="false">O123+L123+I123</f>
        <v>7.25</v>
      </c>
      <c r="T123" s="127"/>
      <c r="U123" s="5" t="n">
        <f aca="false">A124-A123</f>
        <v>31</v>
      </c>
      <c r="V123" s="128" t="n">
        <f aca="false">CHOOSE(F$3,A124+24,A123)</f>
        <v>40725</v>
      </c>
      <c r="W123" s="5" t="n">
        <f aca="false">V123-C$3</f>
        <v>3494</v>
      </c>
      <c r="X123" s="124" t="n">
        <f aca="false">VLOOKUP($A123,Table,MATCH(X$4,Curves,0))</f>
        <v>2</v>
      </c>
      <c r="Y123" s="129" t="n">
        <f aca="false">1/(1+CHOOSE(F$3,(X124+($K$3/10000))/2,(X123+($K$3/10000))/2))^(2*W123/365.25)</f>
        <v>1.74045832436666E-006</v>
      </c>
      <c r="Z123" s="5" t="n">
        <f aca="false">IF(AND(mthbeg&lt;=A123,mthend&gt;=A123),1,0)</f>
        <v>0</v>
      </c>
      <c r="AA123" s="5" t="n">
        <f aca="false">U123*Z123</f>
        <v>0</v>
      </c>
      <c r="AC123" s="115" t="n">
        <f aca="false">IF(G116=2,F123*(S123-Q123),F123*(Q123-S123))</f>
        <v>0</v>
      </c>
      <c r="AE123" s="116" t="n">
        <f aca="false">IF($G$3=1,F123*(R123-Q123),F123*(Q123-R123))</f>
        <v>0</v>
      </c>
      <c r="AG123" s="116" t="n">
        <f aca="false">AC123+AE123</f>
        <v>0</v>
      </c>
    </row>
    <row r="124" customFormat="false" ht="12.75" hidden="false" customHeight="false" outlineLevel="0" collapsed="false">
      <c r="A124" s="120" t="n">
        <f aca="false">EDATE(A123,1)</f>
        <v>40756</v>
      </c>
      <c r="B124" s="121" t="e">
        <f aca="false">VLOOKUP(A124,'Inputs-Summary'!$A$32:$E$41,4,FALSE())</f>
        <v>#N/A</v>
      </c>
      <c r="C124" s="122"/>
      <c r="D124" s="123" t="e">
        <f aca="false">B124+C124</f>
        <v>#N/A</v>
      </c>
      <c r="E124" s="111" t="n">
        <f aca="false">IF(Z124=0,0,IF(AND(Z124=1,$H$3=1),D124*U124,IF($H$3=2,D124,"N/A")))</f>
        <v>0</v>
      </c>
      <c r="F124" s="111" t="n">
        <f aca="false">E124*Y124</f>
        <v>0</v>
      </c>
      <c r="G124" s="124" t="n">
        <f aca="false">VLOOKUP($A124,Table,MATCH(G$4,Curves,0))</f>
        <v>3</v>
      </c>
      <c r="H124" s="125" t="n">
        <f aca="false">G124+$H$7</f>
        <v>3</v>
      </c>
      <c r="I124" s="124" t="n">
        <f aca="false">H124</f>
        <v>3</v>
      </c>
      <c r="J124" s="124" t="n">
        <f aca="false">VLOOKUP($A124,Table,MATCH(J$4,Curves,0))</f>
        <v>4</v>
      </c>
      <c r="K124" s="125" t="n">
        <f aca="false">J124+$K$7</f>
        <v>4</v>
      </c>
      <c r="L124" s="126" t="n">
        <f aca="false">K124</f>
        <v>4</v>
      </c>
      <c r="M124" s="124" t="n">
        <f aca="false">VLOOKUP($A124,Table,MATCH(M$4,Curves,0))</f>
        <v>4</v>
      </c>
      <c r="N124" s="125" t="n">
        <f aca="false">M124+$N$7</f>
        <v>4</v>
      </c>
      <c r="O124" s="126" t="n">
        <v>0.25</v>
      </c>
      <c r="P124" s="114"/>
      <c r="Q124" s="126" t="n">
        <f aca="false">M124+J124+G124</f>
        <v>11</v>
      </c>
      <c r="R124" s="126" t="n">
        <f aca="false">N124+K124+H124</f>
        <v>11</v>
      </c>
      <c r="S124" s="126" t="n">
        <f aca="false">O124+L124+I124</f>
        <v>7.25</v>
      </c>
      <c r="T124" s="127"/>
      <c r="U124" s="5" t="n">
        <f aca="false">A125-A124</f>
        <v>31</v>
      </c>
      <c r="V124" s="128" t="n">
        <f aca="false">CHOOSE(F$3,A125+24,A124)</f>
        <v>40756</v>
      </c>
      <c r="W124" s="5" t="n">
        <f aca="false">V124-C$3</f>
        <v>3525</v>
      </c>
      <c r="X124" s="124" t="n">
        <f aca="false">VLOOKUP($A124,Table,MATCH(X$4,Curves,0))</f>
        <v>2</v>
      </c>
      <c r="Y124" s="129" t="n">
        <f aca="false">1/(1+CHOOSE(F$3,(X125+($K$3/10000))/2,(X124+($K$3/10000))/2))^(2*W124/365.25)</f>
        <v>1.54726522713639E-006</v>
      </c>
      <c r="Z124" s="5" t="n">
        <f aca="false">IF(AND(mthbeg&lt;=A124,mthend&gt;=A124),1,0)</f>
        <v>0</v>
      </c>
      <c r="AA124" s="5" t="n">
        <f aca="false">U124*Z124</f>
        <v>0</v>
      </c>
      <c r="AC124" s="115" t="n">
        <f aca="false">IF(G117=2,F124*(S124-Q124),F124*(Q124-S124))</f>
        <v>0</v>
      </c>
      <c r="AE124" s="116" t="n">
        <f aca="false">IF($G$3=1,F124*(R124-Q124),F124*(Q124-R124))</f>
        <v>0</v>
      </c>
      <c r="AG124" s="116" t="n">
        <f aca="false">AC124+AE124</f>
        <v>0</v>
      </c>
    </row>
    <row r="125" customFormat="false" ht="12.75" hidden="false" customHeight="false" outlineLevel="0" collapsed="false">
      <c r="A125" s="120" t="n">
        <f aca="false">EDATE(A124,1)</f>
        <v>40787</v>
      </c>
      <c r="B125" s="121" t="e">
        <f aca="false">VLOOKUP(A125,'Inputs-Summary'!$A$32:$E$41,4,FALSE())</f>
        <v>#N/A</v>
      </c>
      <c r="C125" s="122"/>
      <c r="D125" s="123" t="e">
        <f aca="false">B125+C125</f>
        <v>#N/A</v>
      </c>
      <c r="E125" s="111" t="n">
        <f aca="false">IF(Z125=0,0,IF(AND(Z125=1,$H$3=1),D125*U125,IF($H$3=2,D125,"N/A")))</f>
        <v>0</v>
      </c>
      <c r="F125" s="111" t="n">
        <f aca="false">E125*Y125</f>
        <v>0</v>
      </c>
      <c r="G125" s="124" t="n">
        <f aca="false">VLOOKUP($A125,Table,MATCH(G$4,Curves,0))</f>
        <v>3</v>
      </c>
      <c r="H125" s="125" t="n">
        <f aca="false">G125+$H$7</f>
        <v>3</v>
      </c>
      <c r="I125" s="124" t="n">
        <f aca="false">H125</f>
        <v>3</v>
      </c>
      <c r="J125" s="124" t="n">
        <f aca="false">VLOOKUP($A125,Table,MATCH(J$4,Curves,0))</f>
        <v>4</v>
      </c>
      <c r="K125" s="125" t="n">
        <f aca="false">J125+$K$7</f>
        <v>4</v>
      </c>
      <c r="L125" s="126" t="n">
        <f aca="false">K125</f>
        <v>4</v>
      </c>
      <c r="M125" s="124" t="n">
        <f aca="false">VLOOKUP($A125,Table,MATCH(M$4,Curves,0))</f>
        <v>4</v>
      </c>
      <c r="N125" s="125" t="n">
        <f aca="false">M125+$N$7</f>
        <v>4</v>
      </c>
      <c r="O125" s="126" t="n">
        <v>0.25</v>
      </c>
      <c r="P125" s="114"/>
      <c r="Q125" s="126" t="n">
        <f aca="false">M125+J125+G125</f>
        <v>11</v>
      </c>
      <c r="R125" s="126" t="n">
        <f aca="false">N125+K125+H125</f>
        <v>11</v>
      </c>
      <c r="S125" s="126" t="n">
        <f aca="false">O125+L125+I125</f>
        <v>7.25</v>
      </c>
      <c r="T125" s="127"/>
      <c r="U125" s="5" t="n">
        <f aca="false">A126-A125</f>
        <v>30</v>
      </c>
      <c r="V125" s="128" t="n">
        <f aca="false">CHOOSE(F$3,A126+24,A125)</f>
        <v>40787</v>
      </c>
      <c r="W125" s="5" t="n">
        <f aca="false">V125-C$3</f>
        <v>3556</v>
      </c>
      <c r="X125" s="124" t="n">
        <f aca="false">VLOOKUP($A125,Table,MATCH(X$4,Curves,0))</f>
        <v>2</v>
      </c>
      <c r="Y125" s="129" t="n">
        <f aca="false">1/(1+CHOOSE(F$3,(X126+($K$3/10000))/2,(X125+($K$3/10000))/2))^(2*W125/365.25)</f>
        <v>1.37551681047956E-006</v>
      </c>
      <c r="Z125" s="5" t="n">
        <f aca="false">IF(AND(mthbeg&lt;=A125,mthend&gt;=A125),1,0)</f>
        <v>0</v>
      </c>
      <c r="AA125" s="5" t="n">
        <f aca="false">U125*Z125</f>
        <v>0</v>
      </c>
      <c r="AC125" s="115" t="n">
        <f aca="false">IF(G118=2,F125*(S125-Q125),F125*(Q125-S125))</f>
        <v>0</v>
      </c>
      <c r="AE125" s="116" t="n">
        <f aca="false">IF($G$3=1,F125*(R125-Q125),F125*(Q125-R125))</f>
        <v>0</v>
      </c>
      <c r="AG125" s="116" t="n">
        <f aca="false">AC125+AE125</f>
        <v>0</v>
      </c>
    </row>
    <row r="126" customFormat="false" ht="12.75" hidden="false" customHeight="false" outlineLevel="0" collapsed="false">
      <c r="A126" s="120" t="n">
        <f aca="false">EDATE(A125,1)</f>
        <v>40817</v>
      </c>
      <c r="B126" s="121" t="e">
        <f aca="false">VLOOKUP(A126,'Inputs-Summary'!$A$32:$E$41,4,FALSE())</f>
        <v>#N/A</v>
      </c>
      <c r="C126" s="122"/>
      <c r="D126" s="123" t="e">
        <f aca="false">B126+C126</f>
        <v>#N/A</v>
      </c>
      <c r="E126" s="111" t="n">
        <f aca="false">IF(Z126=0,0,IF(AND(Z126=1,$H$3=1),D126*U126,IF($H$3=2,D126,"N/A")))</f>
        <v>0</v>
      </c>
      <c r="F126" s="111" t="n">
        <f aca="false">E126*Y126</f>
        <v>0</v>
      </c>
      <c r="G126" s="124" t="n">
        <f aca="false">VLOOKUP($A126,Table,MATCH(G$4,Curves,0))</f>
        <v>3</v>
      </c>
      <c r="H126" s="125" t="n">
        <f aca="false">G126+$H$7</f>
        <v>3</v>
      </c>
      <c r="I126" s="124" t="n">
        <f aca="false">H126</f>
        <v>3</v>
      </c>
      <c r="J126" s="124" t="n">
        <f aca="false">VLOOKUP($A126,Table,MATCH(J$4,Curves,0))</f>
        <v>4</v>
      </c>
      <c r="K126" s="125" t="n">
        <f aca="false">J126+$K$7</f>
        <v>4</v>
      </c>
      <c r="L126" s="126" t="n">
        <f aca="false">K126</f>
        <v>4</v>
      </c>
      <c r="M126" s="124" t="n">
        <f aca="false">VLOOKUP($A126,Table,MATCH(M$4,Curves,0))</f>
        <v>4</v>
      </c>
      <c r="N126" s="125" t="n">
        <f aca="false">M126+$N$7</f>
        <v>4</v>
      </c>
      <c r="O126" s="126" t="n">
        <v>0.25</v>
      </c>
      <c r="P126" s="114"/>
      <c r="Q126" s="126" t="n">
        <f aca="false">M126+J126+G126</f>
        <v>11</v>
      </c>
      <c r="R126" s="126" t="n">
        <f aca="false">N126+K126+H126</f>
        <v>11</v>
      </c>
      <c r="S126" s="126" t="n">
        <f aca="false">O126+L126+I126</f>
        <v>7.25</v>
      </c>
      <c r="T126" s="127"/>
      <c r="U126" s="5" t="n">
        <f aca="false">A127-A126</f>
        <v>31</v>
      </c>
      <c r="V126" s="128" t="n">
        <f aca="false">CHOOSE(F$3,A127+24,A126)</f>
        <v>40817</v>
      </c>
      <c r="W126" s="5" t="n">
        <f aca="false">V126-C$3</f>
        <v>3586</v>
      </c>
      <c r="X126" s="124" t="n">
        <f aca="false">VLOOKUP($A126,Table,MATCH(X$4,Curves,0))</f>
        <v>2</v>
      </c>
      <c r="Y126" s="129" t="n">
        <f aca="false">1/(1+CHOOSE(F$3,(X127+($K$3/10000))/2,(X126+($K$3/10000))/2))^(2*W126/365.25)</f>
        <v>1.22748272765821E-006</v>
      </c>
      <c r="Z126" s="5" t="n">
        <f aca="false">IF(AND(mthbeg&lt;=A126,mthend&gt;=A126),1,0)</f>
        <v>0</v>
      </c>
      <c r="AA126" s="5" t="n">
        <f aca="false">U126*Z126</f>
        <v>0</v>
      </c>
      <c r="AC126" s="115" t="n">
        <f aca="false">IF(G119=2,F126*(S126-Q126),F126*(Q126-S126))</f>
        <v>0</v>
      </c>
      <c r="AE126" s="116" t="n">
        <f aca="false">IF($G$3=1,F126*(R126-Q126),F126*(Q126-R126))</f>
        <v>0</v>
      </c>
      <c r="AG126" s="116" t="n">
        <f aca="false">AC126+AE126</f>
        <v>0</v>
      </c>
    </row>
    <row r="127" customFormat="false" ht="12.75" hidden="false" customHeight="false" outlineLevel="0" collapsed="false">
      <c r="A127" s="120" t="n">
        <f aca="false">EDATE(A126,1)</f>
        <v>40848</v>
      </c>
      <c r="B127" s="121" t="e">
        <f aca="false">VLOOKUP(A127,'Inputs-Summary'!$A$32:$E$41,4,FALSE())</f>
        <v>#N/A</v>
      </c>
      <c r="C127" s="122"/>
      <c r="D127" s="123" t="e">
        <f aca="false">B127+C127</f>
        <v>#N/A</v>
      </c>
      <c r="E127" s="111" t="n">
        <f aca="false">IF(Z127=0,0,IF(AND(Z127=1,$H$3=1),D127*U127,IF($H$3=2,D127,"N/A")))</f>
        <v>0</v>
      </c>
      <c r="F127" s="111" t="n">
        <f aca="false">E127*Y127</f>
        <v>0</v>
      </c>
      <c r="G127" s="124" t="n">
        <f aca="false">VLOOKUP($A127,Table,MATCH(G$4,Curves,0))</f>
        <v>3</v>
      </c>
      <c r="H127" s="125" t="n">
        <f aca="false">G127+$H$7</f>
        <v>3</v>
      </c>
      <c r="I127" s="124" t="n">
        <f aca="false">H127</f>
        <v>3</v>
      </c>
      <c r="J127" s="124" t="n">
        <f aca="false">VLOOKUP($A127,Table,MATCH(J$4,Curves,0))</f>
        <v>4</v>
      </c>
      <c r="K127" s="125" t="n">
        <f aca="false">J127+$K$7</f>
        <v>4</v>
      </c>
      <c r="L127" s="126" t="n">
        <f aca="false">K127</f>
        <v>4</v>
      </c>
      <c r="M127" s="124" t="n">
        <f aca="false">VLOOKUP($A127,Table,MATCH(M$4,Curves,0))</f>
        <v>4</v>
      </c>
      <c r="N127" s="125" t="n">
        <f aca="false">M127+$N$7</f>
        <v>4</v>
      </c>
      <c r="O127" s="126" t="n">
        <v>0.25</v>
      </c>
      <c r="P127" s="114"/>
      <c r="Q127" s="126" t="n">
        <f aca="false">M127+J127+G127</f>
        <v>11</v>
      </c>
      <c r="R127" s="126" t="n">
        <f aca="false">N127+K127+H127</f>
        <v>11</v>
      </c>
      <c r="S127" s="126" t="n">
        <f aca="false">O127+L127+I127</f>
        <v>7.25</v>
      </c>
      <c r="T127" s="127"/>
      <c r="U127" s="5" t="n">
        <f aca="false">A128-A127</f>
        <v>30</v>
      </c>
      <c r="V127" s="128" t="n">
        <f aca="false">CHOOSE(F$3,A128+24,A127)</f>
        <v>40848</v>
      </c>
      <c r="W127" s="5" t="n">
        <f aca="false">V127-C$3</f>
        <v>3617</v>
      </c>
      <c r="X127" s="124" t="n">
        <f aca="false">VLOOKUP($A127,Table,MATCH(X$4,Curves,0))</f>
        <v>2</v>
      </c>
      <c r="Y127" s="129" t="n">
        <f aca="false">1/(1+CHOOSE(F$3,(X128+($K$3/10000))/2,(X127+($K$3/10000))/2))^(2*W127/365.25)</f>
        <v>1.09123057692702E-006</v>
      </c>
      <c r="Z127" s="5" t="n">
        <f aca="false">IF(AND(mthbeg&lt;=A127,mthend&gt;=A127),1,0)</f>
        <v>0</v>
      </c>
      <c r="AA127" s="5" t="n">
        <f aca="false">U127*Z127</f>
        <v>0</v>
      </c>
      <c r="AC127" s="115" t="n">
        <f aca="false">IF(G120=2,F127*(S127-Q127),F127*(Q127-S127))</f>
        <v>0</v>
      </c>
      <c r="AE127" s="116" t="n">
        <f aca="false">IF($G$3=1,F127*(R127-Q127),F127*(Q127-R127))</f>
        <v>0</v>
      </c>
      <c r="AG127" s="116" t="n">
        <f aca="false">AC127+AE127</f>
        <v>0</v>
      </c>
    </row>
    <row r="128" customFormat="false" ht="12.75" hidden="false" customHeight="false" outlineLevel="0" collapsed="false">
      <c r="A128" s="120" t="n">
        <f aca="false">EDATE(A127,1)</f>
        <v>40878</v>
      </c>
      <c r="B128" s="121" t="e">
        <f aca="false">VLOOKUP(A128,'Inputs-Summary'!$A$32:$E$41,4,FALSE())</f>
        <v>#N/A</v>
      </c>
      <c r="C128" s="122"/>
      <c r="D128" s="123" t="e">
        <f aca="false">B128+C128</f>
        <v>#N/A</v>
      </c>
      <c r="E128" s="111" t="n">
        <f aca="false">IF(Z128=0,0,IF(AND(Z128=1,$H$3=1),D128*U128,IF($H$3=2,D128,"N/A")))</f>
        <v>0</v>
      </c>
      <c r="F128" s="111" t="n">
        <f aca="false">E128*Y128</f>
        <v>0</v>
      </c>
      <c r="G128" s="124" t="n">
        <f aca="false">VLOOKUP($A128,Table,MATCH(G$4,Curves,0))</f>
        <v>3</v>
      </c>
      <c r="H128" s="125" t="n">
        <f aca="false">G128+$H$7</f>
        <v>3</v>
      </c>
      <c r="I128" s="124" t="n">
        <f aca="false">H128</f>
        <v>3</v>
      </c>
      <c r="J128" s="124" t="n">
        <f aca="false">VLOOKUP($A128,Table,MATCH(J$4,Curves,0))</f>
        <v>4</v>
      </c>
      <c r="K128" s="125" t="n">
        <f aca="false">J128+$K$7</f>
        <v>4</v>
      </c>
      <c r="L128" s="126" t="n">
        <f aca="false">K128</f>
        <v>4</v>
      </c>
      <c r="M128" s="124" t="n">
        <f aca="false">VLOOKUP($A128,Table,MATCH(M$4,Curves,0))</f>
        <v>4</v>
      </c>
      <c r="N128" s="125" t="n">
        <f aca="false">M128+$N$7</f>
        <v>4</v>
      </c>
      <c r="O128" s="126" t="n">
        <v>0.25</v>
      </c>
      <c r="P128" s="114"/>
      <c r="Q128" s="126" t="n">
        <f aca="false">M128+J128+G128</f>
        <v>11</v>
      </c>
      <c r="R128" s="126" t="n">
        <f aca="false">N128+K128+H128</f>
        <v>11</v>
      </c>
      <c r="S128" s="126" t="n">
        <f aca="false">O128+L128+I128</f>
        <v>7.25</v>
      </c>
      <c r="T128" s="127"/>
      <c r="U128" s="5" t="n">
        <f aca="false">A129-A128</f>
        <v>31</v>
      </c>
      <c r="V128" s="128" t="n">
        <f aca="false">CHOOSE(F$3,A129+24,A128)</f>
        <v>40878</v>
      </c>
      <c r="W128" s="5" t="n">
        <f aca="false">V128-C$3</f>
        <v>3647</v>
      </c>
      <c r="X128" s="124" t="n">
        <f aca="false">VLOOKUP($A128,Table,MATCH(X$4,Curves,0))</f>
        <v>2</v>
      </c>
      <c r="Y128" s="129" t="n">
        <f aca="false">1/(1+CHOOSE(F$3,(X129+($K$3/10000))/2,(X128+($K$3/10000))/2))^(2*W128/365.25)</f>
        <v>9.73791577729562E-007</v>
      </c>
      <c r="Z128" s="5" t="n">
        <f aca="false">IF(AND(mthbeg&lt;=A128,mthend&gt;=A128),1,0)</f>
        <v>0</v>
      </c>
      <c r="AA128" s="5" t="n">
        <f aca="false">U128*Z128</f>
        <v>0</v>
      </c>
      <c r="AC128" s="115" t="n">
        <f aca="false">IF(G121=2,F128*(S128-Q128),F128*(Q128-S128))</f>
        <v>0</v>
      </c>
      <c r="AE128" s="116" t="n">
        <f aca="false">IF($G$3=1,F128*(R128-Q128),F128*(Q128-R128))</f>
        <v>0</v>
      </c>
      <c r="AG128" s="116" t="n">
        <f aca="false">AC128+AE128</f>
        <v>0</v>
      </c>
    </row>
    <row r="129" customFormat="false" ht="12.75" hidden="false" customHeight="false" outlineLevel="0" collapsed="false">
      <c r="A129" s="120" t="n">
        <f aca="false">EDATE(A128,1)</f>
        <v>40909</v>
      </c>
      <c r="B129" s="121" t="e">
        <f aca="false">VLOOKUP(A129,'Inputs-Summary'!$A$32:$E$41,4,FALSE())</f>
        <v>#N/A</v>
      </c>
      <c r="C129" s="122"/>
      <c r="D129" s="123" t="e">
        <f aca="false">B129+C129</f>
        <v>#N/A</v>
      </c>
      <c r="E129" s="111" t="n">
        <f aca="false">IF(Z129=0,0,IF(AND(Z129=1,$H$3=1),D129*U129,IF($H$3=2,D129,"N/A")))</f>
        <v>0</v>
      </c>
      <c r="F129" s="111" t="n">
        <f aca="false">E129*Y129</f>
        <v>0</v>
      </c>
      <c r="G129" s="124" t="n">
        <f aca="false">VLOOKUP($A129,Table,MATCH(G$4,Curves,0))</f>
        <v>3</v>
      </c>
      <c r="H129" s="125" t="n">
        <f aca="false">G129+$H$7</f>
        <v>3</v>
      </c>
      <c r="I129" s="124" t="n">
        <f aca="false">H129</f>
        <v>3</v>
      </c>
      <c r="J129" s="124" t="n">
        <f aca="false">VLOOKUP($A129,Table,MATCH(J$4,Curves,0))</f>
        <v>4</v>
      </c>
      <c r="K129" s="125" t="n">
        <f aca="false">J129+$K$7</f>
        <v>4</v>
      </c>
      <c r="L129" s="126" t="n">
        <f aca="false">K129</f>
        <v>4</v>
      </c>
      <c r="M129" s="124" t="n">
        <f aca="false">VLOOKUP($A129,Table,MATCH(M$4,Curves,0))</f>
        <v>4</v>
      </c>
      <c r="N129" s="125" t="n">
        <f aca="false">M129+$N$7</f>
        <v>4</v>
      </c>
      <c r="O129" s="126" t="n">
        <v>0.25</v>
      </c>
      <c r="P129" s="114"/>
      <c r="Q129" s="126" t="n">
        <f aca="false">M129+J129+G129</f>
        <v>11</v>
      </c>
      <c r="R129" s="126" t="n">
        <f aca="false">N129+K129+H129</f>
        <v>11</v>
      </c>
      <c r="S129" s="126" t="n">
        <f aca="false">O129+L129+I129</f>
        <v>7.25</v>
      </c>
      <c r="T129" s="127"/>
      <c r="U129" s="5" t="n">
        <f aca="false">A130-A129</f>
        <v>31</v>
      </c>
      <c r="V129" s="128" t="n">
        <f aca="false">CHOOSE(F$3,A130+24,A129)</f>
        <v>40909</v>
      </c>
      <c r="W129" s="5" t="n">
        <f aca="false">V129-C$3</f>
        <v>3678</v>
      </c>
      <c r="X129" s="124" t="n">
        <f aca="false">VLOOKUP($A129,Table,MATCH(X$4,Curves,0))</f>
        <v>2</v>
      </c>
      <c r="Y129" s="129" t="n">
        <f aca="false">1/(1+CHOOSE(F$3,(X130+($K$3/10000))/2,(X129+($K$3/10000))/2))^(2*W129/365.25)</f>
        <v>8.65699468700301E-007</v>
      </c>
      <c r="Z129" s="5" t="n">
        <f aca="false">IF(AND(mthbeg&lt;=A129,mthend&gt;=A129),1,0)</f>
        <v>0</v>
      </c>
      <c r="AA129" s="5" t="n">
        <f aca="false">U129*Z129</f>
        <v>0</v>
      </c>
      <c r="AC129" s="115" t="n">
        <f aca="false">IF(G122=2,F129*(S129-Q129),F129*(Q129-S129))</f>
        <v>0</v>
      </c>
      <c r="AE129" s="116" t="n">
        <f aca="false">IF($G$3=1,F129*(R129-Q129),F129*(Q129-R129))</f>
        <v>0</v>
      </c>
      <c r="AG129" s="116" t="n">
        <f aca="false">AC129+AE129</f>
        <v>0</v>
      </c>
    </row>
    <row r="130" customFormat="false" ht="12.75" hidden="false" customHeight="false" outlineLevel="0" collapsed="false">
      <c r="A130" s="120" t="n">
        <f aca="false">EDATE(A129,1)</f>
        <v>40940</v>
      </c>
      <c r="B130" s="121" t="e">
        <f aca="false">VLOOKUP(A130,'Inputs-Summary'!$A$32:$E$41,4,FALSE())</f>
        <v>#N/A</v>
      </c>
      <c r="C130" s="122"/>
      <c r="D130" s="123" t="e">
        <f aca="false">B130+C130</f>
        <v>#N/A</v>
      </c>
      <c r="E130" s="111" t="n">
        <f aca="false">IF(Z130=0,0,IF(AND(Z130=1,$H$3=1),D130*U130,IF($H$3=2,D130,"N/A")))</f>
        <v>0</v>
      </c>
      <c r="F130" s="111" t="n">
        <f aca="false">E130*Y130</f>
        <v>0</v>
      </c>
      <c r="G130" s="124" t="n">
        <f aca="false">VLOOKUP($A130,Table,MATCH(G$4,Curves,0))</f>
        <v>3</v>
      </c>
      <c r="H130" s="125" t="n">
        <f aca="false">G130+$H$7</f>
        <v>3</v>
      </c>
      <c r="I130" s="124" t="n">
        <f aca="false">H130</f>
        <v>3</v>
      </c>
      <c r="J130" s="124" t="n">
        <f aca="false">VLOOKUP($A130,Table,MATCH(J$4,Curves,0))</f>
        <v>4</v>
      </c>
      <c r="K130" s="125" t="n">
        <f aca="false">J130+$K$7</f>
        <v>4</v>
      </c>
      <c r="L130" s="126" t="n">
        <f aca="false">K130</f>
        <v>4</v>
      </c>
      <c r="M130" s="124" t="n">
        <f aca="false">VLOOKUP($A130,Table,MATCH(M$4,Curves,0))</f>
        <v>4</v>
      </c>
      <c r="N130" s="125" t="n">
        <f aca="false">M130+$N$7</f>
        <v>4</v>
      </c>
      <c r="O130" s="126" t="n">
        <v>0.25</v>
      </c>
      <c r="P130" s="114"/>
      <c r="Q130" s="126" t="n">
        <f aca="false">M130+J130+G130</f>
        <v>11</v>
      </c>
      <c r="R130" s="126" t="n">
        <f aca="false">N130+K130+H130</f>
        <v>11</v>
      </c>
      <c r="S130" s="126" t="n">
        <f aca="false">O130+L130+I130</f>
        <v>7.25</v>
      </c>
      <c r="T130" s="127"/>
      <c r="U130" s="5" t="n">
        <f aca="false">A131-A130</f>
        <v>29</v>
      </c>
      <c r="V130" s="128" t="n">
        <f aca="false">CHOOSE(F$3,A131+24,A130)</f>
        <v>40940</v>
      </c>
      <c r="W130" s="5" t="n">
        <f aca="false">V130-C$3</f>
        <v>3709</v>
      </c>
      <c r="X130" s="124" t="n">
        <f aca="false">VLOOKUP($A130,Table,MATCH(X$4,Curves,0))</f>
        <v>2</v>
      </c>
      <c r="Y130" s="129" t="n">
        <f aca="false">1/(1+CHOOSE(F$3,(X131+($K$3/10000))/2,(X130+($K$3/10000))/2))^(2*W130/365.25)</f>
        <v>7.69605721847919E-007</v>
      </c>
      <c r="Z130" s="5" t="n">
        <f aca="false">IF(AND(mthbeg&lt;=A130,mthend&gt;=A130),1,0)</f>
        <v>0</v>
      </c>
      <c r="AA130" s="5" t="n">
        <f aca="false">U130*Z130</f>
        <v>0</v>
      </c>
      <c r="AC130" s="115" t="n">
        <f aca="false">IF(G123=2,F130*(S130-Q130),F130*(Q130-S130))</f>
        <v>0</v>
      </c>
      <c r="AE130" s="116" t="n">
        <f aca="false">IF($G$3=1,F130*(R130-Q130),F130*(Q130-R130))</f>
        <v>0</v>
      </c>
      <c r="AG130" s="116" t="n">
        <f aca="false">AC130+AE130</f>
        <v>0</v>
      </c>
    </row>
    <row r="131" customFormat="false" ht="12.75" hidden="false" customHeight="false" outlineLevel="0" collapsed="false">
      <c r="A131" s="120" t="n">
        <f aca="false">EDATE(A130,1)</f>
        <v>40969</v>
      </c>
      <c r="B131" s="121" t="e">
        <f aca="false">VLOOKUP(A131,'Inputs-Summary'!$A$32:$E$41,4,FALSE())</f>
        <v>#N/A</v>
      </c>
      <c r="C131" s="122"/>
      <c r="D131" s="123" t="e">
        <f aca="false">B131+C131</f>
        <v>#N/A</v>
      </c>
      <c r="E131" s="111" t="n">
        <f aca="false">IF(Z131=0,0,IF(AND(Z131=1,$H$3=1),D131*U131,IF($H$3=2,D131,"N/A")))</f>
        <v>0</v>
      </c>
      <c r="F131" s="111" t="n">
        <f aca="false">E131*Y131</f>
        <v>0</v>
      </c>
      <c r="G131" s="124" t="n">
        <f aca="false">VLOOKUP($A131,Table,MATCH(G$4,Curves,0))</f>
        <v>3</v>
      </c>
      <c r="H131" s="125" t="n">
        <f aca="false">G131+$H$7</f>
        <v>3</v>
      </c>
      <c r="I131" s="124" t="n">
        <f aca="false">H131</f>
        <v>3</v>
      </c>
      <c r="J131" s="124" t="n">
        <f aca="false">VLOOKUP($A131,Table,MATCH(J$4,Curves,0))</f>
        <v>4</v>
      </c>
      <c r="K131" s="125" t="n">
        <f aca="false">J131+$K$7</f>
        <v>4</v>
      </c>
      <c r="L131" s="126" t="n">
        <f aca="false">K131</f>
        <v>4</v>
      </c>
      <c r="M131" s="124" t="n">
        <f aca="false">VLOOKUP($A131,Table,MATCH(M$4,Curves,0))</f>
        <v>4</v>
      </c>
      <c r="N131" s="125" t="n">
        <f aca="false">M131+$N$7</f>
        <v>4</v>
      </c>
      <c r="O131" s="126" t="n">
        <v>0.25</v>
      </c>
      <c r="P131" s="114"/>
      <c r="Q131" s="126" t="n">
        <f aca="false">M131+J131+G131</f>
        <v>11</v>
      </c>
      <c r="R131" s="126" t="n">
        <f aca="false">N131+K131+H131</f>
        <v>11</v>
      </c>
      <c r="S131" s="126" t="n">
        <f aca="false">O131+L131+I131</f>
        <v>7.25</v>
      </c>
      <c r="T131" s="127"/>
      <c r="U131" s="5" t="n">
        <f aca="false">A132-A131</f>
        <v>31</v>
      </c>
      <c r="V131" s="128" t="n">
        <f aca="false">CHOOSE(F$3,A132+24,A131)</f>
        <v>40969</v>
      </c>
      <c r="W131" s="5" t="n">
        <f aca="false">V131-C$3</f>
        <v>3738</v>
      </c>
      <c r="X131" s="124" t="n">
        <f aca="false">VLOOKUP($A131,Table,MATCH(X$4,Curves,0))</f>
        <v>2</v>
      </c>
      <c r="Y131" s="129" t="n">
        <f aca="false">1/(1+CHOOSE(F$3,(X132+($K$3/10000))/2,(X131+($K$3/10000))/2))^(2*W131/365.25)</f>
        <v>6.89391819592831E-007</v>
      </c>
      <c r="Z131" s="5" t="n">
        <f aca="false">IF(AND(mthbeg&lt;=A131,mthend&gt;=A131),1,0)</f>
        <v>0</v>
      </c>
      <c r="AA131" s="5" t="n">
        <f aca="false">U131*Z131</f>
        <v>0</v>
      </c>
      <c r="AC131" s="115" t="n">
        <f aca="false">IF(G124=2,F131*(S131-Q131),F131*(Q131-S131))</f>
        <v>0</v>
      </c>
      <c r="AE131" s="116" t="n">
        <f aca="false">IF($G$3=1,F131*(R131-Q131),F131*(Q131-R131))</f>
        <v>0</v>
      </c>
      <c r="AG131" s="116" t="n">
        <f aca="false">AC131+AE131</f>
        <v>0</v>
      </c>
    </row>
    <row r="132" customFormat="false" ht="12.75" hidden="false" customHeight="false" outlineLevel="0" collapsed="false">
      <c r="A132" s="120" t="n">
        <f aca="false">EDATE(A131,1)</f>
        <v>41000</v>
      </c>
      <c r="B132" s="121" t="e">
        <f aca="false">VLOOKUP(A132,'Inputs-Summary'!$A$32:$E$41,4,FALSE())</f>
        <v>#N/A</v>
      </c>
      <c r="C132" s="122"/>
      <c r="D132" s="123" t="e">
        <f aca="false">B132+C132</f>
        <v>#N/A</v>
      </c>
      <c r="E132" s="111" t="n">
        <f aca="false">IF(Z132=0,0,IF(AND(Z132=1,$H$3=1),D132*U132,IF($H$3=2,D132,"N/A")))</f>
        <v>0</v>
      </c>
      <c r="F132" s="111" t="n">
        <f aca="false">E132*Y132</f>
        <v>0</v>
      </c>
      <c r="G132" s="124" t="n">
        <f aca="false">VLOOKUP($A132,Table,MATCH(G$4,Curves,0))</f>
        <v>3</v>
      </c>
      <c r="H132" s="125" t="n">
        <f aca="false">G132+$H$7</f>
        <v>3</v>
      </c>
      <c r="I132" s="124" t="n">
        <f aca="false">H132</f>
        <v>3</v>
      </c>
      <c r="J132" s="124" t="n">
        <f aca="false">VLOOKUP($A132,Table,MATCH(J$4,Curves,0))</f>
        <v>4</v>
      </c>
      <c r="K132" s="125" t="n">
        <f aca="false">J132+$K$7</f>
        <v>4</v>
      </c>
      <c r="L132" s="126" t="n">
        <f aca="false">K132</f>
        <v>4</v>
      </c>
      <c r="M132" s="124" t="n">
        <f aca="false">VLOOKUP($A132,Table,MATCH(M$4,Curves,0))</f>
        <v>4</v>
      </c>
      <c r="N132" s="125" t="n">
        <f aca="false">M132+$N$7</f>
        <v>4</v>
      </c>
      <c r="O132" s="126" t="n">
        <v>0.25</v>
      </c>
      <c r="P132" s="114"/>
      <c r="Q132" s="126" t="n">
        <f aca="false">M132+J132+G132</f>
        <v>11</v>
      </c>
      <c r="R132" s="126" t="n">
        <f aca="false">N132+K132+H132</f>
        <v>11</v>
      </c>
      <c r="S132" s="126" t="n">
        <f aca="false">O132+L132+I132</f>
        <v>7.25</v>
      </c>
      <c r="T132" s="127"/>
      <c r="U132" s="5" t="n">
        <f aca="false">A133-A132</f>
        <v>30</v>
      </c>
      <c r="V132" s="128" t="n">
        <f aca="false">CHOOSE(F$3,A133+24,A132)</f>
        <v>41000</v>
      </c>
      <c r="W132" s="5" t="n">
        <f aca="false">V132-C$3</f>
        <v>3769</v>
      </c>
      <c r="X132" s="124" t="n">
        <f aca="false">VLOOKUP($A132,Table,MATCH(X$4,Curves,0))</f>
        <v>2</v>
      </c>
      <c r="Y132" s="129" t="n">
        <f aca="false">1/(1+CHOOSE(F$3,(X133+($K$3/10000))/2,(X132+($K$3/10000))/2))^(2*W132/365.25)</f>
        <v>6.12868447003134E-007</v>
      </c>
      <c r="Z132" s="5" t="n">
        <f aca="false">IF(AND(mthbeg&lt;=A132,mthend&gt;=A132),1,0)</f>
        <v>0</v>
      </c>
      <c r="AA132" s="5" t="n">
        <f aca="false">U132*Z132</f>
        <v>0</v>
      </c>
      <c r="AC132" s="115" t="n">
        <f aca="false">IF(G125=2,F132*(S132-Q132),F132*(Q132-S132))</f>
        <v>0</v>
      </c>
      <c r="AE132" s="116" t="n">
        <f aca="false">IF($G$3=1,F132*(R132-Q132),F132*(Q132-R132))</f>
        <v>0</v>
      </c>
      <c r="AG132" s="116" t="n">
        <f aca="false">AC132+AE132</f>
        <v>0</v>
      </c>
    </row>
    <row r="133" customFormat="false" ht="12.75" hidden="false" customHeight="false" outlineLevel="0" collapsed="false">
      <c r="A133" s="120" t="n">
        <f aca="false">EDATE(A132,1)</f>
        <v>41030</v>
      </c>
      <c r="B133" s="121" t="e">
        <f aca="false">VLOOKUP(A133,'Inputs-Summary'!$A$32:$E$41,4,FALSE())</f>
        <v>#N/A</v>
      </c>
      <c r="C133" s="122"/>
      <c r="D133" s="123" t="e">
        <f aca="false">B133+C133</f>
        <v>#N/A</v>
      </c>
      <c r="E133" s="111" t="n">
        <f aca="false">IF(Z133=0,0,IF(AND(Z133=1,$H$3=1),D133*U133,IF($H$3=2,D133,"N/A")))</f>
        <v>0</v>
      </c>
      <c r="F133" s="111" t="n">
        <f aca="false">E133*Y133</f>
        <v>0</v>
      </c>
      <c r="G133" s="124" t="n">
        <f aca="false">VLOOKUP($A133,Table,MATCH(G$4,Curves,0))</f>
        <v>3</v>
      </c>
      <c r="H133" s="125" t="n">
        <f aca="false">G133+$H$7</f>
        <v>3</v>
      </c>
      <c r="I133" s="124" t="n">
        <f aca="false">H133</f>
        <v>3</v>
      </c>
      <c r="J133" s="124" t="n">
        <f aca="false">VLOOKUP($A133,Table,MATCH(J$4,Curves,0))</f>
        <v>4</v>
      </c>
      <c r="K133" s="125" t="n">
        <f aca="false">J133+$K$7</f>
        <v>4</v>
      </c>
      <c r="L133" s="126" t="n">
        <f aca="false">K133</f>
        <v>4</v>
      </c>
      <c r="M133" s="124" t="n">
        <f aca="false">VLOOKUP($A133,Table,MATCH(M$4,Curves,0))</f>
        <v>4</v>
      </c>
      <c r="N133" s="125" t="n">
        <f aca="false">M133+$N$7</f>
        <v>4</v>
      </c>
      <c r="O133" s="126" t="n">
        <v>0.25</v>
      </c>
      <c r="P133" s="114"/>
      <c r="Q133" s="126" t="n">
        <f aca="false">M133+J133+G133</f>
        <v>11</v>
      </c>
      <c r="R133" s="126" t="n">
        <f aca="false">N133+K133+H133</f>
        <v>11</v>
      </c>
      <c r="S133" s="126" t="n">
        <f aca="false">O133+L133+I133</f>
        <v>7.25</v>
      </c>
      <c r="T133" s="127"/>
      <c r="U133" s="5" t="n">
        <f aca="false">A134-A133</f>
        <v>31</v>
      </c>
      <c r="V133" s="128" t="n">
        <f aca="false">CHOOSE(F$3,A134+24,A133)</f>
        <v>41030</v>
      </c>
      <c r="W133" s="5" t="n">
        <f aca="false">V133-C$3</f>
        <v>3799</v>
      </c>
      <c r="X133" s="124" t="n">
        <f aca="false">VLOOKUP($A133,Table,MATCH(X$4,Curves,0))</f>
        <v>2</v>
      </c>
      <c r="Y133" s="129" t="n">
        <f aca="false">1/(1+CHOOSE(F$3,(X134+($K$3/10000))/2,(X133+($K$3/10000))/2))^(2*W133/365.25)</f>
        <v>5.46911115365271E-007</v>
      </c>
      <c r="Z133" s="5" t="n">
        <f aca="false">IF(AND(mthbeg&lt;=A133,mthend&gt;=A133),1,0)</f>
        <v>0</v>
      </c>
      <c r="AA133" s="5" t="n">
        <f aca="false">U133*Z133</f>
        <v>0</v>
      </c>
      <c r="AC133" s="115" t="n">
        <f aca="false">IF(G126=2,F133*(S133-Q133),F133*(Q133-S133))</f>
        <v>0</v>
      </c>
      <c r="AE133" s="116" t="n">
        <f aca="false">IF($G$3=1,F133*(R133-Q133),F133*(Q133-R133))</f>
        <v>0</v>
      </c>
      <c r="AG133" s="116" t="n">
        <f aca="false">AC133+AE133</f>
        <v>0</v>
      </c>
    </row>
    <row r="134" customFormat="false" ht="12.75" hidden="false" customHeight="false" outlineLevel="0" collapsed="false">
      <c r="A134" s="120" t="n">
        <f aca="false">EDATE(A133,1)</f>
        <v>41061</v>
      </c>
      <c r="B134" s="121" t="e">
        <f aca="false">VLOOKUP(A134,'Inputs-Summary'!$A$32:$E$41,4,FALSE())</f>
        <v>#N/A</v>
      </c>
      <c r="C134" s="122"/>
      <c r="D134" s="123" t="e">
        <f aca="false">B134+C134</f>
        <v>#N/A</v>
      </c>
      <c r="E134" s="111" t="n">
        <f aca="false">IF(Z134=0,0,IF(AND(Z134=1,$H$3=1),D134*U134,IF($H$3=2,D134,"N/A")))</f>
        <v>0</v>
      </c>
      <c r="F134" s="111" t="n">
        <f aca="false">E134*Y134</f>
        <v>0</v>
      </c>
      <c r="G134" s="124" t="n">
        <f aca="false">VLOOKUP($A134,Table,MATCH(G$4,Curves,0))</f>
        <v>3</v>
      </c>
      <c r="H134" s="125" t="n">
        <f aca="false">G134+$H$7</f>
        <v>3</v>
      </c>
      <c r="I134" s="124" t="n">
        <f aca="false">H134</f>
        <v>3</v>
      </c>
      <c r="J134" s="124" t="n">
        <f aca="false">VLOOKUP($A134,Table,MATCH(J$4,Curves,0))</f>
        <v>4</v>
      </c>
      <c r="K134" s="125" t="n">
        <f aca="false">J134+$K$7</f>
        <v>4</v>
      </c>
      <c r="L134" s="126" t="n">
        <f aca="false">K134</f>
        <v>4</v>
      </c>
      <c r="M134" s="124" t="n">
        <f aca="false">VLOOKUP($A134,Table,MATCH(M$4,Curves,0))</f>
        <v>4</v>
      </c>
      <c r="N134" s="125" t="n">
        <f aca="false">M134+$N$7</f>
        <v>4</v>
      </c>
      <c r="O134" s="126" t="n">
        <v>0.25</v>
      </c>
      <c r="P134" s="114"/>
      <c r="Q134" s="126" t="n">
        <f aca="false">M134+J134+G134</f>
        <v>11</v>
      </c>
      <c r="R134" s="126" t="n">
        <f aca="false">N134+K134+H134</f>
        <v>11</v>
      </c>
      <c r="S134" s="126" t="n">
        <f aca="false">O134+L134+I134</f>
        <v>7.25</v>
      </c>
      <c r="T134" s="127"/>
      <c r="U134" s="5" t="n">
        <f aca="false">A135-A134</f>
        <v>30</v>
      </c>
      <c r="V134" s="128" t="n">
        <f aca="false">CHOOSE(F$3,A135+24,A134)</f>
        <v>41061</v>
      </c>
      <c r="W134" s="5" t="n">
        <f aca="false">V134-C$3</f>
        <v>3830</v>
      </c>
      <c r="X134" s="124" t="n">
        <f aca="false">VLOOKUP($A134,Table,MATCH(X$4,Curves,0))</f>
        <v>2</v>
      </c>
      <c r="Y134" s="129" t="n">
        <f aca="false">1/(1+CHOOSE(F$3,(X135+($K$3/10000))/2,(X134+($K$3/10000))/2))^(2*W134/365.25)</f>
        <v>4.86203282946746E-007</v>
      </c>
      <c r="Z134" s="5" t="n">
        <f aca="false">IF(AND(mthbeg&lt;=A134,mthend&gt;=A134),1,0)</f>
        <v>0</v>
      </c>
      <c r="AA134" s="5" t="n">
        <f aca="false">U134*Z134</f>
        <v>0</v>
      </c>
      <c r="AC134" s="115" t="n">
        <f aca="false">IF(G127=2,F134*(S134-Q134),F134*(Q134-S134))</f>
        <v>0</v>
      </c>
      <c r="AE134" s="116" t="n">
        <f aca="false">IF($G$3=1,F134*(R134-Q134),F134*(Q134-R134))</f>
        <v>0</v>
      </c>
      <c r="AG134" s="116" t="n">
        <f aca="false">AC134+AE134</f>
        <v>0</v>
      </c>
    </row>
    <row r="135" customFormat="false" ht="12.75" hidden="false" customHeight="false" outlineLevel="0" collapsed="false">
      <c r="A135" s="120" t="n">
        <f aca="false">EDATE(A134,1)</f>
        <v>41091</v>
      </c>
      <c r="B135" s="121" t="e">
        <f aca="false">VLOOKUP(A135,'Inputs-Summary'!$A$32:$E$41,4,FALSE())</f>
        <v>#N/A</v>
      </c>
      <c r="C135" s="122"/>
      <c r="D135" s="123" t="e">
        <f aca="false">B135+C135</f>
        <v>#N/A</v>
      </c>
      <c r="E135" s="111" t="n">
        <f aca="false">IF(Z135=0,0,IF(AND(Z135=1,$H$3=1),D135*U135,IF($H$3=2,D135,"N/A")))</f>
        <v>0</v>
      </c>
      <c r="F135" s="111" t="n">
        <f aca="false">E135*Y135</f>
        <v>0</v>
      </c>
      <c r="G135" s="124" t="n">
        <f aca="false">VLOOKUP($A135,Table,MATCH(G$4,Curves,0))</f>
        <v>3</v>
      </c>
      <c r="H135" s="125" t="n">
        <f aca="false">G135+$H$7</f>
        <v>3</v>
      </c>
      <c r="I135" s="124" t="n">
        <f aca="false">H135</f>
        <v>3</v>
      </c>
      <c r="J135" s="124" t="n">
        <f aca="false">VLOOKUP($A135,Table,MATCH(J$4,Curves,0))</f>
        <v>4</v>
      </c>
      <c r="K135" s="125" t="n">
        <f aca="false">J135+$K$7</f>
        <v>4</v>
      </c>
      <c r="L135" s="126" t="n">
        <f aca="false">K135</f>
        <v>4</v>
      </c>
      <c r="M135" s="124" t="n">
        <f aca="false">VLOOKUP($A135,Table,MATCH(M$4,Curves,0))</f>
        <v>4</v>
      </c>
      <c r="N135" s="125" t="n">
        <f aca="false">M135+$N$7</f>
        <v>4</v>
      </c>
      <c r="O135" s="126" t="n">
        <v>0.25</v>
      </c>
      <c r="P135" s="114"/>
      <c r="Q135" s="126" t="n">
        <f aca="false">M135+J135+G135</f>
        <v>11</v>
      </c>
      <c r="R135" s="126" t="n">
        <f aca="false">N135+K135+H135</f>
        <v>11</v>
      </c>
      <c r="S135" s="126" t="n">
        <f aca="false">O135+L135+I135</f>
        <v>7.25</v>
      </c>
      <c r="T135" s="127"/>
      <c r="U135" s="5" t="n">
        <f aca="false">A136-A135</f>
        <v>31</v>
      </c>
      <c r="V135" s="128" t="n">
        <f aca="false">CHOOSE(F$3,A136+24,A135)</f>
        <v>41091</v>
      </c>
      <c r="W135" s="5" t="n">
        <f aca="false">V135-C$3</f>
        <v>3860</v>
      </c>
      <c r="X135" s="124" t="n">
        <f aca="false">VLOOKUP($A135,Table,MATCH(X$4,Curves,0))</f>
        <v>2</v>
      </c>
      <c r="Y135" s="129" t="n">
        <f aca="false">1/(1+CHOOSE(F$3,(X136+($K$3/10000))/2,(X135+($K$3/10000))/2))^(2*W135/365.25)</f>
        <v>4.33877745005368E-007</v>
      </c>
      <c r="Z135" s="5" t="n">
        <f aca="false">IF(AND(mthbeg&lt;=A135,mthend&gt;=A135),1,0)</f>
        <v>0</v>
      </c>
      <c r="AA135" s="5" t="n">
        <f aca="false">U135*Z135</f>
        <v>0</v>
      </c>
      <c r="AC135" s="115" t="n">
        <f aca="false">IF(G128=2,F135*(S135-Q135),F135*(Q135-S135))</f>
        <v>0</v>
      </c>
      <c r="AE135" s="116" t="n">
        <f aca="false">IF($G$3=1,F135*(R135-Q135),F135*(Q135-R135))</f>
        <v>0</v>
      </c>
      <c r="AG135" s="116" t="n">
        <f aca="false">AC135+AE135</f>
        <v>0</v>
      </c>
    </row>
    <row r="136" customFormat="false" ht="12.75" hidden="false" customHeight="false" outlineLevel="0" collapsed="false">
      <c r="A136" s="120" t="n">
        <f aca="false">EDATE(A135,1)</f>
        <v>41122</v>
      </c>
      <c r="B136" s="121" t="e">
        <f aca="false">VLOOKUP(A136,'Inputs-Summary'!$A$32:$E$41,4,FALSE())</f>
        <v>#N/A</v>
      </c>
      <c r="C136" s="122"/>
      <c r="D136" s="123" t="e">
        <f aca="false">B136+C136</f>
        <v>#N/A</v>
      </c>
      <c r="E136" s="111" t="n">
        <f aca="false">IF(Z136=0,0,IF(AND(Z136=1,$H$3=1),D136*U136,IF($H$3=2,D136,"N/A")))</f>
        <v>0</v>
      </c>
      <c r="F136" s="111" t="n">
        <f aca="false">E136*Y136</f>
        <v>0</v>
      </c>
      <c r="G136" s="124" t="n">
        <f aca="false">VLOOKUP($A136,Table,MATCH(G$4,Curves,0))</f>
        <v>3</v>
      </c>
      <c r="H136" s="125" t="n">
        <f aca="false">G136+$H$7</f>
        <v>3</v>
      </c>
      <c r="I136" s="124" t="n">
        <f aca="false">H136</f>
        <v>3</v>
      </c>
      <c r="J136" s="124" t="n">
        <f aca="false">VLOOKUP($A136,Table,MATCH(J$4,Curves,0))</f>
        <v>4</v>
      </c>
      <c r="K136" s="125" t="n">
        <f aca="false">J136+$K$7</f>
        <v>4</v>
      </c>
      <c r="L136" s="126" t="n">
        <f aca="false">K136</f>
        <v>4</v>
      </c>
      <c r="M136" s="124" t="n">
        <f aca="false">VLOOKUP($A136,Table,MATCH(M$4,Curves,0))</f>
        <v>4</v>
      </c>
      <c r="N136" s="125" t="n">
        <f aca="false">M136+$N$7</f>
        <v>4</v>
      </c>
      <c r="O136" s="126" t="n">
        <v>0.25</v>
      </c>
      <c r="P136" s="114"/>
      <c r="Q136" s="126" t="n">
        <f aca="false">M136+J136+G136</f>
        <v>11</v>
      </c>
      <c r="R136" s="126" t="n">
        <f aca="false">N136+K136+H136</f>
        <v>11</v>
      </c>
      <c r="S136" s="126" t="n">
        <f aca="false">O136+L136+I136</f>
        <v>7.25</v>
      </c>
      <c r="T136" s="127"/>
      <c r="U136" s="5" t="n">
        <f aca="false">A137-A136</f>
        <v>31</v>
      </c>
      <c r="V136" s="128" t="n">
        <f aca="false">CHOOSE(F$3,A137+24,A136)</f>
        <v>41122</v>
      </c>
      <c r="W136" s="5" t="n">
        <f aca="false">V136-C$3</f>
        <v>3891</v>
      </c>
      <c r="X136" s="124" t="n">
        <f aca="false">VLOOKUP($A136,Table,MATCH(X$4,Curves,0))</f>
        <v>2</v>
      </c>
      <c r="Y136" s="129" t="n">
        <f aca="false">1/(1+CHOOSE(F$3,(X137+($K$3/10000))/2,(X136+($K$3/10000))/2))^(2*W136/365.25)</f>
        <v>3.85716761083289E-007</v>
      </c>
      <c r="Z136" s="5" t="n">
        <f aca="false">IF(AND(mthbeg&lt;=A136,mthend&gt;=A136),1,0)</f>
        <v>0</v>
      </c>
      <c r="AA136" s="5" t="n">
        <f aca="false">U136*Z136</f>
        <v>0</v>
      </c>
      <c r="AC136" s="115" t="n">
        <f aca="false">IF(G129=2,F136*(S136-Q136),F136*(Q136-S136))</f>
        <v>0</v>
      </c>
      <c r="AE136" s="116" t="n">
        <f aca="false">IF($G$3=1,F136*(R136-Q136),F136*(Q136-R136))</f>
        <v>0</v>
      </c>
      <c r="AG136" s="116" t="n">
        <f aca="false">AC136+AE136</f>
        <v>0</v>
      </c>
    </row>
    <row r="137" customFormat="false" ht="12.75" hidden="false" customHeight="false" outlineLevel="0" collapsed="false">
      <c r="A137" s="120" t="n">
        <f aca="false">EDATE(A136,1)</f>
        <v>41153</v>
      </c>
      <c r="B137" s="121" t="e">
        <f aca="false">VLOOKUP(A137,'Inputs-Summary'!$A$32:$E$41,4,FALSE())</f>
        <v>#N/A</v>
      </c>
      <c r="C137" s="122"/>
      <c r="D137" s="123" t="e">
        <f aca="false">B137+C137</f>
        <v>#N/A</v>
      </c>
      <c r="E137" s="111" t="n">
        <f aca="false">IF(Z137=0,0,IF(AND(Z137=1,$H$3=1),D137*U137,IF($H$3=2,D137,"N/A")))</f>
        <v>0</v>
      </c>
      <c r="F137" s="111" t="n">
        <f aca="false">E137*Y137</f>
        <v>0</v>
      </c>
      <c r="G137" s="124" t="n">
        <f aca="false">VLOOKUP($A137,Table,MATCH(G$4,Curves,0))</f>
        <v>3</v>
      </c>
      <c r="H137" s="125" t="n">
        <f aca="false">G137+$H$7</f>
        <v>3</v>
      </c>
      <c r="I137" s="124" t="n">
        <f aca="false">H137</f>
        <v>3</v>
      </c>
      <c r="J137" s="124" t="n">
        <f aca="false">VLOOKUP($A137,Table,MATCH(J$4,Curves,0))</f>
        <v>4</v>
      </c>
      <c r="K137" s="125" t="n">
        <f aca="false">J137+$K$7</f>
        <v>4</v>
      </c>
      <c r="L137" s="126" t="n">
        <f aca="false">K137</f>
        <v>4</v>
      </c>
      <c r="M137" s="124" t="n">
        <f aca="false">VLOOKUP($A137,Table,MATCH(M$4,Curves,0))</f>
        <v>4</v>
      </c>
      <c r="N137" s="125" t="n">
        <f aca="false">M137+$N$7</f>
        <v>4</v>
      </c>
      <c r="O137" s="126" t="n">
        <v>0.25</v>
      </c>
      <c r="P137" s="114"/>
      <c r="Q137" s="126" t="n">
        <f aca="false">M137+J137+G137</f>
        <v>11</v>
      </c>
      <c r="R137" s="126" t="n">
        <f aca="false">N137+K137+H137</f>
        <v>11</v>
      </c>
      <c r="S137" s="126" t="n">
        <f aca="false">O137+L137+I137</f>
        <v>7.25</v>
      </c>
      <c r="T137" s="127"/>
      <c r="U137" s="5" t="n">
        <f aca="false">A138-A137</f>
        <v>30</v>
      </c>
      <c r="V137" s="128" t="n">
        <f aca="false">CHOOSE(F$3,A138+24,A137)</f>
        <v>41153</v>
      </c>
      <c r="W137" s="5" t="n">
        <f aca="false">V137-C$3</f>
        <v>3922</v>
      </c>
      <c r="X137" s="124" t="n">
        <f aca="false">VLOOKUP($A137,Table,MATCH(X$4,Curves,0))</f>
        <v>2</v>
      </c>
      <c r="Y137" s="129" t="n">
        <f aca="false">1/(1+CHOOSE(F$3,(X138+($K$3/10000))/2,(X137+($K$3/10000))/2))^(2*W137/365.25)</f>
        <v>3.42901707896407E-007</v>
      </c>
      <c r="Z137" s="5" t="n">
        <f aca="false">IF(AND(mthbeg&lt;=A137,mthend&gt;=A137),1,0)</f>
        <v>0</v>
      </c>
      <c r="AA137" s="5" t="n">
        <f aca="false">U137*Z137</f>
        <v>0</v>
      </c>
      <c r="AC137" s="115" t="n">
        <f aca="false">IF(G130=2,F137*(S137-Q137),F137*(Q137-S137))</f>
        <v>0</v>
      </c>
      <c r="AE137" s="116" t="n">
        <f aca="false">IF($G$3=1,F137*(R137-Q137),F137*(Q137-R137))</f>
        <v>0</v>
      </c>
      <c r="AG137" s="116" t="n">
        <f aca="false">AC137+AE137</f>
        <v>0</v>
      </c>
    </row>
    <row r="138" customFormat="false" ht="12.75" hidden="false" customHeight="false" outlineLevel="0" collapsed="false">
      <c r="A138" s="120" t="n">
        <f aca="false">EDATE(A137,1)</f>
        <v>41183</v>
      </c>
      <c r="B138" s="121" t="e">
        <f aca="false">VLOOKUP(A138,'Inputs-Summary'!$A$32:$E$41,4,FALSE())</f>
        <v>#N/A</v>
      </c>
      <c r="C138" s="122"/>
      <c r="D138" s="123" t="e">
        <f aca="false">B138+C138</f>
        <v>#N/A</v>
      </c>
      <c r="E138" s="111" t="n">
        <f aca="false">IF(Z138=0,0,IF(AND(Z138=1,$H$3=1),D138*U138,IF($H$3=2,D138,"N/A")))</f>
        <v>0</v>
      </c>
      <c r="F138" s="111" t="n">
        <f aca="false">E138*Y138</f>
        <v>0</v>
      </c>
      <c r="G138" s="124" t="n">
        <f aca="false">VLOOKUP($A138,Table,MATCH(G$4,Curves,0))</f>
        <v>3</v>
      </c>
      <c r="H138" s="125" t="n">
        <f aca="false">G138+$H$7</f>
        <v>3</v>
      </c>
      <c r="I138" s="124" t="n">
        <f aca="false">H138</f>
        <v>3</v>
      </c>
      <c r="J138" s="124" t="n">
        <f aca="false">VLOOKUP($A138,Table,MATCH(J$4,Curves,0))</f>
        <v>4</v>
      </c>
      <c r="K138" s="125" t="n">
        <f aca="false">J138+$K$7</f>
        <v>4</v>
      </c>
      <c r="L138" s="126" t="n">
        <f aca="false">K138</f>
        <v>4</v>
      </c>
      <c r="M138" s="124" t="n">
        <f aca="false">VLOOKUP($A138,Table,MATCH(M$4,Curves,0))</f>
        <v>4</v>
      </c>
      <c r="N138" s="125" t="n">
        <f aca="false">M138+$N$7</f>
        <v>4</v>
      </c>
      <c r="O138" s="126" t="n">
        <v>0.25</v>
      </c>
      <c r="P138" s="114"/>
      <c r="Q138" s="126" t="n">
        <f aca="false">M138+J138+G138</f>
        <v>11</v>
      </c>
      <c r="R138" s="126" t="n">
        <f aca="false">N138+K138+H138</f>
        <v>11</v>
      </c>
      <c r="S138" s="126" t="n">
        <f aca="false">O138+L138+I138</f>
        <v>7.25</v>
      </c>
      <c r="T138" s="127"/>
      <c r="U138" s="5" t="n">
        <f aca="false">A139-A138</f>
        <v>31</v>
      </c>
      <c r="V138" s="128" t="n">
        <f aca="false">CHOOSE(F$3,A139+24,A138)</f>
        <v>41183</v>
      </c>
      <c r="W138" s="5" t="n">
        <f aca="false">V138-C$3</f>
        <v>3952</v>
      </c>
      <c r="X138" s="124" t="n">
        <f aca="false">VLOOKUP($A138,Table,MATCH(X$4,Curves,0))</f>
        <v>2</v>
      </c>
      <c r="Y138" s="129" t="n">
        <f aca="false">1/(1+CHOOSE(F$3,(X139+($K$3/10000))/2,(X138+($K$3/10000))/2))^(2*W138/365.25)</f>
        <v>3.05998385858038E-007</v>
      </c>
      <c r="Z138" s="5" t="n">
        <f aca="false">IF(AND(mthbeg&lt;=A138,mthend&gt;=A138),1,0)</f>
        <v>0</v>
      </c>
      <c r="AA138" s="5" t="n">
        <f aca="false">U138*Z138</f>
        <v>0</v>
      </c>
      <c r="AC138" s="115" t="n">
        <f aca="false">IF(G131=2,F138*(S138-Q138),F138*(Q138-S138))</f>
        <v>0</v>
      </c>
      <c r="AE138" s="116" t="n">
        <f aca="false">IF($G$3=1,F138*(R138-Q138),F138*(Q138-R138))</f>
        <v>0</v>
      </c>
      <c r="AG138" s="116" t="n">
        <f aca="false">AC138+AE138</f>
        <v>0</v>
      </c>
    </row>
    <row r="139" customFormat="false" ht="12.75" hidden="false" customHeight="false" outlineLevel="0" collapsed="false">
      <c r="A139" s="120" t="n">
        <f aca="false">EDATE(A138,1)</f>
        <v>41214</v>
      </c>
      <c r="B139" s="121" t="e">
        <f aca="false">VLOOKUP(A139,'Inputs-Summary'!$A$32:$E$41,4,FALSE())</f>
        <v>#N/A</v>
      </c>
      <c r="C139" s="122"/>
      <c r="D139" s="123" t="e">
        <f aca="false">B139+C139</f>
        <v>#N/A</v>
      </c>
      <c r="E139" s="111" t="n">
        <f aca="false">IF(Z139=0,0,IF(AND(Z139=1,$H$3=1),D139*U139,IF($H$3=2,D139,"N/A")))</f>
        <v>0</v>
      </c>
      <c r="F139" s="111" t="n">
        <f aca="false">E139*Y139</f>
        <v>0</v>
      </c>
      <c r="G139" s="124" t="n">
        <f aca="false">VLOOKUP($A139,Table,MATCH(G$4,Curves,0))</f>
        <v>3</v>
      </c>
      <c r="H139" s="125" t="n">
        <f aca="false">G139+$H$7</f>
        <v>3</v>
      </c>
      <c r="I139" s="124" t="n">
        <f aca="false">H139</f>
        <v>3</v>
      </c>
      <c r="J139" s="124" t="n">
        <f aca="false">VLOOKUP($A139,Table,MATCH(J$4,Curves,0))</f>
        <v>4</v>
      </c>
      <c r="K139" s="125" t="n">
        <f aca="false">J139+$K$7</f>
        <v>4</v>
      </c>
      <c r="L139" s="126" t="n">
        <f aca="false">K139</f>
        <v>4</v>
      </c>
      <c r="M139" s="124" t="n">
        <f aca="false">VLOOKUP($A139,Table,MATCH(M$4,Curves,0))</f>
        <v>4</v>
      </c>
      <c r="N139" s="125" t="n">
        <f aca="false">M139+$N$7</f>
        <v>4</v>
      </c>
      <c r="O139" s="126" t="n">
        <v>0.25</v>
      </c>
      <c r="P139" s="114"/>
      <c r="Q139" s="126" t="n">
        <f aca="false">M139+J139+G139</f>
        <v>11</v>
      </c>
      <c r="R139" s="126" t="n">
        <f aca="false">N139+K139+H139</f>
        <v>11</v>
      </c>
      <c r="S139" s="126" t="n">
        <f aca="false">O139+L139+I139</f>
        <v>7.25</v>
      </c>
      <c r="T139" s="127"/>
      <c r="U139" s="5" t="n">
        <f aca="false">A140-A139</f>
        <v>30</v>
      </c>
      <c r="V139" s="128" t="n">
        <f aca="false">CHOOSE(F$3,A140+24,A139)</f>
        <v>41214</v>
      </c>
      <c r="W139" s="5" t="n">
        <f aca="false">V139-C$3</f>
        <v>3983</v>
      </c>
      <c r="X139" s="124" t="n">
        <f aca="false">VLOOKUP($A139,Table,MATCH(X$4,Curves,0))</f>
        <v>2</v>
      </c>
      <c r="Y139" s="129" t="n">
        <f aca="false">1/(1+CHOOSE(F$3,(X140+($K$3/10000))/2,(X139+($K$3/10000))/2))^(2*W139/365.25)</f>
        <v>2.72032174151768E-007</v>
      </c>
      <c r="Z139" s="5" t="n">
        <f aca="false">IF(AND(mthbeg&lt;=A139,mthend&gt;=A139),1,0)</f>
        <v>0</v>
      </c>
      <c r="AA139" s="5" t="n">
        <f aca="false">U139*Z139</f>
        <v>0</v>
      </c>
      <c r="AC139" s="115" t="n">
        <f aca="false">IF(G132=2,F139*(S139-Q139),F139*(Q139-S139))</f>
        <v>0</v>
      </c>
      <c r="AE139" s="116" t="n">
        <f aca="false">IF($G$3=1,F139*(R139-Q139),F139*(Q139-R139))</f>
        <v>0</v>
      </c>
      <c r="AG139" s="116" t="n">
        <f aca="false">AC139+AE139</f>
        <v>0</v>
      </c>
    </row>
    <row r="140" customFormat="false" ht="12.75" hidden="false" customHeight="false" outlineLevel="0" collapsed="false">
      <c r="A140" s="120" t="n">
        <f aca="false">EDATE(A139,1)</f>
        <v>41244</v>
      </c>
      <c r="B140" s="121" t="e">
        <f aca="false">VLOOKUP(A140,'Inputs-Summary'!$A$32:$E$41,4,FALSE())</f>
        <v>#N/A</v>
      </c>
      <c r="C140" s="122"/>
      <c r="D140" s="123" t="e">
        <f aca="false">B140+C140</f>
        <v>#N/A</v>
      </c>
      <c r="E140" s="111" t="n">
        <f aca="false">IF(Z140=0,0,IF(AND(Z140=1,$H$3=1),D140*U140,IF($H$3=2,D140,"N/A")))</f>
        <v>0</v>
      </c>
      <c r="F140" s="111" t="n">
        <f aca="false">E140*Y140</f>
        <v>0</v>
      </c>
      <c r="G140" s="124" t="n">
        <f aca="false">VLOOKUP($A140,Table,MATCH(G$4,Curves,0))</f>
        <v>3</v>
      </c>
      <c r="H140" s="125" t="n">
        <f aca="false">G140+$H$7</f>
        <v>3</v>
      </c>
      <c r="I140" s="124" t="n">
        <f aca="false">H140</f>
        <v>3</v>
      </c>
      <c r="J140" s="124" t="n">
        <f aca="false">VLOOKUP($A140,Table,MATCH(J$4,Curves,0))</f>
        <v>4</v>
      </c>
      <c r="K140" s="125" t="n">
        <f aca="false">J140+$K$7</f>
        <v>4</v>
      </c>
      <c r="L140" s="126" t="n">
        <f aca="false">K140</f>
        <v>4</v>
      </c>
      <c r="M140" s="124" t="n">
        <f aca="false">VLOOKUP($A140,Table,MATCH(M$4,Curves,0))</f>
        <v>4</v>
      </c>
      <c r="N140" s="125" t="n">
        <f aca="false">M140+$N$7</f>
        <v>4</v>
      </c>
      <c r="O140" s="126" t="n">
        <v>0.25</v>
      </c>
      <c r="P140" s="114"/>
      <c r="Q140" s="126" t="n">
        <f aca="false">M140+J140+G140</f>
        <v>11</v>
      </c>
      <c r="R140" s="126" t="n">
        <f aca="false">N140+K140+H140</f>
        <v>11</v>
      </c>
      <c r="S140" s="126" t="n">
        <f aca="false">O140+L140+I140</f>
        <v>7.25</v>
      </c>
      <c r="T140" s="127"/>
      <c r="U140" s="5" t="n">
        <f aca="false">A141-A140</f>
        <v>31</v>
      </c>
      <c r="V140" s="128" t="n">
        <f aca="false">CHOOSE(F$3,A141+24,A140)</f>
        <v>41244</v>
      </c>
      <c r="W140" s="5" t="n">
        <f aca="false">V140-C$3</f>
        <v>4013</v>
      </c>
      <c r="X140" s="124" t="n">
        <f aca="false">VLOOKUP($A140,Table,MATCH(X$4,Curves,0))</f>
        <v>2</v>
      </c>
      <c r="Y140" s="129" t="n">
        <f aca="false">1/(1+CHOOSE(F$3,(X141+($K$3/10000))/2,(X140+($K$3/10000))/2))^(2*W140/365.25)</f>
        <v>2.42755880985699E-007</v>
      </c>
      <c r="Z140" s="5" t="n">
        <f aca="false">IF(AND(mthbeg&lt;=A140,mthend&gt;=A140),1,0)</f>
        <v>0</v>
      </c>
      <c r="AA140" s="5" t="n">
        <f aca="false">U140*Z140</f>
        <v>0</v>
      </c>
      <c r="AC140" s="115" t="n">
        <f aca="false">IF(G133=2,F140*(S140-Q140),F140*(Q140-S140))</f>
        <v>0</v>
      </c>
      <c r="AE140" s="116" t="n">
        <f aca="false">IF($G$3=1,F140*(R140-Q140),F140*(Q140-R140))</f>
        <v>0</v>
      </c>
      <c r="AG140" s="116" t="n">
        <f aca="false">AC140+AE140</f>
        <v>0</v>
      </c>
    </row>
    <row r="141" customFormat="false" ht="12.75" hidden="false" customHeight="false" outlineLevel="0" collapsed="false">
      <c r="A141" s="120" t="n">
        <f aca="false">EDATE(A140,1)</f>
        <v>41275</v>
      </c>
      <c r="B141" s="121" t="e">
        <f aca="false">VLOOKUP(A141,'Inputs-Summary'!$A$32:$E$41,4,FALSE())</f>
        <v>#N/A</v>
      </c>
      <c r="C141" s="122"/>
      <c r="D141" s="123" t="e">
        <f aca="false">B141+C141</f>
        <v>#N/A</v>
      </c>
      <c r="E141" s="111" t="n">
        <f aca="false">IF(Z141=0,0,IF(AND(Z141=1,$H$3=1),D141*U141,IF($H$3=2,D141,"N/A")))</f>
        <v>0</v>
      </c>
      <c r="F141" s="111" t="n">
        <f aca="false">E141*Y141</f>
        <v>0</v>
      </c>
      <c r="G141" s="124" t="n">
        <f aca="false">VLOOKUP($A141,Table,MATCH(G$4,Curves,0))</f>
        <v>3</v>
      </c>
      <c r="H141" s="125" t="n">
        <f aca="false">G141+$H$7</f>
        <v>3</v>
      </c>
      <c r="I141" s="124" t="n">
        <f aca="false">H141</f>
        <v>3</v>
      </c>
      <c r="J141" s="124" t="n">
        <f aca="false">VLOOKUP($A141,Table,MATCH(J$4,Curves,0))</f>
        <v>4</v>
      </c>
      <c r="K141" s="125" t="n">
        <f aca="false">J141+$K$7</f>
        <v>4</v>
      </c>
      <c r="L141" s="126" t="n">
        <f aca="false">K141</f>
        <v>4</v>
      </c>
      <c r="M141" s="124" t="n">
        <f aca="false">VLOOKUP($A141,Table,MATCH(M$4,Curves,0))</f>
        <v>4</v>
      </c>
      <c r="N141" s="125" t="n">
        <f aca="false">M141+$N$7</f>
        <v>4</v>
      </c>
      <c r="O141" s="126" t="n">
        <v>0.25</v>
      </c>
      <c r="P141" s="114"/>
      <c r="Q141" s="126" t="n">
        <f aca="false">M141+J141+G141</f>
        <v>11</v>
      </c>
      <c r="R141" s="126" t="n">
        <f aca="false">N141+K141+H141</f>
        <v>11</v>
      </c>
      <c r="S141" s="126" t="n">
        <f aca="false">O141+L141+I141</f>
        <v>7.25</v>
      </c>
      <c r="T141" s="127"/>
      <c r="U141" s="5" t="n">
        <f aca="false">A142-A141</f>
        <v>31</v>
      </c>
      <c r="V141" s="128" t="n">
        <f aca="false">CHOOSE(F$3,A142+24,A141)</f>
        <v>41275</v>
      </c>
      <c r="W141" s="5" t="n">
        <f aca="false">V141-C$3</f>
        <v>4044</v>
      </c>
      <c r="X141" s="124" t="n">
        <f aca="false">VLOOKUP($A141,Table,MATCH(X$4,Curves,0))</f>
        <v>2</v>
      </c>
      <c r="Y141" s="129" t="n">
        <f aca="false">1/(1+CHOOSE(F$3,(X142+($K$3/10000))/2,(X141+($K$3/10000))/2))^(2*W141/365.25)</f>
        <v>2.15809668104931E-007</v>
      </c>
      <c r="Z141" s="5" t="n">
        <f aca="false">IF(AND(mthbeg&lt;=A141,mthend&gt;=A141),1,0)</f>
        <v>0</v>
      </c>
      <c r="AA141" s="5" t="n">
        <f aca="false">U141*Z141</f>
        <v>0</v>
      </c>
      <c r="AC141" s="115" t="n">
        <f aca="false">IF(G134=2,F141*(S141-Q141),F141*(Q141-S141))</f>
        <v>0</v>
      </c>
      <c r="AE141" s="116" t="n">
        <f aca="false">IF($G$3=1,F141*(R141-Q141),F141*(Q141-R141))</f>
        <v>0</v>
      </c>
      <c r="AG141" s="116" t="n">
        <f aca="false">AC141+AE141</f>
        <v>0</v>
      </c>
    </row>
    <row r="142" customFormat="false" ht="12.75" hidden="false" customHeight="false" outlineLevel="0" collapsed="false">
      <c r="A142" s="120" t="n">
        <f aca="false">EDATE(A141,1)</f>
        <v>41306</v>
      </c>
      <c r="B142" s="121" t="e">
        <f aca="false">VLOOKUP(A142,'Inputs-Summary'!$A$32:$E$41,4,FALSE())</f>
        <v>#N/A</v>
      </c>
      <c r="C142" s="122"/>
      <c r="D142" s="123" t="e">
        <f aca="false">B142+C142</f>
        <v>#N/A</v>
      </c>
      <c r="E142" s="111" t="n">
        <f aca="false">IF(Z142=0,0,IF(AND(Z142=1,$H$3=1),D142*U142,IF($H$3=2,D142,"N/A")))</f>
        <v>0</v>
      </c>
      <c r="F142" s="111" t="n">
        <f aca="false">E142*Y142</f>
        <v>0</v>
      </c>
      <c r="G142" s="124" t="n">
        <f aca="false">VLOOKUP($A142,Table,MATCH(G$4,Curves,0))</f>
        <v>3</v>
      </c>
      <c r="H142" s="125" t="n">
        <f aca="false">G142+$H$7</f>
        <v>3</v>
      </c>
      <c r="I142" s="124" t="n">
        <f aca="false">H142</f>
        <v>3</v>
      </c>
      <c r="J142" s="124" t="n">
        <f aca="false">VLOOKUP($A142,Table,MATCH(J$4,Curves,0))</f>
        <v>4</v>
      </c>
      <c r="K142" s="125" t="n">
        <f aca="false">J142+$K$7</f>
        <v>4</v>
      </c>
      <c r="L142" s="126" t="n">
        <f aca="false">K142</f>
        <v>4</v>
      </c>
      <c r="M142" s="124" t="n">
        <f aca="false">VLOOKUP($A142,Table,MATCH(M$4,Curves,0))</f>
        <v>4</v>
      </c>
      <c r="N142" s="125" t="n">
        <f aca="false">M142+$N$7</f>
        <v>4</v>
      </c>
      <c r="O142" s="126" t="n">
        <v>0.25</v>
      </c>
      <c r="P142" s="114"/>
      <c r="Q142" s="126" t="n">
        <f aca="false">M142+J142+G142</f>
        <v>11</v>
      </c>
      <c r="R142" s="126" t="n">
        <f aca="false">N142+K142+H142</f>
        <v>11</v>
      </c>
      <c r="S142" s="126" t="n">
        <f aca="false">O142+L142+I142</f>
        <v>7.25</v>
      </c>
      <c r="T142" s="127"/>
      <c r="U142" s="5" t="n">
        <f aca="false">A143-A142</f>
        <v>28</v>
      </c>
      <c r="V142" s="128" t="n">
        <f aca="false">CHOOSE(F$3,A143+24,A142)</f>
        <v>41306</v>
      </c>
      <c r="W142" s="5" t="n">
        <f aca="false">V142-C$3</f>
        <v>4075</v>
      </c>
      <c r="X142" s="124" t="n">
        <f aca="false">VLOOKUP($A142,Table,MATCH(X$4,Curves,0))</f>
        <v>2</v>
      </c>
      <c r="Y142" s="129" t="n">
        <f aca="false">1/(1+CHOOSE(F$3,(X143+($K$3/10000))/2,(X142+($K$3/10000))/2))^(2*W142/365.25)</f>
        <v>1.91854519274464E-007</v>
      </c>
      <c r="Z142" s="5" t="n">
        <f aca="false">IF(AND(mthbeg&lt;=A142,mthend&gt;=A142),1,0)</f>
        <v>0</v>
      </c>
      <c r="AA142" s="5" t="n">
        <f aca="false">U142*Z142</f>
        <v>0</v>
      </c>
      <c r="AC142" s="115" t="n">
        <f aca="false">IF(G135=2,F142*(S142-Q142),F142*(Q142-S142))</f>
        <v>0</v>
      </c>
      <c r="AE142" s="116" t="n">
        <f aca="false">IF($G$3=1,F142*(R142-Q142),F142*(Q142-R142))</f>
        <v>0</v>
      </c>
      <c r="AG142" s="116" t="n">
        <f aca="false">AC142+AE142</f>
        <v>0</v>
      </c>
    </row>
    <row r="143" customFormat="false" ht="12.75" hidden="false" customHeight="false" outlineLevel="0" collapsed="false">
      <c r="A143" s="120" t="n">
        <f aca="false">EDATE(A142,1)</f>
        <v>41334</v>
      </c>
      <c r="B143" s="121" t="e">
        <f aca="false">VLOOKUP(A143,'Inputs-Summary'!$A$32:$E$41,4,FALSE())</f>
        <v>#N/A</v>
      </c>
      <c r="C143" s="122"/>
      <c r="D143" s="123" t="e">
        <f aca="false">B143+C143</f>
        <v>#N/A</v>
      </c>
      <c r="E143" s="111" t="n">
        <f aca="false">IF(Z143=0,0,IF(AND(Z143=1,$H$3=1),D143*U143,IF($H$3=2,D143,"N/A")))</f>
        <v>0</v>
      </c>
      <c r="F143" s="111" t="n">
        <f aca="false">E143*Y143</f>
        <v>0</v>
      </c>
      <c r="G143" s="124" t="n">
        <f aca="false">VLOOKUP($A143,Table,MATCH(G$4,Curves,0))</f>
        <v>3</v>
      </c>
      <c r="H143" s="125" t="n">
        <f aca="false">G143+$H$7</f>
        <v>3</v>
      </c>
      <c r="I143" s="124" t="n">
        <f aca="false">H143</f>
        <v>3</v>
      </c>
      <c r="J143" s="124" t="n">
        <f aca="false">VLOOKUP($A143,Table,MATCH(J$4,Curves,0))</f>
        <v>4</v>
      </c>
      <c r="K143" s="125" t="n">
        <f aca="false">J143+$K$7</f>
        <v>4</v>
      </c>
      <c r="L143" s="126" t="n">
        <f aca="false">K143</f>
        <v>4</v>
      </c>
      <c r="M143" s="124" t="n">
        <f aca="false">VLOOKUP($A143,Table,MATCH(M$4,Curves,0))</f>
        <v>4</v>
      </c>
      <c r="N143" s="125" t="n">
        <f aca="false">M143+$N$7</f>
        <v>4</v>
      </c>
      <c r="O143" s="126" t="n">
        <v>0.25</v>
      </c>
      <c r="P143" s="114"/>
      <c r="Q143" s="126" t="n">
        <f aca="false">M143+J143+G143</f>
        <v>11</v>
      </c>
      <c r="R143" s="126" t="n">
        <f aca="false">N143+K143+H143</f>
        <v>11</v>
      </c>
      <c r="S143" s="126" t="n">
        <f aca="false">O143+L143+I143</f>
        <v>7.25</v>
      </c>
      <c r="T143" s="127"/>
      <c r="U143" s="5" t="n">
        <f aca="false">A144-A143</f>
        <v>31</v>
      </c>
      <c r="V143" s="128" t="n">
        <f aca="false">CHOOSE(F$3,A144+24,A143)</f>
        <v>41334</v>
      </c>
      <c r="W143" s="5" t="n">
        <f aca="false">V143-C$3</f>
        <v>4103</v>
      </c>
      <c r="X143" s="124" t="n">
        <f aca="false">VLOOKUP($A143,Table,MATCH(X$4,Curves,0))</f>
        <v>2</v>
      </c>
      <c r="Y143" s="129" t="n">
        <f aca="false">1/(1+CHOOSE(F$3,(X144+($K$3/10000))/2,(X143+($K$3/10000))/2))^(2*W143/365.25)</f>
        <v>1.72511567757813E-007</v>
      </c>
      <c r="Z143" s="5" t="n">
        <f aca="false">IF(AND(mthbeg&lt;=A143,mthend&gt;=A143),1,0)</f>
        <v>0</v>
      </c>
      <c r="AA143" s="5" t="n">
        <f aca="false">U143*Z143</f>
        <v>0</v>
      </c>
      <c r="AC143" s="115" t="n">
        <f aca="false">IF(G136=2,F143*(S143-Q143),F143*(Q143-S143))</f>
        <v>0</v>
      </c>
      <c r="AE143" s="116" t="n">
        <f aca="false">IF($G$3=1,F143*(R143-Q143),F143*(Q143-R143))</f>
        <v>0</v>
      </c>
      <c r="AG143" s="116" t="n">
        <f aca="false">AC143+AE143</f>
        <v>0</v>
      </c>
    </row>
    <row r="144" customFormat="false" ht="12.75" hidden="false" customHeight="false" outlineLevel="0" collapsed="false">
      <c r="A144" s="120" t="n">
        <f aca="false">EDATE(A143,1)</f>
        <v>41365</v>
      </c>
      <c r="B144" s="121" t="e">
        <f aca="false">VLOOKUP(A144,'Inputs-Summary'!$A$32:$E$41,4,FALSE())</f>
        <v>#N/A</v>
      </c>
      <c r="C144" s="122"/>
      <c r="D144" s="123" t="e">
        <f aca="false">B144+C144</f>
        <v>#N/A</v>
      </c>
      <c r="E144" s="111" t="n">
        <f aca="false">IF(Z144=0,0,IF(AND(Z144=1,$H$3=1),D144*U144,IF($H$3=2,D144,"N/A")))</f>
        <v>0</v>
      </c>
      <c r="F144" s="111" t="n">
        <f aca="false">E144*Y144</f>
        <v>0</v>
      </c>
      <c r="G144" s="124" t="n">
        <f aca="false">VLOOKUP($A144,Table,MATCH(G$4,Curves,0))</f>
        <v>3</v>
      </c>
      <c r="H144" s="125" t="n">
        <f aca="false">G144+$H$7</f>
        <v>3</v>
      </c>
      <c r="I144" s="124" t="n">
        <f aca="false">H144</f>
        <v>3</v>
      </c>
      <c r="J144" s="124" t="n">
        <f aca="false">VLOOKUP($A144,Table,MATCH(J$4,Curves,0))</f>
        <v>4</v>
      </c>
      <c r="K144" s="125" t="n">
        <f aca="false">J144+$K$7</f>
        <v>4</v>
      </c>
      <c r="L144" s="126" t="n">
        <f aca="false">K144</f>
        <v>4</v>
      </c>
      <c r="M144" s="124" t="n">
        <f aca="false">VLOOKUP($A144,Table,MATCH(M$4,Curves,0))</f>
        <v>4</v>
      </c>
      <c r="N144" s="125" t="n">
        <f aca="false">M144+$N$7</f>
        <v>4</v>
      </c>
      <c r="O144" s="126" t="n">
        <v>0.25</v>
      </c>
      <c r="P144" s="114"/>
      <c r="Q144" s="126" t="n">
        <f aca="false">M144+J144+G144</f>
        <v>11</v>
      </c>
      <c r="R144" s="126" t="n">
        <f aca="false">N144+K144+H144</f>
        <v>11</v>
      </c>
      <c r="S144" s="126" t="n">
        <f aca="false">O144+L144+I144</f>
        <v>7.25</v>
      </c>
      <c r="T144" s="127"/>
      <c r="U144" s="5" t="n">
        <f aca="false">A145-A144</f>
        <v>30</v>
      </c>
      <c r="V144" s="128" t="n">
        <f aca="false">CHOOSE(F$3,A145+24,A144)</f>
        <v>41365</v>
      </c>
      <c r="W144" s="5" t="n">
        <f aca="false">V144-C$3</f>
        <v>4134</v>
      </c>
      <c r="X144" s="124" t="n">
        <f aca="false">VLOOKUP($A144,Table,MATCH(X$4,Curves,0))</f>
        <v>2</v>
      </c>
      <c r="Y144" s="129" t="n">
        <f aca="false">1/(1+CHOOSE(F$3,(X145+($K$3/10000))/2,(X144+($K$3/10000))/2))^(2*W144/365.25)</f>
        <v>1.53362563373977E-007</v>
      </c>
      <c r="Z144" s="5" t="n">
        <f aca="false">IF(AND(mthbeg&lt;=A144,mthend&gt;=A144),1,0)</f>
        <v>0</v>
      </c>
      <c r="AA144" s="5" t="n">
        <f aca="false">U144*Z144</f>
        <v>0</v>
      </c>
      <c r="AC144" s="115" t="n">
        <f aca="false">IF(G137=2,F144*(S144-Q144),F144*(Q144-S144))</f>
        <v>0</v>
      </c>
      <c r="AE144" s="116" t="n">
        <f aca="false">IF($G$3=1,F144*(R144-Q144),F144*(Q144-R144))</f>
        <v>0</v>
      </c>
      <c r="AG144" s="116" t="n">
        <f aca="false">AC144+AE144</f>
        <v>0</v>
      </c>
    </row>
    <row r="145" customFormat="false" ht="12.75" hidden="false" customHeight="false" outlineLevel="0" collapsed="false">
      <c r="A145" s="120" t="n">
        <f aca="false">EDATE(A144,1)</f>
        <v>41395</v>
      </c>
      <c r="B145" s="121" t="e">
        <f aca="false">VLOOKUP(A145,'Inputs-Summary'!$A$32:$E$41,4,FALSE())</f>
        <v>#N/A</v>
      </c>
      <c r="C145" s="122"/>
      <c r="D145" s="123" t="e">
        <f aca="false">B145+C145</f>
        <v>#N/A</v>
      </c>
      <c r="E145" s="111" t="n">
        <f aca="false">IF(Z145=0,0,IF(AND(Z145=1,$H$3=1),D145*U145,IF($H$3=2,D145,"N/A")))</f>
        <v>0</v>
      </c>
      <c r="F145" s="111" t="n">
        <f aca="false">E145*Y145</f>
        <v>0</v>
      </c>
      <c r="G145" s="124" t="n">
        <f aca="false">VLOOKUP($A145,Table,MATCH(G$4,Curves,0))</f>
        <v>3</v>
      </c>
      <c r="H145" s="125" t="n">
        <f aca="false">G145+$H$7</f>
        <v>3</v>
      </c>
      <c r="I145" s="124" t="n">
        <f aca="false">H145</f>
        <v>3</v>
      </c>
      <c r="J145" s="124" t="n">
        <f aca="false">VLOOKUP($A145,Table,MATCH(J$4,Curves,0))</f>
        <v>4</v>
      </c>
      <c r="K145" s="125" t="n">
        <f aca="false">J145+$K$7</f>
        <v>4</v>
      </c>
      <c r="L145" s="126" t="n">
        <f aca="false">K145</f>
        <v>4</v>
      </c>
      <c r="M145" s="124" t="n">
        <f aca="false">VLOOKUP($A145,Table,MATCH(M$4,Curves,0))</f>
        <v>4</v>
      </c>
      <c r="N145" s="125" t="n">
        <f aca="false">M145+$N$7</f>
        <v>4</v>
      </c>
      <c r="O145" s="126" t="n">
        <v>0.25</v>
      </c>
      <c r="P145" s="114"/>
      <c r="Q145" s="126" t="n">
        <f aca="false">M145+J145+G145</f>
        <v>11</v>
      </c>
      <c r="R145" s="126" t="n">
        <f aca="false">N145+K145+H145</f>
        <v>11</v>
      </c>
      <c r="S145" s="126" t="n">
        <f aca="false">O145+L145+I145</f>
        <v>7.25</v>
      </c>
      <c r="T145" s="127"/>
      <c r="U145" s="5" t="n">
        <f aca="false">A146-A145</f>
        <v>31</v>
      </c>
      <c r="V145" s="128" t="n">
        <f aca="false">CHOOSE(F$3,A146+24,A145)</f>
        <v>41395</v>
      </c>
      <c r="W145" s="5" t="n">
        <f aca="false">V145-C$3</f>
        <v>4164</v>
      </c>
      <c r="X145" s="124" t="n">
        <f aca="false">VLOOKUP($A145,Table,MATCH(X$4,Curves,0))</f>
        <v>2</v>
      </c>
      <c r="Y145" s="129" t="n">
        <f aca="false">1/(1+CHOOSE(F$3,(X146+($K$3/10000))/2,(X145+($K$3/10000))/2))^(2*W145/365.25)</f>
        <v>1.36857576858921E-007</v>
      </c>
      <c r="Z145" s="5" t="n">
        <f aca="false">IF(AND(mthbeg&lt;=A145,mthend&gt;=A145),1,0)</f>
        <v>0</v>
      </c>
      <c r="AA145" s="5" t="n">
        <f aca="false">U145*Z145</f>
        <v>0</v>
      </c>
      <c r="AC145" s="115" t="n">
        <f aca="false">IF(G138=2,F145*(S145-Q145),F145*(Q145-S145))</f>
        <v>0</v>
      </c>
      <c r="AE145" s="116" t="n">
        <f aca="false">IF($G$3=1,F145*(R145-Q145),F145*(Q145-R145))</f>
        <v>0</v>
      </c>
      <c r="AG145" s="116" t="n">
        <f aca="false">AC145+AE145</f>
        <v>0</v>
      </c>
    </row>
    <row r="146" customFormat="false" ht="12.75" hidden="false" customHeight="false" outlineLevel="0" collapsed="false">
      <c r="A146" s="120" t="n">
        <f aca="false">EDATE(A145,1)</f>
        <v>41426</v>
      </c>
      <c r="B146" s="121" t="e">
        <f aca="false">VLOOKUP(A146,'Inputs-Summary'!$A$32:$E$41,4,FALSE())</f>
        <v>#N/A</v>
      </c>
      <c r="C146" s="122"/>
      <c r="D146" s="123" t="e">
        <f aca="false">B146+C146</f>
        <v>#N/A</v>
      </c>
      <c r="E146" s="111" t="n">
        <f aca="false">IF(Z146=0,0,IF(AND(Z146=1,$H$3=1),D146*U146,IF($H$3=2,D146,"N/A")))</f>
        <v>0</v>
      </c>
      <c r="F146" s="111" t="n">
        <f aca="false">E146*Y146</f>
        <v>0</v>
      </c>
      <c r="G146" s="124" t="n">
        <f aca="false">VLOOKUP($A146,Table,MATCH(G$4,Curves,0))</f>
        <v>3</v>
      </c>
      <c r="H146" s="125" t="n">
        <f aca="false">G146+$H$7</f>
        <v>3</v>
      </c>
      <c r="I146" s="124" t="n">
        <f aca="false">H146</f>
        <v>3</v>
      </c>
      <c r="J146" s="124" t="n">
        <f aca="false">VLOOKUP($A146,Table,MATCH(J$4,Curves,0))</f>
        <v>4</v>
      </c>
      <c r="K146" s="125" t="n">
        <f aca="false">J146+$K$7</f>
        <v>4</v>
      </c>
      <c r="L146" s="126" t="n">
        <f aca="false">K146</f>
        <v>4</v>
      </c>
      <c r="M146" s="124" t="n">
        <f aca="false">VLOOKUP($A146,Table,MATCH(M$4,Curves,0))</f>
        <v>4</v>
      </c>
      <c r="N146" s="125" t="n">
        <f aca="false">M146+$N$7</f>
        <v>4</v>
      </c>
      <c r="O146" s="126" t="n">
        <v>0.25</v>
      </c>
      <c r="P146" s="114"/>
      <c r="Q146" s="126" t="n">
        <f aca="false">M146+J146+G146</f>
        <v>11</v>
      </c>
      <c r="R146" s="126" t="n">
        <f aca="false">N146+K146+H146</f>
        <v>11</v>
      </c>
      <c r="S146" s="126" t="n">
        <f aca="false">O146+L146+I146</f>
        <v>7.25</v>
      </c>
      <c r="T146" s="127"/>
      <c r="U146" s="5" t="n">
        <f aca="false">A147-A146</f>
        <v>30</v>
      </c>
      <c r="V146" s="128" t="n">
        <f aca="false">CHOOSE(F$3,A147+24,A146)</f>
        <v>41426</v>
      </c>
      <c r="W146" s="5" t="n">
        <f aca="false">V146-C$3</f>
        <v>4195</v>
      </c>
      <c r="X146" s="124" t="n">
        <f aca="false">VLOOKUP($A146,Table,MATCH(X$4,Curves,0))</f>
        <v>2</v>
      </c>
      <c r="Y146" s="129" t="n">
        <f aca="false">1/(1+CHOOSE(F$3,(X147+($K$3/10000))/2,(X146+($K$3/10000))/2))^(2*W146/365.25)</f>
        <v>1.21666211008534E-007</v>
      </c>
      <c r="Z146" s="5" t="n">
        <f aca="false">IF(AND(mthbeg&lt;=A146,mthend&gt;=A146),1,0)</f>
        <v>0</v>
      </c>
      <c r="AA146" s="5" t="n">
        <f aca="false">U146*Z146</f>
        <v>0</v>
      </c>
      <c r="AC146" s="115" t="n">
        <f aca="false">IF(G139=2,F146*(S146-Q146),F146*(Q146-S146))</f>
        <v>0</v>
      </c>
      <c r="AE146" s="116" t="n">
        <f aca="false">IF($G$3=1,F146*(R146-Q146),F146*(Q146-R146))</f>
        <v>0</v>
      </c>
      <c r="AG146" s="116" t="n">
        <f aca="false">AC146+AE146</f>
        <v>0</v>
      </c>
    </row>
    <row r="147" customFormat="false" ht="12.75" hidden="false" customHeight="false" outlineLevel="0" collapsed="false">
      <c r="A147" s="120" t="n">
        <f aca="false">EDATE(A146,1)</f>
        <v>41456</v>
      </c>
      <c r="B147" s="121" t="e">
        <f aca="false">VLOOKUP(A147,'Inputs-Summary'!$A$32:$E$41,4,FALSE())</f>
        <v>#N/A</v>
      </c>
      <c r="C147" s="122"/>
      <c r="D147" s="123" t="e">
        <f aca="false">B147+C147</f>
        <v>#N/A</v>
      </c>
      <c r="E147" s="111" t="n">
        <f aca="false">IF(Z147=0,0,IF(AND(Z147=1,$H$3=1),D147*U147,IF($H$3=2,D147,"N/A")))</f>
        <v>0</v>
      </c>
      <c r="F147" s="111" t="n">
        <f aca="false">E147*Y147</f>
        <v>0</v>
      </c>
      <c r="G147" s="124" t="n">
        <f aca="false">VLOOKUP($A147,Table,MATCH(G$4,Curves,0))</f>
        <v>3</v>
      </c>
      <c r="H147" s="125" t="n">
        <f aca="false">G147+$H$7</f>
        <v>3</v>
      </c>
      <c r="I147" s="124" t="n">
        <f aca="false">H147</f>
        <v>3</v>
      </c>
      <c r="J147" s="124" t="n">
        <f aca="false">VLOOKUP($A147,Table,MATCH(J$4,Curves,0))</f>
        <v>4</v>
      </c>
      <c r="K147" s="125" t="n">
        <f aca="false">J147+$K$7</f>
        <v>4</v>
      </c>
      <c r="L147" s="126" t="n">
        <f aca="false">K147</f>
        <v>4</v>
      </c>
      <c r="M147" s="124" t="n">
        <f aca="false">VLOOKUP($A147,Table,MATCH(M$4,Curves,0))</f>
        <v>4</v>
      </c>
      <c r="N147" s="125" t="n">
        <f aca="false">M147+$N$7</f>
        <v>4</v>
      </c>
      <c r="O147" s="126" t="n">
        <v>0.25</v>
      </c>
      <c r="P147" s="114"/>
      <c r="Q147" s="126" t="n">
        <f aca="false">M147+J147+G147</f>
        <v>11</v>
      </c>
      <c r="R147" s="126" t="n">
        <f aca="false">N147+K147+H147</f>
        <v>11</v>
      </c>
      <c r="S147" s="126" t="n">
        <f aca="false">O147+L147+I147</f>
        <v>7.25</v>
      </c>
      <c r="T147" s="127"/>
      <c r="U147" s="5" t="n">
        <f aca="false">A148-A147</f>
        <v>31</v>
      </c>
      <c r="V147" s="128" t="n">
        <f aca="false">CHOOSE(F$3,A148+24,A147)</f>
        <v>41456</v>
      </c>
      <c r="W147" s="5" t="n">
        <f aca="false">V147-C$3</f>
        <v>4225</v>
      </c>
      <c r="X147" s="124" t="n">
        <f aca="false">VLOOKUP($A147,Table,MATCH(X$4,Curves,0))</f>
        <v>2</v>
      </c>
      <c r="Y147" s="129" t="n">
        <f aca="false">1/(1+CHOOSE(F$3,(X148+($K$3/10000))/2,(X147+($K$3/10000))/2))^(2*W147/365.25)</f>
        <v>1.08572408141292E-007</v>
      </c>
      <c r="Z147" s="5" t="n">
        <f aca="false">IF(AND(mthbeg&lt;=A147,mthend&gt;=A147),1,0)</f>
        <v>0</v>
      </c>
      <c r="AA147" s="5" t="n">
        <f aca="false">U147*Z147</f>
        <v>0</v>
      </c>
      <c r="AC147" s="115" t="n">
        <f aca="false">IF(G140=2,F147*(S147-Q147),F147*(Q147-S147))</f>
        <v>0</v>
      </c>
      <c r="AE147" s="116" t="n">
        <f aca="false">IF($G$3=1,F147*(R147-Q147),F147*(Q147-R147))</f>
        <v>0</v>
      </c>
      <c r="AG147" s="116" t="n">
        <f aca="false">AC147+AE147</f>
        <v>0</v>
      </c>
    </row>
    <row r="148" customFormat="false" ht="12.75" hidden="false" customHeight="false" outlineLevel="0" collapsed="false">
      <c r="A148" s="120" t="n">
        <f aca="false">EDATE(A147,1)</f>
        <v>41487</v>
      </c>
      <c r="B148" s="121" t="e">
        <f aca="false">VLOOKUP(A148,'Inputs-Summary'!$A$32:$E$41,4,FALSE())</f>
        <v>#N/A</v>
      </c>
      <c r="C148" s="122"/>
      <c r="D148" s="123" t="e">
        <f aca="false">B148+C148</f>
        <v>#N/A</v>
      </c>
      <c r="E148" s="111" t="n">
        <f aca="false">IF(Z148=0,0,IF(AND(Z148=1,$H$3=1),D148*U148,IF($H$3=2,D148,"N/A")))</f>
        <v>0</v>
      </c>
      <c r="F148" s="111" t="n">
        <f aca="false">E148*Y148</f>
        <v>0</v>
      </c>
      <c r="G148" s="124" t="n">
        <f aca="false">VLOOKUP($A148,Table,MATCH(G$4,Curves,0))</f>
        <v>3</v>
      </c>
      <c r="H148" s="125" t="n">
        <f aca="false">G148+$H$7</f>
        <v>3</v>
      </c>
      <c r="I148" s="124" t="n">
        <f aca="false">H148</f>
        <v>3</v>
      </c>
      <c r="J148" s="124" t="n">
        <f aca="false">VLOOKUP($A148,Table,MATCH(J$4,Curves,0))</f>
        <v>4</v>
      </c>
      <c r="K148" s="125" t="n">
        <f aca="false">J148+$K$7</f>
        <v>4</v>
      </c>
      <c r="L148" s="126" t="n">
        <f aca="false">K148</f>
        <v>4</v>
      </c>
      <c r="M148" s="124" t="n">
        <f aca="false">VLOOKUP($A148,Table,MATCH(M$4,Curves,0))</f>
        <v>4</v>
      </c>
      <c r="N148" s="125" t="n">
        <f aca="false">M148+$N$7</f>
        <v>4</v>
      </c>
      <c r="O148" s="126" t="n">
        <v>0.25</v>
      </c>
      <c r="P148" s="114"/>
      <c r="Q148" s="126" t="n">
        <f aca="false">M148+J148+G148</f>
        <v>11</v>
      </c>
      <c r="R148" s="126" t="n">
        <f aca="false">N148+K148+H148</f>
        <v>11</v>
      </c>
      <c r="S148" s="126" t="n">
        <f aca="false">O148+L148+I148</f>
        <v>7.25</v>
      </c>
      <c r="T148" s="127"/>
      <c r="U148" s="5" t="n">
        <f aca="false">A149-A148</f>
        <v>31</v>
      </c>
      <c r="V148" s="128" t="n">
        <f aca="false">CHOOSE(F$3,A149+24,A148)</f>
        <v>41487</v>
      </c>
      <c r="W148" s="5" t="n">
        <f aca="false">V148-C$3</f>
        <v>4256</v>
      </c>
      <c r="X148" s="124" t="n">
        <f aca="false">VLOOKUP($A148,Table,MATCH(X$4,Curves,0))</f>
        <v>2</v>
      </c>
      <c r="Y148" s="129" t="n">
        <f aca="false">1/(1+CHOOSE(F$3,(X149+($K$3/10000))/2,(X148+($K$3/10000))/2))^(2*W148/365.25)</f>
        <v>9.65207321494535E-008</v>
      </c>
      <c r="Z148" s="5" t="n">
        <f aca="false">IF(AND(mthbeg&lt;=A148,mthend&gt;=A148),1,0)</f>
        <v>0</v>
      </c>
      <c r="AA148" s="5" t="n">
        <f aca="false">U148*Z148</f>
        <v>0</v>
      </c>
      <c r="AC148" s="115" t="n">
        <f aca="false">IF(G141=2,F148*(S148-Q148),F148*(Q148-S148))</f>
        <v>0</v>
      </c>
      <c r="AE148" s="116" t="n">
        <f aca="false">IF($G$3=1,F148*(R148-Q148),F148*(Q148-R148))</f>
        <v>0</v>
      </c>
      <c r="AG148" s="116" t="n">
        <f aca="false">AC148+AE148</f>
        <v>0</v>
      </c>
    </row>
    <row r="149" customFormat="false" ht="12.75" hidden="false" customHeight="false" outlineLevel="0" collapsed="false">
      <c r="A149" s="120" t="n">
        <f aca="false">EDATE(A148,1)</f>
        <v>41518</v>
      </c>
      <c r="B149" s="121" t="e">
        <f aca="false">VLOOKUP(A149,'Inputs-Summary'!$A$32:$E$41,4,FALSE())</f>
        <v>#N/A</v>
      </c>
      <c r="C149" s="122"/>
      <c r="D149" s="123" t="e">
        <f aca="false">B149+C149</f>
        <v>#N/A</v>
      </c>
      <c r="E149" s="111" t="n">
        <f aca="false">IF(Z149=0,0,IF(AND(Z149=1,$H$3=1),D149*U149,IF($H$3=2,D149,"N/A")))</f>
        <v>0</v>
      </c>
      <c r="F149" s="111" t="n">
        <f aca="false">E149*Y149</f>
        <v>0</v>
      </c>
      <c r="G149" s="124" t="n">
        <f aca="false">VLOOKUP($A149,Table,MATCH(G$4,Curves,0))</f>
        <v>3</v>
      </c>
      <c r="H149" s="125" t="n">
        <f aca="false">G149+$H$7</f>
        <v>3</v>
      </c>
      <c r="I149" s="124" t="n">
        <f aca="false">H149</f>
        <v>3</v>
      </c>
      <c r="J149" s="124" t="n">
        <f aca="false">VLOOKUP($A149,Table,MATCH(J$4,Curves,0))</f>
        <v>4</v>
      </c>
      <c r="K149" s="125" t="n">
        <f aca="false">J149+$K$7</f>
        <v>4</v>
      </c>
      <c r="L149" s="126" t="n">
        <f aca="false">K149</f>
        <v>4</v>
      </c>
      <c r="M149" s="124" t="n">
        <f aca="false">VLOOKUP($A149,Table,MATCH(M$4,Curves,0))</f>
        <v>4</v>
      </c>
      <c r="N149" s="125" t="n">
        <f aca="false">M149+$N$7</f>
        <v>4</v>
      </c>
      <c r="O149" s="126" t="n">
        <v>0.25</v>
      </c>
      <c r="P149" s="114"/>
      <c r="Q149" s="126" t="n">
        <f aca="false">M149+J149+G149</f>
        <v>11</v>
      </c>
      <c r="R149" s="126" t="n">
        <f aca="false">N149+K149+H149</f>
        <v>11</v>
      </c>
      <c r="S149" s="126" t="n">
        <f aca="false">O149+L149+I149</f>
        <v>7.25</v>
      </c>
      <c r="T149" s="127"/>
      <c r="U149" s="5" t="n">
        <f aca="false">A150-A149</f>
        <v>30</v>
      </c>
      <c r="V149" s="128" t="n">
        <f aca="false">CHOOSE(F$3,A150+24,A149)</f>
        <v>41518</v>
      </c>
      <c r="W149" s="5" t="n">
        <f aca="false">V149-C$3</f>
        <v>4287</v>
      </c>
      <c r="X149" s="124" t="n">
        <f aca="false">VLOOKUP($A149,Table,MATCH(X$4,Curves,0))</f>
        <v>2</v>
      </c>
      <c r="Y149" s="129" t="n">
        <f aca="false">1/(1+CHOOSE(F$3,(X150+($K$3/10000))/2,(X149+($K$3/10000))/2))^(2*W149/365.25)</f>
        <v>8.58068075872714E-008</v>
      </c>
      <c r="Z149" s="5" t="n">
        <f aca="false">IF(AND(mthbeg&lt;=A149,mthend&gt;=A149),1,0)</f>
        <v>0</v>
      </c>
      <c r="AA149" s="5" t="n">
        <f aca="false">U149*Z149</f>
        <v>0</v>
      </c>
      <c r="AC149" s="115" t="n">
        <f aca="false">IF(G142=2,F149*(S149-Q149),F149*(Q149-S149))</f>
        <v>0</v>
      </c>
      <c r="AE149" s="116" t="n">
        <f aca="false">IF($G$3=1,F149*(R149-Q149),F149*(Q149-R149))</f>
        <v>0</v>
      </c>
      <c r="AG149" s="116" t="n">
        <f aca="false">AC149+AE149</f>
        <v>0</v>
      </c>
    </row>
    <row r="150" customFormat="false" ht="12.75" hidden="false" customHeight="false" outlineLevel="0" collapsed="false">
      <c r="A150" s="120" t="n">
        <f aca="false">EDATE(A149,1)</f>
        <v>41548</v>
      </c>
      <c r="B150" s="121" t="e">
        <f aca="false">VLOOKUP(A150,'Inputs-Summary'!$A$32:$E$41,4,FALSE())</f>
        <v>#N/A</v>
      </c>
      <c r="C150" s="122"/>
      <c r="D150" s="123" t="e">
        <f aca="false">B150+C150</f>
        <v>#N/A</v>
      </c>
      <c r="E150" s="111" t="n">
        <f aca="false">IF(Z150=0,0,IF(AND(Z150=1,$H$3=1),D150*U150,IF($H$3=2,D150,"N/A")))</f>
        <v>0</v>
      </c>
      <c r="F150" s="111" t="n">
        <f aca="false">E150*Y150</f>
        <v>0</v>
      </c>
      <c r="G150" s="124" t="n">
        <f aca="false">VLOOKUP($A150,Table,MATCH(G$4,Curves,0))</f>
        <v>3</v>
      </c>
      <c r="H150" s="125" t="n">
        <f aca="false">G150+$H$7</f>
        <v>3</v>
      </c>
      <c r="I150" s="124" t="n">
        <f aca="false">H150</f>
        <v>3</v>
      </c>
      <c r="J150" s="124" t="n">
        <f aca="false">VLOOKUP($A150,Table,MATCH(J$4,Curves,0))</f>
        <v>4</v>
      </c>
      <c r="K150" s="125" t="n">
        <f aca="false">J150+$K$7</f>
        <v>4</v>
      </c>
      <c r="L150" s="126" t="n">
        <f aca="false">K150</f>
        <v>4</v>
      </c>
      <c r="M150" s="124" t="n">
        <f aca="false">VLOOKUP($A150,Table,MATCH(M$4,Curves,0))</f>
        <v>4</v>
      </c>
      <c r="N150" s="125" t="n">
        <f aca="false">M150+$N$7</f>
        <v>4</v>
      </c>
      <c r="O150" s="126" t="n">
        <v>0.25</v>
      </c>
      <c r="P150" s="114"/>
      <c r="Q150" s="126" t="n">
        <f aca="false">M150+J150+G150</f>
        <v>11</v>
      </c>
      <c r="R150" s="126" t="n">
        <f aca="false">N150+K150+H150</f>
        <v>11</v>
      </c>
      <c r="S150" s="126" t="n">
        <f aca="false">O150+L150+I150</f>
        <v>7.25</v>
      </c>
      <c r="T150" s="127"/>
      <c r="U150" s="5" t="n">
        <f aca="false">A151-A150</f>
        <v>31</v>
      </c>
      <c r="V150" s="128" t="n">
        <f aca="false">CHOOSE(F$3,A151+24,A150)</f>
        <v>41548</v>
      </c>
      <c r="W150" s="5" t="n">
        <f aca="false">V150-C$3</f>
        <v>4317</v>
      </c>
      <c r="X150" s="124" t="n">
        <f aca="false">VLOOKUP($A150,Table,MATCH(X$4,Curves,0))</f>
        <v>2</v>
      </c>
      <c r="Y150" s="129" t="n">
        <f aca="false">1/(1+CHOOSE(F$3,(X151+($K$3/10000))/2,(X150+($K$3/10000))/2))^(2*W150/365.25)</f>
        <v>7.65722188390748E-008</v>
      </c>
      <c r="Z150" s="5" t="n">
        <f aca="false">IF(AND(mthbeg&lt;=A150,mthend&gt;=A150),1,0)</f>
        <v>0</v>
      </c>
      <c r="AA150" s="5" t="n">
        <f aca="false">U150*Z150</f>
        <v>0</v>
      </c>
      <c r="AC150" s="115" t="n">
        <f aca="false">IF(G143=2,F150*(S150-Q150),F150*(Q150-S150))</f>
        <v>0</v>
      </c>
      <c r="AE150" s="116" t="n">
        <f aca="false">IF($G$3=1,F150*(R150-Q150),F150*(Q150-R150))</f>
        <v>0</v>
      </c>
      <c r="AG150" s="116" t="n">
        <f aca="false">AC150+AE150</f>
        <v>0</v>
      </c>
    </row>
    <row r="151" customFormat="false" ht="12.75" hidden="false" customHeight="false" outlineLevel="0" collapsed="false">
      <c r="A151" s="120" t="n">
        <f aca="false">EDATE(A150,1)</f>
        <v>41579</v>
      </c>
      <c r="B151" s="121" t="e">
        <f aca="false">VLOOKUP(A151,'Inputs-Summary'!$A$32:$E$41,4,FALSE())</f>
        <v>#N/A</v>
      </c>
      <c r="C151" s="122"/>
      <c r="D151" s="123" t="e">
        <f aca="false">B151+C151</f>
        <v>#N/A</v>
      </c>
      <c r="E151" s="111" t="n">
        <f aca="false">IF(Z151=0,0,IF(AND(Z151=1,$H$3=1),D151*U151,IF($H$3=2,D151,"N/A")))</f>
        <v>0</v>
      </c>
      <c r="F151" s="111" t="n">
        <f aca="false">E151*Y151</f>
        <v>0</v>
      </c>
      <c r="G151" s="124" t="n">
        <f aca="false">VLOOKUP($A151,Table,MATCH(G$4,Curves,0))</f>
        <v>3</v>
      </c>
      <c r="H151" s="125" t="n">
        <f aca="false">G151+$H$7</f>
        <v>3</v>
      </c>
      <c r="I151" s="124" t="n">
        <f aca="false">H151</f>
        <v>3</v>
      </c>
      <c r="J151" s="124" t="n">
        <f aca="false">VLOOKUP($A151,Table,MATCH(J$4,Curves,0))</f>
        <v>4</v>
      </c>
      <c r="K151" s="125" t="n">
        <f aca="false">J151+$K$7</f>
        <v>4</v>
      </c>
      <c r="L151" s="126" t="n">
        <f aca="false">K151</f>
        <v>4</v>
      </c>
      <c r="M151" s="124" t="n">
        <f aca="false">VLOOKUP($A151,Table,MATCH(M$4,Curves,0))</f>
        <v>4</v>
      </c>
      <c r="N151" s="125" t="n">
        <f aca="false">M151+$N$7</f>
        <v>4</v>
      </c>
      <c r="O151" s="126" t="n">
        <v>0.25</v>
      </c>
      <c r="P151" s="114"/>
      <c r="Q151" s="126" t="n">
        <f aca="false">M151+J151+G151</f>
        <v>11</v>
      </c>
      <c r="R151" s="126" t="n">
        <f aca="false">N151+K151+H151</f>
        <v>11</v>
      </c>
      <c r="S151" s="126" t="n">
        <f aca="false">O151+L151+I151</f>
        <v>7.25</v>
      </c>
      <c r="T151" s="127"/>
      <c r="U151" s="5" t="n">
        <f aca="false">A152-A151</f>
        <v>30</v>
      </c>
      <c r="V151" s="128" t="n">
        <f aca="false">CHOOSE(F$3,A152+24,A151)</f>
        <v>41579</v>
      </c>
      <c r="W151" s="5" t="n">
        <f aca="false">V151-C$3</f>
        <v>4348</v>
      </c>
      <c r="X151" s="124" t="n">
        <f aca="false">VLOOKUP($A151,Table,MATCH(X$4,Curves,0))</f>
        <v>2</v>
      </c>
      <c r="Y151" s="129" t="n">
        <f aca="false">1/(1+CHOOSE(F$3,(X152+($K$3/10000))/2,(X151+($K$3/10000))/2))^(2*W151/365.25)</f>
        <v>6.80726047361643E-008</v>
      </c>
      <c r="Z151" s="5" t="n">
        <f aca="false">IF(AND(mthbeg&lt;=A151,mthend&gt;=A151),1,0)</f>
        <v>0</v>
      </c>
      <c r="AA151" s="5" t="n">
        <f aca="false">U151*Z151</f>
        <v>0</v>
      </c>
      <c r="AC151" s="115" t="n">
        <f aca="false">IF(G144=2,F151*(S151-Q151),F151*(Q151-S151))</f>
        <v>0</v>
      </c>
      <c r="AE151" s="116" t="n">
        <f aca="false">IF($G$3=1,F151*(R151-Q151),F151*(Q151-R151))</f>
        <v>0</v>
      </c>
      <c r="AG151" s="116" t="n">
        <f aca="false">AC151+AE151</f>
        <v>0</v>
      </c>
    </row>
    <row r="152" customFormat="false" ht="12.75" hidden="false" customHeight="false" outlineLevel="0" collapsed="false">
      <c r="A152" s="120" t="n">
        <f aca="false">EDATE(A151,1)</f>
        <v>41609</v>
      </c>
      <c r="B152" s="121" t="e">
        <f aca="false">VLOOKUP(A152,'Inputs-Summary'!$A$32:$E$41,4,FALSE())</f>
        <v>#N/A</v>
      </c>
      <c r="C152" s="122"/>
      <c r="D152" s="123" t="e">
        <f aca="false">B152+C152</f>
        <v>#N/A</v>
      </c>
      <c r="E152" s="111" t="n">
        <f aca="false">IF(Z152=0,0,IF(AND(Z152=1,$H$3=1),D152*U152,IF($H$3=2,D152,"N/A")))</f>
        <v>0</v>
      </c>
      <c r="F152" s="111" t="n">
        <f aca="false">E152*Y152</f>
        <v>0</v>
      </c>
      <c r="G152" s="124" t="n">
        <f aca="false">VLOOKUP($A152,Table,MATCH(G$4,Curves,0))</f>
        <v>3</v>
      </c>
      <c r="H152" s="125" t="n">
        <f aca="false">G152+$H$7</f>
        <v>3</v>
      </c>
      <c r="I152" s="124" t="n">
        <f aca="false">H152</f>
        <v>3</v>
      </c>
      <c r="J152" s="124" t="n">
        <f aca="false">VLOOKUP($A152,Table,MATCH(J$4,Curves,0))</f>
        <v>4</v>
      </c>
      <c r="K152" s="125" t="n">
        <f aca="false">J152+$K$7</f>
        <v>4</v>
      </c>
      <c r="L152" s="126" t="n">
        <f aca="false">K152</f>
        <v>4</v>
      </c>
      <c r="M152" s="124" t="n">
        <f aca="false">VLOOKUP($A152,Table,MATCH(M$4,Curves,0))</f>
        <v>4</v>
      </c>
      <c r="N152" s="125" t="n">
        <f aca="false">M152+$N$7</f>
        <v>4</v>
      </c>
      <c r="O152" s="126" t="n">
        <v>0.25</v>
      </c>
      <c r="P152" s="114"/>
      <c r="Q152" s="126" t="n">
        <f aca="false">M152+J152+G152</f>
        <v>11</v>
      </c>
      <c r="R152" s="126" t="n">
        <f aca="false">N152+K152+H152</f>
        <v>11</v>
      </c>
      <c r="S152" s="126" t="n">
        <f aca="false">O152+L152+I152</f>
        <v>7.25</v>
      </c>
      <c r="T152" s="127"/>
      <c r="U152" s="5" t="n">
        <f aca="false">A153-A152</f>
        <v>31</v>
      </c>
      <c r="V152" s="128" t="n">
        <f aca="false">CHOOSE(F$3,A153+24,A152)</f>
        <v>41609</v>
      </c>
      <c r="W152" s="5" t="n">
        <f aca="false">V152-C$3</f>
        <v>4378</v>
      </c>
      <c r="X152" s="124" t="n">
        <f aca="false">VLOOKUP($A152,Table,MATCH(X$4,Curves,0))</f>
        <v>2</v>
      </c>
      <c r="Y152" s="129" t="n">
        <f aca="false">1/(1+CHOOSE(F$3,(X153+($K$3/10000))/2,(X152+($K$3/10000))/2))^(2*W152/365.25)</f>
        <v>6.07465833232635E-008</v>
      </c>
      <c r="Z152" s="5" t="n">
        <f aca="false">IF(AND(mthbeg&lt;=A152,mthend&gt;=A152),1,0)</f>
        <v>0</v>
      </c>
      <c r="AA152" s="5" t="n">
        <f aca="false">U152*Z152</f>
        <v>0</v>
      </c>
      <c r="AC152" s="115" t="n">
        <f aca="false">IF(G145=2,F152*(S152-Q152),F152*(Q152-S152))</f>
        <v>0</v>
      </c>
      <c r="AE152" s="116" t="n">
        <f aca="false">IF($G$3=1,F152*(R152-Q152),F152*(Q152-R152))</f>
        <v>0</v>
      </c>
      <c r="AG152" s="116" t="n">
        <f aca="false">AC152+AE152</f>
        <v>0</v>
      </c>
    </row>
    <row r="153" customFormat="false" ht="12.75" hidden="false" customHeight="false" outlineLevel="0" collapsed="false">
      <c r="A153" s="120" t="n">
        <f aca="false">EDATE(A152,1)</f>
        <v>41640</v>
      </c>
      <c r="B153" s="121" t="e">
        <f aca="false">VLOOKUP(A153,'Inputs-Summary'!$A$32:$E$41,4,FALSE())</f>
        <v>#N/A</v>
      </c>
      <c r="C153" s="122"/>
      <c r="D153" s="123" t="e">
        <f aca="false">B153+C153</f>
        <v>#N/A</v>
      </c>
      <c r="E153" s="111" t="n">
        <f aca="false">IF(Z153=0,0,IF(AND(Z153=1,$H$3=1),D153*U153,IF($H$3=2,D153,"N/A")))</f>
        <v>0</v>
      </c>
      <c r="F153" s="111" t="n">
        <f aca="false">E153*Y153</f>
        <v>0</v>
      </c>
      <c r="G153" s="124" t="n">
        <f aca="false">VLOOKUP($A153,Table,MATCH(G$4,Curves,0))</f>
        <v>3</v>
      </c>
      <c r="H153" s="125" t="n">
        <f aca="false">G153+$H$7</f>
        <v>3</v>
      </c>
      <c r="I153" s="124" t="n">
        <f aca="false">H153</f>
        <v>3</v>
      </c>
      <c r="J153" s="124" t="n">
        <f aca="false">VLOOKUP($A153,Table,MATCH(J$4,Curves,0))</f>
        <v>4</v>
      </c>
      <c r="K153" s="125" t="n">
        <f aca="false">J153+$K$7</f>
        <v>4</v>
      </c>
      <c r="L153" s="126" t="n">
        <f aca="false">K153</f>
        <v>4</v>
      </c>
      <c r="M153" s="124" t="n">
        <f aca="false">VLOOKUP($A153,Table,MATCH(M$4,Curves,0))</f>
        <v>4</v>
      </c>
      <c r="N153" s="125" t="n">
        <f aca="false">M153+$N$7</f>
        <v>4</v>
      </c>
      <c r="O153" s="126" t="n">
        <v>0.25</v>
      </c>
      <c r="P153" s="114"/>
      <c r="Q153" s="126" t="n">
        <f aca="false">M153+J153+G153</f>
        <v>11</v>
      </c>
      <c r="R153" s="126" t="n">
        <f aca="false">N153+K153+H153</f>
        <v>11</v>
      </c>
      <c r="S153" s="126" t="n">
        <f aca="false">O153+L153+I153</f>
        <v>7.25</v>
      </c>
      <c r="T153" s="127"/>
      <c r="U153" s="5" t="n">
        <f aca="false">A154-A153</f>
        <v>31</v>
      </c>
      <c r="V153" s="128" t="n">
        <f aca="false">CHOOSE(F$3,A154+24,A153)</f>
        <v>41640</v>
      </c>
      <c r="W153" s="5" t="n">
        <f aca="false">V153-C$3</f>
        <v>4409</v>
      </c>
      <c r="X153" s="124" t="n">
        <f aca="false">VLOOKUP($A153,Table,MATCH(X$4,Curves,0))</f>
        <v>2</v>
      </c>
      <c r="Y153" s="129" t="n">
        <f aca="false">1/(1+CHOOSE(F$3,(X154+($K$3/10000))/2,(X153+($K$3/10000))/2))^(2*W153/365.25)</f>
        <v>5.40036349779484E-008</v>
      </c>
      <c r="Z153" s="5" t="n">
        <f aca="false">IF(AND(mthbeg&lt;=A153,mthend&gt;=A153),1,0)</f>
        <v>0</v>
      </c>
      <c r="AA153" s="5" t="n">
        <f aca="false">U153*Z153</f>
        <v>0</v>
      </c>
      <c r="AC153" s="115" t="n">
        <f aca="false">IF(G146=2,F153*(S153-Q153),F153*(Q153-S153))</f>
        <v>0</v>
      </c>
      <c r="AE153" s="116" t="n">
        <f aca="false">IF($G$3=1,F153*(R153-Q153),F153*(Q153-R153))</f>
        <v>0</v>
      </c>
      <c r="AG153" s="116" t="n">
        <f aca="false">AC153+AE153</f>
        <v>0</v>
      </c>
    </row>
    <row r="154" customFormat="false" ht="12.75" hidden="false" customHeight="false" outlineLevel="0" collapsed="false">
      <c r="A154" s="120" t="n">
        <f aca="false">EDATE(A153,1)</f>
        <v>41671</v>
      </c>
      <c r="B154" s="121" t="e">
        <f aca="false">VLOOKUP(A154,'Inputs-Summary'!$A$32:$E$41,4,FALSE())</f>
        <v>#N/A</v>
      </c>
      <c r="C154" s="122"/>
      <c r="D154" s="123" t="e">
        <f aca="false">B154+C154</f>
        <v>#N/A</v>
      </c>
      <c r="E154" s="111" t="n">
        <f aca="false">IF(Z154=0,0,IF(AND(Z154=1,$H$3=1),D154*U154,IF($H$3=2,D154,"N/A")))</f>
        <v>0</v>
      </c>
      <c r="F154" s="111" t="n">
        <f aca="false">E154*Y154</f>
        <v>0</v>
      </c>
      <c r="G154" s="124" t="n">
        <f aca="false">VLOOKUP($A154,Table,MATCH(G$4,Curves,0))</f>
        <v>3</v>
      </c>
      <c r="H154" s="125" t="n">
        <f aca="false">G154+$H$7</f>
        <v>3</v>
      </c>
      <c r="I154" s="124" t="n">
        <f aca="false">H154</f>
        <v>3</v>
      </c>
      <c r="J154" s="124" t="n">
        <f aca="false">VLOOKUP($A154,Table,MATCH(J$4,Curves,0))</f>
        <v>4</v>
      </c>
      <c r="K154" s="125" t="n">
        <f aca="false">J154+$K$7</f>
        <v>4</v>
      </c>
      <c r="L154" s="126" t="n">
        <f aca="false">K154</f>
        <v>4</v>
      </c>
      <c r="M154" s="124" t="n">
        <f aca="false">VLOOKUP($A154,Table,MATCH(M$4,Curves,0))</f>
        <v>4</v>
      </c>
      <c r="N154" s="125" t="n">
        <f aca="false">M154+$N$7</f>
        <v>4</v>
      </c>
      <c r="O154" s="126" t="n">
        <v>0.25</v>
      </c>
      <c r="P154" s="114"/>
      <c r="Q154" s="126" t="n">
        <f aca="false">M154+J154+G154</f>
        <v>11</v>
      </c>
      <c r="R154" s="126" t="n">
        <f aca="false">N154+K154+H154</f>
        <v>11</v>
      </c>
      <c r="S154" s="126" t="n">
        <f aca="false">O154+L154+I154</f>
        <v>7.25</v>
      </c>
      <c r="T154" s="127"/>
      <c r="U154" s="5" t="n">
        <f aca="false">A155-A154</f>
        <v>28</v>
      </c>
      <c r="V154" s="128" t="n">
        <f aca="false">CHOOSE(F$3,A155+24,A154)</f>
        <v>41671</v>
      </c>
      <c r="W154" s="5" t="n">
        <f aca="false">V154-C$3</f>
        <v>4440</v>
      </c>
      <c r="X154" s="124" t="n">
        <f aca="false">VLOOKUP($A154,Table,MATCH(X$4,Curves,0))</f>
        <v>2</v>
      </c>
      <c r="Y154" s="129" t="n">
        <f aca="false">1/(1+CHOOSE(F$3,(X155+($K$3/10000))/2,(X154+($K$3/10000))/2))^(2*W154/365.25)</f>
        <v>4.80091625122664E-008</v>
      </c>
      <c r="Z154" s="5" t="n">
        <f aca="false">IF(AND(mthbeg&lt;=A154,mthend&gt;=A154),1,0)</f>
        <v>0</v>
      </c>
      <c r="AA154" s="5" t="n">
        <f aca="false">U154*Z154</f>
        <v>0</v>
      </c>
      <c r="AC154" s="115" t="n">
        <f aca="false">IF(G147=2,F154*(S154-Q154),F154*(Q154-S154))</f>
        <v>0</v>
      </c>
      <c r="AE154" s="116" t="n">
        <f aca="false">IF($G$3=1,F154*(R154-Q154),F154*(Q154-R154))</f>
        <v>0</v>
      </c>
      <c r="AG154" s="116" t="n">
        <f aca="false">AC154+AE154</f>
        <v>0</v>
      </c>
    </row>
    <row r="155" customFormat="false" ht="12.75" hidden="false" customHeight="false" outlineLevel="0" collapsed="false">
      <c r="A155" s="120" t="n">
        <f aca="false">EDATE(A154,1)</f>
        <v>41699</v>
      </c>
      <c r="B155" s="121" t="e">
        <f aca="false">VLOOKUP(A155,'Inputs-Summary'!$A$32:$E$41,4,FALSE())</f>
        <v>#N/A</v>
      </c>
      <c r="C155" s="122"/>
      <c r="D155" s="123" t="e">
        <f aca="false">B155+C155</f>
        <v>#N/A</v>
      </c>
      <c r="E155" s="111" t="n">
        <f aca="false">IF(Z155=0,0,IF(AND(Z155=1,$H$3=1),D155*U155,IF($H$3=2,D155,"N/A")))</f>
        <v>0</v>
      </c>
      <c r="F155" s="111" t="n">
        <f aca="false">E155*Y155</f>
        <v>0</v>
      </c>
      <c r="G155" s="124" t="n">
        <f aca="false">VLOOKUP($A155,Table,MATCH(G$4,Curves,0))</f>
        <v>3</v>
      </c>
      <c r="H155" s="125" t="n">
        <f aca="false">G155+$H$7</f>
        <v>3</v>
      </c>
      <c r="I155" s="124" t="n">
        <f aca="false">H155</f>
        <v>3</v>
      </c>
      <c r="J155" s="124" t="n">
        <f aca="false">VLOOKUP($A155,Table,MATCH(J$4,Curves,0))</f>
        <v>4</v>
      </c>
      <c r="K155" s="125" t="n">
        <f aca="false">J155+$K$7</f>
        <v>4</v>
      </c>
      <c r="L155" s="126" t="n">
        <f aca="false">K155</f>
        <v>4</v>
      </c>
      <c r="M155" s="124" t="n">
        <f aca="false">VLOOKUP($A155,Table,MATCH(M$4,Curves,0))</f>
        <v>4</v>
      </c>
      <c r="N155" s="125" t="n">
        <f aca="false">M155+$N$7</f>
        <v>4</v>
      </c>
      <c r="O155" s="126" t="n">
        <v>0.25</v>
      </c>
      <c r="P155" s="114"/>
      <c r="Q155" s="126" t="n">
        <f aca="false">M155+J155+G155</f>
        <v>11</v>
      </c>
      <c r="R155" s="126" t="n">
        <f aca="false">N155+K155+H155</f>
        <v>11</v>
      </c>
      <c r="S155" s="126" t="n">
        <f aca="false">O155+L155+I155</f>
        <v>7.25</v>
      </c>
      <c r="T155" s="127"/>
      <c r="U155" s="5" t="n">
        <f aca="false">A156-A155</f>
        <v>31</v>
      </c>
      <c r="V155" s="128" t="n">
        <f aca="false">CHOOSE(F$3,A156+24,A155)</f>
        <v>41699</v>
      </c>
      <c r="W155" s="5" t="n">
        <f aca="false">V155-C$3</f>
        <v>4468</v>
      </c>
      <c r="X155" s="124" t="n">
        <f aca="false">VLOOKUP($A155,Table,MATCH(X$4,Curves,0))</f>
        <v>2</v>
      </c>
      <c r="Y155" s="129" t="n">
        <f aca="false">1/(1+CHOOSE(F$3,(X156+($K$3/10000))/2,(X155+($K$3/10000))/2))^(2*W155/365.25)</f>
        <v>4.31688339844757E-008</v>
      </c>
      <c r="Z155" s="5" t="n">
        <f aca="false">IF(AND(mthbeg&lt;=A155,mthend&gt;=A155),1,0)</f>
        <v>0</v>
      </c>
      <c r="AA155" s="5" t="n">
        <f aca="false">U155*Z155</f>
        <v>0</v>
      </c>
      <c r="AC155" s="115" t="n">
        <f aca="false">IF(G148=2,F155*(S155-Q155),F155*(Q155-S155))</f>
        <v>0</v>
      </c>
      <c r="AE155" s="116" t="n">
        <f aca="false">IF($G$3=1,F155*(R155-Q155),F155*(Q155-R155))</f>
        <v>0</v>
      </c>
      <c r="AG155" s="116" t="n">
        <f aca="false">AC155+AE155</f>
        <v>0</v>
      </c>
    </row>
    <row r="156" customFormat="false" ht="12.75" hidden="false" customHeight="false" outlineLevel="0" collapsed="false">
      <c r="A156" s="120" t="n">
        <f aca="false">EDATE(A155,1)</f>
        <v>41730</v>
      </c>
      <c r="B156" s="121" t="e">
        <f aca="false">VLOOKUP(A156,'Inputs-Summary'!$A$32:$E$41,4,FALSE())</f>
        <v>#N/A</v>
      </c>
      <c r="C156" s="122"/>
      <c r="D156" s="123" t="e">
        <f aca="false">B156+C156</f>
        <v>#N/A</v>
      </c>
      <c r="E156" s="111" t="n">
        <f aca="false">IF(Z156=0,0,IF(AND(Z156=1,$H$3=1),D156*U156,IF($H$3=2,D156,"N/A")))</f>
        <v>0</v>
      </c>
      <c r="F156" s="111" t="n">
        <f aca="false">E156*Y156</f>
        <v>0</v>
      </c>
      <c r="G156" s="124" t="n">
        <f aca="false">VLOOKUP($A156,Table,MATCH(G$4,Curves,0))</f>
        <v>3</v>
      </c>
      <c r="H156" s="125" t="n">
        <f aca="false">G156+$H$7</f>
        <v>3</v>
      </c>
      <c r="I156" s="124" t="n">
        <f aca="false">H156</f>
        <v>3</v>
      </c>
      <c r="J156" s="124" t="n">
        <f aca="false">VLOOKUP($A156,Table,MATCH(J$4,Curves,0))</f>
        <v>4</v>
      </c>
      <c r="K156" s="125" t="n">
        <f aca="false">J156+$K$7</f>
        <v>4</v>
      </c>
      <c r="L156" s="126" t="n">
        <f aca="false">K156</f>
        <v>4</v>
      </c>
      <c r="M156" s="124" t="n">
        <f aca="false">VLOOKUP($A156,Table,MATCH(M$4,Curves,0))</f>
        <v>4</v>
      </c>
      <c r="N156" s="125" t="n">
        <f aca="false">M156+$N$7</f>
        <v>4</v>
      </c>
      <c r="O156" s="126" t="n">
        <v>0.25</v>
      </c>
      <c r="P156" s="114"/>
      <c r="Q156" s="126" t="n">
        <f aca="false">M156+J156+G156</f>
        <v>11</v>
      </c>
      <c r="R156" s="126" t="n">
        <f aca="false">N156+K156+H156</f>
        <v>11</v>
      </c>
      <c r="S156" s="126" t="n">
        <f aca="false">O156+L156+I156</f>
        <v>7.25</v>
      </c>
      <c r="T156" s="127"/>
      <c r="U156" s="5" t="n">
        <f aca="false">A157-A156</f>
        <v>30</v>
      </c>
      <c r="V156" s="128" t="n">
        <f aca="false">CHOOSE(F$3,A157+24,A156)</f>
        <v>41730</v>
      </c>
      <c r="W156" s="5" t="n">
        <f aca="false">V156-C$3</f>
        <v>4499</v>
      </c>
      <c r="X156" s="124" t="n">
        <f aca="false">VLOOKUP($A156,Table,MATCH(X$4,Curves,0))</f>
        <v>2</v>
      </c>
      <c r="Y156" s="129" t="n">
        <f aca="false">1/(1+CHOOSE(F$3,(X157+($K$3/10000))/2,(X156+($K$3/10000))/2))^(2*W156/365.25)</f>
        <v>3.83770382692206E-008</v>
      </c>
      <c r="Z156" s="5" t="n">
        <f aca="false">IF(AND(mthbeg&lt;=A156,mthend&gt;=A156),1,0)</f>
        <v>0</v>
      </c>
      <c r="AA156" s="5" t="n">
        <f aca="false">U156*Z156</f>
        <v>0</v>
      </c>
      <c r="AC156" s="115" t="n">
        <f aca="false">IF(G149=2,F156*(S156-Q156),F156*(Q156-S156))</f>
        <v>0</v>
      </c>
      <c r="AE156" s="116" t="n">
        <f aca="false">IF($G$3=1,F156*(R156-Q156),F156*(Q156-R156))</f>
        <v>0</v>
      </c>
      <c r="AG156" s="116" t="n">
        <f aca="false">AC156+AE156</f>
        <v>0</v>
      </c>
    </row>
    <row r="157" customFormat="false" ht="12.75" hidden="false" customHeight="false" outlineLevel="0" collapsed="false">
      <c r="A157" s="120" t="n">
        <f aca="false">EDATE(A156,1)</f>
        <v>41760</v>
      </c>
      <c r="B157" s="121" t="e">
        <f aca="false">VLOOKUP(A157,'Inputs-Summary'!$A$32:$E$41,4,FALSE())</f>
        <v>#N/A</v>
      </c>
      <c r="C157" s="122"/>
      <c r="D157" s="123" t="e">
        <f aca="false">B157+C157</f>
        <v>#N/A</v>
      </c>
      <c r="E157" s="111" t="n">
        <f aca="false">IF(Z157=0,0,IF(AND(Z157=1,$H$3=1),D157*U157,IF($H$3=2,D157,"N/A")))</f>
        <v>0</v>
      </c>
      <c r="F157" s="111" t="n">
        <f aca="false">E157*Y157</f>
        <v>0</v>
      </c>
      <c r="G157" s="124" t="n">
        <f aca="false">VLOOKUP($A157,Table,MATCH(G$4,Curves,0))</f>
        <v>3</v>
      </c>
      <c r="H157" s="125" t="n">
        <f aca="false">G157+$H$7</f>
        <v>3</v>
      </c>
      <c r="I157" s="124" t="n">
        <f aca="false">H157</f>
        <v>3</v>
      </c>
      <c r="J157" s="124" t="n">
        <f aca="false">VLOOKUP($A157,Table,MATCH(J$4,Curves,0))</f>
        <v>4</v>
      </c>
      <c r="K157" s="125" t="n">
        <f aca="false">J157+$K$7</f>
        <v>4</v>
      </c>
      <c r="L157" s="126" t="n">
        <f aca="false">K157</f>
        <v>4</v>
      </c>
      <c r="M157" s="124" t="n">
        <f aca="false">VLOOKUP($A157,Table,MATCH(M$4,Curves,0))</f>
        <v>4</v>
      </c>
      <c r="N157" s="125" t="n">
        <f aca="false">M157+$N$7</f>
        <v>4</v>
      </c>
      <c r="O157" s="126" t="n">
        <v>0.25</v>
      </c>
      <c r="P157" s="114"/>
      <c r="Q157" s="126" t="n">
        <f aca="false">M157+J157+G157</f>
        <v>11</v>
      </c>
      <c r="R157" s="126" t="n">
        <f aca="false">N157+K157+H157</f>
        <v>11</v>
      </c>
      <c r="S157" s="126" t="n">
        <f aca="false">O157+L157+I157</f>
        <v>7.25</v>
      </c>
      <c r="T157" s="127"/>
      <c r="U157" s="5" t="n">
        <f aca="false">A158-A157</f>
        <v>31</v>
      </c>
      <c r="V157" s="128" t="n">
        <f aca="false">CHOOSE(F$3,A158+24,A157)</f>
        <v>41760</v>
      </c>
      <c r="W157" s="5" t="n">
        <f aca="false">V157-C$3</f>
        <v>4529</v>
      </c>
      <c r="X157" s="124" t="n">
        <f aca="false">VLOOKUP($A157,Table,MATCH(X$4,Curves,0))</f>
        <v>2</v>
      </c>
      <c r="Y157" s="129" t="n">
        <f aca="false">1/(1+CHOOSE(F$3,(X158+($K$3/10000))/2,(X157+($K$3/10000))/2))^(2*W157/365.25)</f>
        <v>3.42468745240001E-008</v>
      </c>
      <c r="Z157" s="5" t="n">
        <f aca="false">IF(AND(mthbeg&lt;=A157,mthend&gt;=A157),1,0)</f>
        <v>0</v>
      </c>
      <c r="AA157" s="5" t="n">
        <f aca="false">U157*Z157</f>
        <v>0</v>
      </c>
      <c r="AC157" s="115" t="n">
        <f aca="false">IF(G150=2,F157*(S157-Q157),F157*(Q157-S157))</f>
        <v>0</v>
      </c>
      <c r="AE157" s="116" t="n">
        <f aca="false">IF($G$3=1,F157*(R157-Q157),F157*(Q157-R157))</f>
        <v>0</v>
      </c>
      <c r="AG157" s="116" t="n">
        <f aca="false">AC157+AE157</f>
        <v>0</v>
      </c>
    </row>
    <row r="158" customFormat="false" ht="12.75" hidden="false" customHeight="false" outlineLevel="0" collapsed="false">
      <c r="A158" s="120" t="n">
        <f aca="false">EDATE(A157,1)</f>
        <v>41791</v>
      </c>
      <c r="B158" s="121" t="e">
        <f aca="false">VLOOKUP(A158,'Inputs-Summary'!$A$32:$E$41,4,FALSE())</f>
        <v>#N/A</v>
      </c>
      <c r="C158" s="122"/>
      <c r="D158" s="123" t="e">
        <f aca="false">B158+C158</f>
        <v>#N/A</v>
      </c>
      <c r="E158" s="111" t="n">
        <f aca="false">IF(Z158=0,0,IF(AND(Z158=1,$H$3=1),D158*U158,IF($H$3=2,D158,"N/A")))</f>
        <v>0</v>
      </c>
      <c r="F158" s="111" t="n">
        <f aca="false">E158*Y158</f>
        <v>0</v>
      </c>
      <c r="G158" s="124" t="n">
        <f aca="false">VLOOKUP($A158,Table,MATCH(G$4,Curves,0))</f>
        <v>3</v>
      </c>
      <c r="H158" s="125" t="n">
        <f aca="false">G158+$H$7</f>
        <v>3</v>
      </c>
      <c r="I158" s="124" t="n">
        <f aca="false">H158</f>
        <v>3</v>
      </c>
      <c r="J158" s="124" t="n">
        <f aca="false">VLOOKUP($A158,Table,MATCH(J$4,Curves,0))</f>
        <v>4</v>
      </c>
      <c r="K158" s="125" t="n">
        <f aca="false">J158+$K$7</f>
        <v>4</v>
      </c>
      <c r="L158" s="126" t="n">
        <f aca="false">K158</f>
        <v>4</v>
      </c>
      <c r="M158" s="124" t="n">
        <f aca="false">VLOOKUP($A158,Table,MATCH(M$4,Curves,0))</f>
        <v>4</v>
      </c>
      <c r="N158" s="125" t="n">
        <f aca="false">M158+$N$7</f>
        <v>4</v>
      </c>
      <c r="O158" s="126" t="n">
        <v>0.25</v>
      </c>
      <c r="P158" s="114"/>
      <c r="Q158" s="126" t="n">
        <f aca="false">M158+J158+G158</f>
        <v>11</v>
      </c>
      <c r="R158" s="126" t="n">
        <f aca="false">N158+K158+H158</f>
        <v>11</v>
      </c>
      <c r="S158" s="126" t="n">
        <f aca="false">O158+L158+I158</f>
        <v>7.25</v>
      </c>
      <c r="T158" s="127"/>
      <c r="U158" s="5" t="n">
        <f aca="false">A159-A158</f>
        <v>30</v>
      </c>
      <c r="V158" s="128" t="n">
        <f aca="false">CHOOSE(F$3,A159+24,A158)</f>
        <v>41791</v>
      </c>
      <c r="W158" s="5" t="n">
        <f aca="false">V158-C$3</f>
        <v>4560</v>
      </c>
      <c r="X158" s="124" t="n">
        <f aca="false">VLOOKUP($A158,Table,MATCH(X$4,Curves,0))</f>
        <v>2</v>
      </c>
      <c r="Y158" s="129" t="n">
        <f aca="false">1/(1+CHOOSE(F$3,(X159+($K$3/10000))/2,(X158+($K$3/10000))/2))^(2*W158/365.25)</f>
        <v>3.04454277055849E-008</v>
      </c>
      <c r="Z158" s="5" t="n">
        <f aca="false">IF(AND(mthbeg&lt;=A158,mthend&gt;=A158),1,0)</f>
        <v>0</v>
      </c>
      <c r="AA158" s="5" t="n">
        <f aca="false">U158*Z158</f>
        <v>0</v>
      </c>
      <c r="AC158" s="115" t="n">
        <f aca="false">IF(G151=2,F158*(S158-Q158),F158*(Q158-S158))</f>
        <v>0</v>
      </c>
      <c r="AE158" s="116" t="n">
        <f aca="false">IF($G$3=1,F158*(R158-Q158),F158*(Q158-R158))</f>
        <v>0</v>
      </c>
      <c r="AG158" s="116" t="n">
        <f aca="false">AC158+AE158</f>
        <v>0</v>
      </c>
    </row>
    <row r="159" customFormat="false" ht="12.75" hidden="false" customHeight="false" outlineLevel="0" collapsed="false">
      <c r="A159" s="120" t="n">
        <f aca="false">EDATE(A158,1)</f>
        <v>41821</v>
      </c>
      <c r="B159" s="121" t="e">
        <f aca="false">VLOOKUP(A159,'Inputs-Summary'!$A$32:$E$41,4,FALSE())</f>
        <v>#N/A</v>
      </c>
      <c r="C159" s="122"/>
      <c r="D159" s="123" t="e">
        <f aca="false">B159+C159</f>
        <v>#N/A</v>
      </c>
      <c r="E159" s="111" t="n">
        <f aca="false">IF(Z159=0,0,IF(AND(Z159=1,$H$3=1),D159*U159,IF($H$3=2,D159,"N/A")))</f>
        <v>0</v>
      </c>
      <c r="F159" s="111" t="n">
        <f aca="false">E159*Y159</f>
        <v>0</v>
      </c>
      <c r="G159" s="124" t="n">
        <f aca="false">VLOOKUP($A159,Table,MATCH(G$4,Curves,0))</f>
        <v>3</v>
      </c>
      <c r="H159" s="125" t="n">
        <f aca="false">G159+$H$7</f>
        <v>3</v>
      </c>
      <c r="I159" s="124" t="n">
        <f aca="false">H159</f>
        <v>3</v>
      </c>
      <c r="J159" s="124" t="n">
        <f aca="false">VLOOKUP($A159,Table,MATCH(J$4,Curves,0))</f>
        <v>4</v>
      </c>
      <c r="K159" s="125" t="n">
        <f aca="false">J159+$K$7</f>
        <v>4</v>
      </c>
      <c r="L159" s="126" t="n">
        <f aca="false">K159</f>
        <v>4</v>
      </c>
      <c r="M159" s="124" t="n">
        <f aca="false">VLOOKUP($A159,Table,MATCH(M$4,Curves,0))</f>
        <v>4</v>
      </c>
      <c r="N159" s="125" t="n">
        <f aca="false">M159+$N$7</f>
        <v>4</v>
      </c>
      <c r="O159" s="126" t="n">
        <v>0.25</v>
      </c>
      <c r="P159" s="114"/>
      <c r="Q159" s="126" t="n">
        <f aca="false">M159+J159+G159</f>
        <v>11</v>
      </c>
      <c r="R159" s="126" t="n">
        <f aca="false">N159+K159+H159</f>
        <v>11</v>
      </c>
      <c r="S159" s="126" t="n">
        <f aca="false">O159+L159+I159</f>
        <v>7.25</v>
      </c>
      <c r="T159" s="127"/>
      <c r="U159" s="5" t="n">
        <f aca="false">A160-A159</f>
        <v>31</v>
      </c>
      <c r="V159" s="128" t="n">
        <f aca="false">CHOOSE(F$3,A160+24,A159)</f>
        <v>41821</v>
      </c>
      <c r="W159" s="5" t="n">
        <f aca="false">V159-C$3</f>
        <v>4590</v>
      </c>
      <c r="X159" s="124" t="n">
        <f aca="false">VLOOKUP($A159,Table,MATCH(X$4,Curves,0))</f>
        <v>2</v>
      </c>
      <c r="Y159" s="129" t="n">
        <f aca="false">1/(1+CHOOSE(F$3,(X160+($K$3/10000))/2,(X159+($K$3/10000))/2))^(2*W159/365.25)</f>
        <v>2.71688694460543E-008</v>
      </c>
      <c r="Z159" s="5" t="n">
        <f aca="false">IF(AND(mthbeg&lt;=A159,mthend&gt;=A159),1,0)</f>
        <v>0</v>
      </c>
      <c r="AA159" s="5" t="n">
        <f aca="false">U159*Z159</f>
        <v>0</v>
      </c>
      <c r="AC159" s="115" t="n">
        <f aca="false">IF(G152=2,F159*(S159-Q159),F159*(Q159-S159))</f>
        <v>0</v>
      </c>
      <c r="AE159" s="116" t="n">
        <f aca="false">IF($G$3=1,F159*(R159-Q159),F159*(Q159-R159))</f>
        <v>0</v>
      </c>
      <c r="AG159" s="116" t="n">
        <f aca="false">AC159+AE159</f>
        <v>0</v>
      </c>
    </row>
    <row r="160" customFormat="false" ht="12.75" hidden="false" customHeight="false" outlineLevel="0" collapsed="false">
      <c r="A160" s="120" t="n">
        <f aca="false">EDATE(A159,1)</f>
        <v>41852</v>
      </c>
      <c r="B160" s="121" t="e">
        <f aca="false">VLOOKUP(A160,'Inputs-Summary'!$A$32:$E$41,4,FALSE())</f>
        <v>#N/A</v>
      </c>
      <c r="C160" s="122"/>
      <c r="D160" s="123" t="e">
        <f aca="false">B160+C160</f>
        <v>#N/A</v>
      </c>
      <c r="E160" s="111" t="n">
        <f aca="false">IF(Z160=0,0,IF(AND(Z160=1,$H$3=1),D160*U160,IF($H$3=2,D160,"N/A")))</f>
        <v>0</v>
      </c>
      <c r="F160" s="111" t="n">
        <f aca="false">E160*Y160</f>
        <v>0</v>
      </c>
      <c r="G160" s="124" t="n">
        <f aca="false">VLOOKUP($A160,Table,MATCH(G$4,Curves,0))</f>
        <v>3</v>
      </c>
      <c r="H160" s="125" t="n">
        <f aca="false">G160+$H$7</f>
        <v>3</v>
      </c>
      <c r="I160" s="124" t="n">
        <f aca="false">H160</f>
        <v>3</v>
      </c>
      <c r="J160" s="124" t="n">
        <f aca="false">VLOOKUP($A160,Table,MATCH(J$4,Curves,0))</f>
        <v>4</v>
      </c>
      <c r="K160" s="125" t="n">
        <f aca="false">J160+$K$7</f>
        <v>4</v>
      </c>
      <c r="L160" s="126" t="n">
        <f aca="false">K160</f>
        <v>4</v>
      </c>
      <c r="M160" s="124" t="n">
        <f aca="false">VLOOKUP($A160,Table,MATCH(M$4,Curves,0))</f>
        <v>4</v>
      </c>
      <c r="N160" s="125" t="n">
        <f aca="false">M160+$N$7</f>
        <v>4</v>
      </c>
      <c r="O160" s="126" t="n">
        <v>0.25</v>
      </c>
      <c r="P160" s="114"/>
      <c r="Q160" s="126" t="n">
        <f aca="false">M160+J160+G160</f>
        <v>11</v>
      </c>
      <c r="R160" s="126" t="n">
        <f aca="false">N160+K160+H160</f>
        <v>11</v>
      </c>
      <c r="S160" s="126" t="n">
        <f aca="false">O160+L160+I160</f>
        <v>7.25</v>
      </c>
      <c r="T160" s="127"/>
      <c r="U160" s="5" t="n">
        <f aca="false">A161-A160</f>
        <v>31</v>
      </c>
      <c r="V160" s="128" t="n">
        <f aca="false">CHOOSE(F$3,A161+24,A160)</f>
        <v>41852</v>
      </c>
      <c r="W160" s="5" t="n">
        <f aca="false">V160-C$3</f>
        <v>4621</v>
      </c>
      <c r="X160" s="124" t="n">
        <f aca="false">VLOOKUP($A160,Table,MATCH(X$4,Curves,0))</f>
        <v>2</v>
      </c>
      <c r="Y160" s="129" t="n">
        <f aca="false">1/(1+CHOOSE(F$3,(X161+($K$3/10000))/2,(X160+($K$3/10000))/2))^(2*W160/365.25)</f>
        <v>2.41530902325888E-008</v>
      </c>
      <c r="Z160" s="5" t="n">
        <f aca="false">IF(AND(mthbeg&lt;=A160,mthend&gt;=A160),1,0)</f>
        <v>0</v>
      </c>
      <c r="AA160" s="5" t="n">
        <f aca="false">U160*Z160</f>
        <v>0</v>
      </c>
      <c r="AC160" s="115" t="n">
        <f aca="false">IF(G153=2,F160*(S160-Q160),F160*(Q160-S160))</f>
        <v>0</v>
      </c>
      <c r="AE160" s="116" t="n">
        <f aca="false">IF($G$3=1,F160*(R160-Q160),F160*(Q160-R160))</f>
        <v>0</v>
      </c>
      <c r="AG160" s="116" t="n">
        <f aca="false">AC160+AE160</f>
        <v>0</v>
      </c>
    </row>
    <row r="161" customFormat="false" ht="12.75" hidden="false" customHeight="false" outlineLevel="0" collapsed="false">
      <c r="A161" s="120" t="n">
        <f aca="false">EDATE(A160,1)</f>
        <v>41883</v>
      </c>
      <c r="B161" s="121" t="e">
        <f aca="false">VLOOKUP(A161,'Inputs-Summary'!$A$32:$E$41,4,FALSE())</f>
        <v>#N/A</v>
      </c>
      <c r="C161" s="122"/>
      <c r="D161" s="123" t="e">
        <f aca="false">B161+C161</f>
        <v>#N/A</v>
      </c>
      <c r="E161" s="111" t="n">
        <f aca="false">IF(Z161=0,0,IF(AND(Z161=1,$H$3=1),D161*U161,IF($H$3=2,D161,"N/A")))</f>
        <v>0</v>
      </c>
      <c r="F161" s="111" t="n">
        <f aca="false">E161*Y161</f>
        <v>0</v>
      </c>
      <c r="G161" s="124" t="n">
        <f aca="false">VLOOKUP($A161,Table,MATCH(G$4,Curves,0))</f>
        <v>3</v>
      </c>
      <c r="H161" s="125" t="n">
        <f aca="false">G161+$H$7</f>
        <v>3</v>
      </c>
      <c r="I161" s="124" t="n">
        <f aca="false">H161</f>
        <v>3</v>
      </c>
      <c r="J161" s="124" t="n">
        <f aca="false">VLOOKUP($A161,Table,MATCH(J$4,Curves,0))</f>
        <v>4</v>
      </c>
      <c r="K161" s="125" t="n">
        <f aca="false">J161+$K$7</f>
        <v>4</v>
      </c>
      <c r="L161" s="126" t="n">
        <f aca="false">K161</f>
        <v>4</v>
      </c>
      <c r="M161" s="124" t="n">
        <f aca="false">VLOOKUP($A161,Table,MATCH(M$4,Curves,0))</f>
        <v>4</v>
      </c>
      <c r="N161" s="125" t="n">
        <f aca="false">M161+$N$7</f>
        <v>4</v>
      </c>
      <c r="O161" s="126" t="n">
        <v>0.25</v>
      </c>
      <c r="P161" s="114"/>
      <c r="Q161" s="126" t="n">
        <f aca="false">M161+J161+G161</f>
        <v>11</v>
      </c>
      <c r="R161" s="126" t="n">
        <f aca="false">N161+K161+H161</f>
        <v>11</v>
      </c>
      <c r="S161" s="126" t="n">
        <f aca="false">O161+L161+I161</f>
        <v>7.25</v>
      </c>
      <c r="T161" s="127"/>
      <c r="U161" s="5" t="n">
        <f aca="false">A162-A161</f>
        <v>30</v>
      </c>
      <c r="V161" s="128" t="n">
        <f aca="false">CHOOSE(F$3,A162+24,A161)</f>
        <v>41883</v>
      </c>
      <c r="W161" s="5" t="n">
        <f aca="false">V161-C$3</f>
        <v>4652</v>
      </c>
      <c r="X161" s="124" t="n">
        <f aca="false">VLOOKUP($A161,Table,MATCH(X$4,Curves,0))</f>
        <v>2</v>
      </c>
      <c r="Y161" s="129" t="n">
        <f aca="false">1/(1+CHOOSE(F$3,(X162+($K$3/10000))/2,(X161+($K$3/10000))/2))^(2*W161/365.25)</f>
        <v>2.1472066364112E-008</v>
      </c>
      <c r="Z161" s="5" t="n">
        <f aca="false">IF(AND(mthbeg&lt;=A161,mthend&gt;=A161),1,0)</f>
        <v>0</v>
      </c>
      <c r="AA161" s="5" t="n">
        <f aca="false">U161*Z161</f>
        <v>0</v>
      </c>
      <c r="AC161" s="115" t="n">
        <f aca="false">IF(G154=2,F161*(S161-Q161),F161*(Q161-S161))</f>
        <v>0</v>
      </c>
      <c r="AE161" s="116" t="n">
        <f aca="false">IF($G$3=1,F161*(R161-Q161),F161*(Q161-R161))</f>
        <v>0</v>
      </c>
      <c r="AG161" s="116" t="n">
        <f aca="false">AC161+AE161</f>
        <v>0</v>
      </c>
    </row>
    <row r="162" customFormat="false" ht="12.75" hidden="false" customHeight="false" outlineLevel="0" collapsed="false">
      <c r="A162" s="120" t="n">
        <f aca="false">EDATE(A161,1)</f>
        <v>41913</v>
      </c>
      <c r="B162" s="121" t="e">
        <f aca="false">VLOOKUP(A162,'Inputs-Summary'!$A$32:$E$41,4,FALSE())</f>
        <v>#N/A</v>
      </c>
      <c r="C162" s="122"/>
      <c r="D162" s="123" t="e">
        <f aca="false">B162+C162</f>
        <v>#N/A</v>
      </c>
      <c r="E162" s="111" t="n">
        <f aca="false">IF(Z162=0,0,IF(AND(Z162=1,$H$3=1),D162*U162,IF($H$3=2,D162,"N/A")))</f>
        <v>0</v>
      </c>
      <c r="F162" s="111" t="n">
        <f aca="false">E162*Y162</f>
        <v>0</v>
      </c>
      <c r="G162" s="124" t="n">
        <f aca="false">VLOOKUP($A162,Table,MATCH(G$4,Curves,0))</f>
        <v>3</v>
      </c>
      <c r="H162" s="125" t="n">
        <f aca="false">G162+$H$7</f>
        <v>3</v>
      </c>
      <c r="I162" s="124" t="n">
        <f aca="false">H162</f>
        <v>3</v>
      </c>
      <c r="J162" s="124" t="n">
        <f aca="false">VLOOKUP($A162,Table,MATCH(J$4,Curves,0))</f>
        <v>4</v>
      </c>
      <c r="K162" s="125" t="n">
        <f aca="false">J162+$K$7</f>
        <v>4</v>
      </c>
      <c r="L162" s="126" t="n">
        <f aca="false">K162</f>
        <v>4</v>
      </c>
      <c r="M162" s="124" t="n">
        <f aca="false">VLOOKUP($A162,Table,MATCH(M$4,Curves,0))</f>
        <v>4</v>
      </c>
      <c r="N162" s="125" t="n">
        <f aca="false">M162+$N$7</f>
        <v>4</v>
      </c>
      <c r="O162" s="126" t="n">
        <v>0.25</v>
      </c>
      <c r="P162" s="114"/>
      <c r="Q162" s="126" t="n">
        <f aca="false">M162+J162+G162</f>
        <v>11</v>
      </c>
      <c r="R162" s="126" t="n">
        <f aca="false">N162+K162+H162</f>
        <v>11</v>
      </c>
      <c r="S162" s="126" t="n">
        <f aca="false">O162+L162+I162</f>
        <v>7.25</v>
      </c>
      <c r="T162" s="127"/>
      <c r="U162" s="5" t="n">
        <f aca="false">A163-A162</f>
        <v>31</v>
      </c>
      <c r="V162" s="128" t="n">
        <f aca="false">CHOOSE(F$3,A163+24,A162)</f>
        <v>41913</v>
      </c>
      <c r="W162" s="5" t="n">
        <f aca="false">V162-C$3</f>
        <v>4682</v>
      </c>
      <c r="X162" s="124" t="n">
        <f aca="false">VLOOKUP($A162,Table,MATCH(X$4,Curves,0))</f>
        <v>2</v>
      </c>
      <c r="Y162" s="129" t="n">
        <f aca="false">1/(1+CHOOSE(F$3,(X163+($K$3/10000))/2,(X162+($K$3/10000))/2))^(2*W162/365.25)</f>
        <v>1.91612275388255E-008</v>
      </c>
      <c r="Z162" s="5" t="n">
        <f aca="false">IF(AND(mthbeg&lt;=A162,mthend&gt;=A162),1,0)</f>
        <v>0</v>
      </c>
      <c r="AA162" s="5" t="n">
        <f aca="false">U162*Z162</f>
        <v>0</v>
      </c>
      <c r="AC162" s="115" t="n">
        <f aca="false">IF(G155=2,F162*(S162-Q162),F162*(Q162-S162))</f>
        <v>0</v>
      </c>
      <c r="AE162" s="116" t="n">
        <f aca="false">IF($G$3=1,F162*(R162-Q162),F162*(Q162-R162))</f>
        <v>0</v>
      </c>
      <c r="AG162" s="116" t="n">
        <f aca="false">AC162+AE162</f>
        <v>0</v>
      </c>
    </row>
    <row r="163" customFormat="false" ht="12.75" hidden="false" customHeight="false" outlineLevel="0" collapsed="false">
      <c r="A163" s="120" t="n">
        <f aca="false">EDATE(A162,1)</f>
        <v>41944</v>
      </c>
      <c r="B163" s="121" t="e">
        <f aca="false">VLOOKUP(A163,'Inputs-Summary'!$A$32:$E$41,4,FALSE())</f>
        <v>#N/A</v>
      </c>
      <c r="C163" s="122"/>
      <c r="D163" s="123" t="e">
        <f aca="false">B163+C163</f>
        <v>#N/A</v>
      </c>
      <c r="E163" s="111" t="n">
        <f aca="false">IF(Z163=0,0,IF(AND(Z163=1,$H$3=1),D163*U163,IF($H$3=2,D163,"N/A")))</f>
        <v>0</v>
      </c>
      <c r="F163" s="111" t="n">
        <f aca="false">E163*Y163</f>
        <v>0</v>
      </c>
      <c r="G163" s="124" t="n">
        <f aca="false">VLOOKUP($A163,Table,MATCH(G$4,Curves,0))</f>
        <v>3</v>
      </c>
      <c r="H163" s="125" t="n">
        <f aca="false">G163+$H$7</f>
        <v>3</v>
      </c>
      <c r="I163" s="124" t="n">
        <f aca="false">H163</f>
        <v>3</v>
      </c>
      <c r="J163" s="124" t="n">
        <f aca="false">VLOOKUP($A163,Table,MATCH(J$4,Curves,0))</f>
        <v>4</v>
      </c>
      <c r="K163" s="125" t="n">
        <f aca="false">J163+$K$7</f>
        <v>4</v>
      </c>
      <c r="L163" s="126" t="n">
        <f aca="false">K163</f>
        <v>4</v>
      </c>
      <c r="M163" s="124" t="n">
        <f aca="false">VLOOKUP($A163,Table,MATCH(M$4,Curves,0))</f>
        <v>4</v>
      </c>
      <c r="N163" s="125" t="n">
        <f aca="false">M163+$N$7</f>
        <v>4</v>
      </c>
      <c r="O163" s="126" t="n">
        <v>0.25</v>
      </c>
      <c r="P163" s="114"/>
      <c r="Q163" s="126" t="n">
        <f aca="false">M163+J163+G163</f>
        <v>11</v>
      </c>
      <c r="R163" s="126" t="n">
        <f aca="false">N163+K163+H163</f>
        <v>11</v>
      </c>
      <c r="S163" s="126" t="n">
        <f aca="false">O163+L163+I163</f>
        <v>7.25</v>
      </c>
      <c r="T163" s="127"/>
      <c r="U163" s="5" t="n">
        <f aca="false">A164-A163</f>
        <v>30</v>
      </c>
      <c r="V163" s="128" t="n">
        <f aca="false">CHOOSE(F$3,A164+24,A163)</f>
        <v>41944</v>
      </c>
      <c r="W163" s="5" t="n">
        <f aca="false">V163-C$3</f>
        <v>4713</v>
      </c>
      <c r="X163" s="124" t="n">
        <f aca="false">VLOOKUP($A163,Table,MATCH(X$4,Curves,0))</f>
        <v>2</v>
      </c>
      <c r="Y163" s="129" t="n">
        <f aca="false">1/(1+CHOOSE(F$3,(X164+($K$3/10000))/2,(X163+($K$3/10000))/2))^(2*W163/365.25)</f>
        <v>1.70343068058589E-008</v>
      </c>
      <c r="Z163" s="5" t="n">
        <f aca="false">IF(AND(mthbeg&lt;=A163,mthend&gt;=A163),1,0)</f>
        <v>0</v>
      </c>
      <c r="AA163" s="5" t="n">
        <f aca="false">U163*Z163</f>
        <v>0</v>
      </c>
      <c r="AC163" s="115" t="n">
        <f aca="false">IF(G156=2,F163*(S163-Q163),F163*(Q163-S163))</f>
        <v>0</v>
      </c>
      <c r="AE163" s="116" t="n">
        <f aca="false">IF($G$3=1,F163*(R163-Q163),F163*(Q163-R163))</f>
        <v>0</v>
      </c>
      <c r="AG163" s="116" t="n">
        <f aca="false">AC163+AE163</f>
        <v>0</v>
      </c>
    </row>
    <row r="164" customFormat="false" ht="12.75" hidden="false" customHeight="false" outlineLevel="0" collapsed="false">
      <c r="A164" s="120" t="n">
        <f aca="false">EDATE(A163,1)</f>
        <v>41974</v>
      </c>
      <c r="B164" s="121" t="e">
        <f aca="false">VLOOKUP(A164,'Inputs-Summary'!$A$32:$E$41,4,FALSE())</f>
        <v>#N/A</v>
      </c>
      <c r="C164" s="122"/>
      <c r="D164" s="123" t="e">
        <f aca="false">B164+C164</f>
        <v>#N/A</v>
      </c>
      <c r="E164" s="111" t="n">
        <f aca="false">IF(Z164=0,0,IF(AND(Z164=1,$H$3=1),D164*U164,IF($H$3=2,D164,"N/A")))</f>
        <v>0</v>
      </c>
      <c r="F164" s="111" t="n">
        <f aca="false">E164*Y164</f>
        <v>0</v>
      </c>
      <c r="G164" s="124" t="n">
        <f aca="false">VLOOKUP($A164,Table,MATCH(G$4,Curves,0))</f>
        <v>3</v>
      </c>
      <c r="H164" s="125" t="n">
        <f aca="false">G164+$H$7</f>
        <v>3</v>
      </c>
      <c r="I164" s="124" t="n">
        <f aca="false">H164</f>
        <v>3</v>
      </c>
      <c r="J164" s="124" t="n">
        <f aca="false">VLOOKUP($A164,Table,MATCH(J$4,Curves,0))</f>
        <v>4</v>
      </c>
      <c r="K164" s="125" t="n">
        <f aca="false">J164+$K$7</f>
        <v>4</v>
      </c>
      <c r="L164" s="126" t="n">
        <f aca="false">K164</f>
        <v>4</v>
      </c>
      <c r="M164" s="124" t="n">
        <f aca="false">VLOOKUP($A164,Table,MATCH(M$4,Curves,0))</f>
        <v>4</v>
      </c>
      <c r="N164" s="125" t="n">
        <f aca="false">M164+$N$7</f>
        <v>4</v>
      </c>
      <c r="O164" s="126" t="n">
        <v>0.25</v>
      </c>
      <c r="P164" s="114"/>
      <c r="Q164" s="126" t="n">
        <f aca="false">M164+J164+G164</f>
        <v>11</v>
      </c>
      <c r="R164" s="126" t="n">
        <f aca="false">N164+K164+H164</f>
        <v>11</v>
      </c>
      <c r="S164" s="126" t="n">
        <f aca="false">O164+L164+I164</f>
        <v>7.25</v>
      </c>
      <c r="T164" s="127"/>
      <c r="U164" s="5" t="n">
        <f aca="false">A165-A164</f>
        <v>31</v>
      </c>
      <c r="V164" s="128" t="n">
        <f aca="false">CHOOSE(F$3,A165+24,A164)</f>
        <v>41974</v>
      </c>
      <c r="W164" s="5" t="n">
        <f aca="false">V164-C$3</f>
        <v>4743</v>
      </c>
      <c r="X164" s="124" t="n">
        <f aca="false">VLOOKUP($A164,Table,MATCH(X$4,Curves,0))</f>
        <v>2</v>
      </c>
      <c r="Y164" s="129" t="n">
        <f aca="false">1/(1+CHOOSE(F$3,(X165+($K$3/10000))/2,(X164+($K$3/10000))/2))^(2*W164/365.25)</f>
        <v>1.52010627732952E-008</v>
      </c>
      <c r="Z164" s="5" t="n">
        <f aca="false">IF(AND(mthbeg&lt;=A164,mthend&gt;=A164),1,0)</f>
        <v>0</v>
      </c>
      <c r="AA164" s="5" t="n">
        <f aca="false">U164*Z164</f>
        <v>0</v>
      </c>
      <c r="AC164" s="115" t="n">
        <f aca="false">IF(G157=2,F164*(S164-Q164),F164*(Q164-S164))</f>
        <v>0</v>
      </c>
      <c r="AE164" s="116" t="n">
        <f aca="false">IF($G$3=1,F164*(R164-Q164),F164*(Q164-R164))</f>
        <v>0</v>
      </c>
      <c r="AG164" s="116" t="n">
        <f aca="false">AC164+AE164</f>
        <v>0</v>
      </c>
    </row>
    <row r="165" customFormat="false" ht="12.75" hidden="false" customHeight="false" outlineLevel="0" collapsed="false">
      <c r="A165" s="120" t="n">
        <f aca="false">EDATE(A164,1)</f>
        <v>42005</v>
      </c>
      <c r="B165" s="121" t="e">
        <f aca="false">VLOOKUP(A165,'Inputs-Summary'!$A$32:$E$41,4,FALSE())</f>
        <v>#N/A</v>
      </c>
      <c r="C165" s="122"/>
      <c r="D165" s="123" t="e">
        <f aca="false">B165+C165</f>
        <v>#N/A</v>
      </c>
      <c r="E165" s="111" t="n">
        <f aca="false">IF(Z165=0,0,IF(AND(Z165=1,$H$3=1),D165*U165,IF($H$3=2,D165,"N/A")))</f>
        <v>0</v>
      </c>
      <c r="F165" s="111" t="n">
        <f aca="false">E165*Y165</f>
        <v>0</v>
      </c>
      <c r="G165" s="124" t="n">
        <f aca="false">VLOOKUP($A165,Table,MATCH(G$4,Curves,0))</f>
        <v>3</v>
      </c>
      <c r="H165" s="125" t="n">
        <f aca="false">G165+$H$7</f>
        <v>3</v>
      </c>
      <c r="I165" s="124" t="n">
        <f aca="false">H165</f>
        <v>3</v>
      </c>
      <c r="J165" s="124" t="n">
        <f aca="false">VLOOKUP($A165,Table,MATCH(J$4,Curves,0))</f>
        <v>4</v>
      </c>
      <c r="K165" s="125" t="n">
        <f aca="false">J165+$K$7</f>
        <v>4</v>
      </c>
      <c r="L165" s="126" t="n">
        <f aca="false">K165</f>
        <v>4</v>
      </c>
      <c r="M165" s="124" t="n">
        <f aca="false">VLOOKUP($A165,Table,MATCH(M$4,Curves,0))</f>
        <v>4</v>
      </c>
      <c r="N165" s="125" t="n">
        <f aca="false">M165+$N$7</f>
        <v>4</v>
      </c>
      <c r="O165" s="126" t="n">
        <v>0.25</v>
      </c>
      <c r="P165" s="114"/>
      <c r="Q165" s="126" t="n">
        <f aca="false">M165+J165+G165</f>
        <v>11</v>
      </c>
      <c r="R165" s="126" t="n">
        <f aca="false">N165+K165+H165</f>
        <v>11</v>
      </c>
      <c r="S165" s="126" t="n">
        <f aca="false">O165+L165+I165</f>
        <v>7.25</v>
      </c>
      <c r="T165" s="127"/>
      <c r="U165" s="5" t="n">
        <f aca="false">A166-A165</f>
        <v>31</v>
      </c>
      <c r="V165" s="128" t="n">
        <f aca="false">CHOOSE(F$3,A166+24,A165)</f>
        <v>42005</v>
      </c>
      <c r="W165" s="5" t="n">
        <f aca="false">V165-C$3</f>
        <v>4774</v>
      </c>
      <c r="X165" s="124" t="n">
        <f aca="false">VLOOKUP($A165,Table,MATCH(X$4,Curves,0))</f>
        <v>2</v>
      </c>
      <c r="Y165" s="129" t="n">
        <f aca="false">1/(1+CHOOSE(F$3,(X166+($K$3/10000))/2,(X165+($K$3/10000))/2))^(2*W165/365.25)</f>
        <v>1.35137253879353E-008</v>
      </c>
      <c r="Z165" s="5" t="n">
        <f aca="false">IF(AND(mthbeg&lt;=A165,mthend&gt;=A165),1,0)</f>
        <v>0</v>
      </c>
      <c r="AA165" s="5" t="n">
        <f aca="false">U165*Z165</f>
        <v>0</v>
      </c>
      <c r="AC165" s="115" t="n">
        <f aca="false">IF(G158=2,F165*(S165-Q165),F165*(Q165-S165))</f>
        <v>0</v>
      </c>
      <c r="AE165" s="116" t="n">
        <f aca="false">IF($G$3=1,F165*(R165-Q165),F165*(Q165-R165))</f>
        <v>0</v>
      </c>
      <c r="AG165" s="116" t="n">
        <f aca="false">AC165+AE165</f>
        <v>0</v>
      </c>
    </row>
    <row r="166" customFormat="false" ht="12.75" hidden="false" customHeight="false" outlineLevel="0" collapsed="false">
      <c r="A166" s="120" t="n">
        <f aca="false">EDATE(A165,1)</f>
        <v>42036</v>
      </c>
      <c r="B166" s="121" t="e">
        <f aca="false">VLOOKUP(A166,'Inputs-Summary'!$A$32:$E$41,4,FALSE())</f>
        <v>#N/A</v>
      </c>
      <c r="C166" s="122"/>
      <c r="D166" s="123" t="e">
        <f aca="false">B166+C166</f>
        <v>#N/A</v>
      </c>
      <c r="E166" s="111" t="n">
        <f aca="false">IF(Z166=0,0,IF(AND(Z166=1,$H$3=1),D166*U166,IF($H$3=2,D166,"N/A")))</f>
        <v>0</v>
      </c>
      <c r="F166" s="111" t="n">
        <f aca="false">E166*Y166</f>
        <v>0</v>
      </c>
      <c r="G166" s="124" t="n">
        <f aca="false">VLOOKUP($A166,Table,MATCH(G$4,Curves,0))</f>
        <v>3</v>
      </c>
      <c r="H166" s="125" t="n">
        <f aca="false">G166+$H$7</f>
        <v>3</v>
      </c>
      <c r="I166" s="124" t="n">
        <f aca="false">H166</f>
        <v>3</v>
      </c>
      <c r="J166" s="124" t="n">
        <f aca="false">VLOOKUP($A166,Table,MATCH(J$4,Curves,0))</f>
        <v>4</v>
      </c>
      <c r="K166" s="125" t="n">
        <f aca="false">J166+$K$7</f>
        <v>4</v>
      </c>
      <c r="L166" s="126" t="n">
        <f aca="false">K166</f>
        <v>4</v>
      </c>
      <c r="M166" s="124" t="n">
        <f aca="false">VLOOKUP($A166,Table,MATCH(M$4,Curves,0))</f>
        <v>4</v>
      </c>
      <c r="N166" s="125" t="n">
        <f aca="false">M166+$N$7</f>
        <v>4</v>
      </c>
      <c r="O166" s="126" t="n">
        <v>0.25</v>
      </c>
      <c r="P166" s="114"/>
      <c r="Q166" s="126" t="n">
        <f aca="false">M166+J166+G166</f>
        <v>11</v>
      </c>
      <c r="R166" s="126" t="n">
        <f aca="false">N166+K166+H166</f>
        <v>11</v>
      </c>
      <c r="S166" s="126" t="n">
        <f aca="false">O166+L166+I166</f>
        <v>7.25</v>
      </c>
      <c r="T166" s="127"/>
      <c r="U166" s="5" t="n">
        <f aca="false">A167-A166</f>
        <v>28</v>
      </c>
      <c r="V166" s="128" t="n">
        <f aca="false">CHOOSE(F$3,A167+24,A166)</f>
        <v>42036</v>
      </c>
      <c r="W166" s="5" t="n">
        <f aca="false">V166-C$3</f>
        <v>4805</v>
      </c>
      <c r="X166" s="124" t="n">
        <f aca="false">VLOOKUP($A166,Table,MATCH(X$4,Curves,0))</f>
        <v>2</v>
      </c>
      <c r="Y166" s="129" t="n">
        <f aca="false">1/(1+CHOOSE(F$3,(X167+($K$3/10000))/2,(X166+($K$3/10000))/2))^(2*W166/365.25)</f>
        <v>1.20136846077204E-008</v>
      </c>
      <c r="Z166" s="5" t="n">
        <f aca="false">IF(AND(mthbeg&lt;=A166,mthend&gt;=A166),1,0)</f>
        <v>0</v>
      </c>
      <c r="AA166" s="5" t="n">
        <f aca="false">U166*Z166</f>
        <v>0</v>
      </c>
      <c r="AC166" s="115" t="n">
        <f aca="false">IF(G159=2,F166*(S166-Q166),F166*(Q166-S166))</f>
        <v>0</v>
      </c>
      <c r="AE166" s="116" t="n">
        <f aca="false">IF($G$3=1,F166*(R166-Q166),F166*(Q166-R166))</f>
        <v>0</v>
      </c>
      <c r="AG166" s="116" t="n">
        <f aca="false">AC166+AE166</f>
        <v>0</v>
      </c>
    </row>
    <row r="167" customFormat="false" ht="12.75" hidden="false" customHeight="false" outlineLevel="0" collapsed="false">
      <c r="A167" s="120" t="n">
        <f aca="false">EDATE(A166,1)</f>
        <v>42064</v>
      </c>
      <c r="B167" s="121" t="e">
        <f aca="false">VLOOKUP(A167,'Inputs-Summary'!$A$32:$E$41,4,FALSE())</f>
        <v>#N/A</v>
      </c>
      <c r="C167" s="122"/>
      <c r="D167" s="123" t="e">
        <f aca="false">B167+C167</f>
        <v>#N/A</v>
      </c>
      <c r="E167" s="111" t="n">
        <f aca="false">IF(Z167=0,0,IF(AND(Z167=1,$H$3=1),D167*U167,IF($H$3=2,D167,"N/A")))</f>
        <v>0</v>
      </c>
      <c r="F167" s="111" t="n">
        <f aca="false">E167*Y167</f>
        <v>0</v>
      </c>
      <c r="G167" s="124" t="n">
        <f aca="false">VLOOKUP($A167,Table,MATCH(G$4,Curves,0))</f>
        <v>3</v>
      </c>
      <c r="H167" s="125" t="n">
        <f aca="false">G167+$H$7</f>
        <v>3</v>
      </c>
      <c r="I167" s="124" t="n">
        <f aca="false">H167</f>
        <v>3</v>
      </c>
      <c r="J167" s="124" t="n">
        <f aca="false">VLOOKUP($A167,Table,MATCH(J$4,Curves,0))</f>
        <v>4</v>
      </c>
      <c r="K167" s="125" t="n">
        <f aca="false">J167+$K$7</f>
        <v>4</v>
      </c>
      <c r="L167" s="126" t="n">
        <f aca="false">K167</f>
        <v>4</v>
      </c>
      <c r="M167" s="124" t="n">
        <f aca="false">VLOOKUP($A167,Table,MATCH(M$4,Curves,0))</f>
        <v>4</v>
      </c>
      <c r="N167" s="125" t="n">
        <f aca="false">M167+$N$7</f>
        <v>4</v>
      </c>
      <c r="O167" s="126" t="n">
        <v>0.25</v>
      </c>
      <c r="P167" s="114"/>
      <c r="Q167" s="126" t="n">
        <f aca="false">M167+J167+G167</f>
        <v>11</v>
      </c>
      <c r="R167" s="126" t="n">
        <f aca="false">N167+K167+H167</f>
        <v>11</v>
      </c>
      <c r="S167" s="126" t="n">
        <f aca="false">O167+L167+I167</f>
        <v>7.25</v>
      </c>
      <c r="T167" s="127"/>
      <c r="U167" s="5" t="n">
        <f aca="false">A168-A167</f>
        <v>31</v>
      </c>
      <c r="V167" s="128" t="n">
        <f aca="false">CHOOSE(F$3,A168+24,A167)</f>
        <v>42064</v>
      </c>
      <c r="W167" s="5" t="n">
        <f aca="false">V167-C$3</f>
        <v>4833</v>
      </c>
      <c r="X167" s="124" t="n">
        <f aca="false">VLOOKUP($A167,Table,MATCH(X$4,Curves,0))</f>
        <v>2</v>
      </c>
      <c r="Y167" s="129" t="n">
        <f aca="false">1/(1+CHOOSE(F$3,(X168+($K$3/10000))/2,(X167+($K$3/10000))/2))^(2*W167/365.25)</f>
        <v>1.08024537241203E-008</v>
      </c>
      <c r="Z167" s="5" t="n">
        <f aca="false">IF(AND(mthbeg&lt;=A167,mthend&gt;=A167),1,0)</f>
        <v>0</v>
      </c>
      <c r="AA167" s="5" t="n">
        <f aca="false">U167*Z167</f>
        <v>0</v>
      </c>
      <c r="AC167" s="115" t="n">
        <f aca="false">IF(G160=2,F167*(S167-Q167),F167*(Q167-S167))</f>
        <v>0</v>
      </c>
      <c r="AE167" s="116" t="n">
        <f aca="false">IF($G$3=1,F167*(R167-Q167),F167*(Q167-R167))</f>
        <v>0</v>
      </c>
      <c r="AG167" s="116" t="n">
        <f aca="false">AC167+AE167</f>
        <v>0</v>
      </c>
    </row>
    <row r="168" customFormat="false" ht="12.75" hidden="false" customHeight="false" outlineLevel="0" collapsed="false">
      <c r="A168" s="120" t="n">
        <f aca="false">EDATE(A167,1)</f>
        <v>42095</v>
      </c>
      <c r="B168" s="121" t="e">
        <f aca="false">VLOOKUP(A168,'Inputs-Summary'!$A$32:$E$41,4,FALSE())</f>
        <v>#N/A</v>
      </c>
      <c r="C168" s="122"/>
      <c r="D168" s="123" t="e">
        <f aca="false">B168+C168</f>
        <v>#N/A</v>
      </c>
      <c r="E168" s="111" t="n">
        <f aca="false">IF(Z168=0,0,IF(AND(Z168=1,$H$3=1),D168*U168,IF($H$3=2,D168,"N/A")))</f>
        <v>0</v>
      </c>
      <c r="F168" s="111" t="n">
        <f aca="false">E168*Y168</f>
        <v>0</v>
      </c>
      <c r="G168" s="124" t="n">
        <f aca="false">VLOOKUP($A168,Table,MATCH(G$4,Curves,0))</f>
        <v>3</v>
      </c>
      <c r="H168" s="125" t="n">
        <f aca="false">G168+$H$7</f>
        <v>3</v>
      </c>
      <c r="I168" s="124" t="n">
        <f aca="false">H168</f>
        <v>3</v>
      </c>
      <c r="J168" s="124" t="n">
        <f aca="false">VLOOKUP($A168,Table,MATCH(J$4,Curves,0))</f>
        <v>4</v>
      </c>
      <c r="K168" s="125" t="n">
        <f aca="false">J168+$K$7</f>
        <v>4</v>
      </c>
      <c r="L168" s="126" t="n">
        <f aca="false">K168</f>
        <v>4</v>
      </c>
      <c r="M168" s="124" t="n">
        <f aca="false">VLOOKUP($A168,Table,MATCH(M$4,Curves,0))</f>
        <v>4</v>
      </c>
      <c r="N168" s="125" t="n">
        <f aca="false">M168+$N$7</f>
        <v>4</v>
      </c>
      <c r="O168" s="126" t="n">
        <v>0.25</v>
      </c>
      <c r="P168" s="114"/>
      <c r="Q168" s="126" t="n">
        <f aca="false">M168+J168+G168</f>
        <v>11</v>
      </c>
      <c r="R168" s="126" t="n">
        <f aca="false">N168+K168+H168</f>
        <v>11</v>
      </c>
      <c r="S168" s="126" t="n">
        <f aca="false">O168+L168+I168</f>
        <v>7.25</v>
      </c>
      <c r="T168" s="127"/>
      <c r="U168" s="5" t="n">
        <f aca="false">A169-A168</f>
        <v>30</v>
      </c>
      <c r="V168" s="128" t="n">
        <f aca="false">CHOOSE(F$3,A169+24,A168)</f>
        <v>42095</v>
      </c>
      <c r="W168" s="5" t="n">
        <f aca="false">V168-C$3</f>
        <v>4864</v>
      </c>
      <c r="X168" s="124" t="n">
        <f aca="false">VLOOKUP($A168,Table,MATCH(X$4,Curves,0))</f>
        <v>2</v>
      </c>
      <c r="Y168" s="129" t="n">
        <f aca="false">1/(1+CHOOSE(F$3,(X169+($K$3/10000))/2,(X168+($K$3/10000))/2))^(2*W168/365.25)</f>
        <v>9.60336756191134E-009</v>
      </c>
      <c r="Z168" s="5" t="n">
        <f aca="false">IF(AND(mthbeg&lt;=A168,mthend&gt;=A168),1,0)</f>
        <v>0</v>
      </c>
      <c r="AA168" s="5" t="n">
        <f aca="false">U168*Z168</f>
        <v>0</v>
      </c>
      <c r="AC168" s="115" t="n">
        <f aca="false">IF(G161=2,F168*(S168-Q168),F168*(Q168-S168))</f>
        <v>0</v>
      </c>
      <c r="AE168" s="116" t="n">
        <f aca="false">IF($G$3=1,F168*(R168-Q168),F168*(Q168-R168))</f>
        <v>0</v>
      </c>
      <c r="AG168" s="116" t="n">
        <f aca="false">AC168+AE168</f>
        <v>0</v>
      </c>
    </row>
    <row r="169" customFormat="false" ht="12.75" hidden="false" customHeight="false" outlineLevel="0" collapsed="false">
      <c r="A169" s="120" t="n">
        <f aca="false">EDATE(A168,1)</f>
        <v>42125</v>
      </c>
      <c r="B169" s="121" t="e">
        <f aca="false">VLOOKUP(A169,'Inputs-Summary'!$A$32:$E$41,4,FALSE())</f>
        <v>#N/A</v>
      </c>
      <c r="C169" s="122"/>
      <c r="D169" s="123" t="e">
        <f aca="false">B169+C169</f>
        <v>#N/A</v>
      </c>
      <c r="E169" s="111" t="n">
        <f aca="false">IF(Z169=0,0,IF(AND(Z169=1,$H$3=1),D169*U169,IF($H$3=2,D169,"N/A")))</f>
        <v>0</v>
      </c>
      <c r="F169" s="111" t="n">
        <f aca="false">E169*Y169</f>
        <v>0</v>
      </c>
      <c r="G169" s="124" t="n">
        <f aca="false">VLOOKUP($A169,Table,MATCH(G$4,Curves,0))</f>
        <v>3</v>
      </c>
      <c r="H169" s="125" t="n">
        <f aca="false">G169+$H$7</f>
        <v>3</v>
      </c>
      <c r="I169" s="124" t="n">
        <f aca="false">H169</f>
        <v>3</v>
      </c>
      <c r="J169" s="124" t="n">
        <f aca="false">VLOOKUP($A169,Table,MATCH(J$4,Curves,0))</f>
        <v>4</v>
      </c>
      <c r="K169" s="125" t="n">
        <f aca="false">J169+$K$7</f>
        <v>4</v>
      </c>
      <c r="L169" s="126" t="n">
        <f aca="false">K169</f>
        <v>4</v>
      </c>
      <c r="M169" s="124" t="n">
        <f aca="false">VLOOKUP($A169,Table,MATCH(M$4,Curves,0))</f>
        <v>4</v>
      </c>
      <c r="N169" s="125" t="n">
        <f aca="false">M169+$N$7</f>
        <v>4</v>
      </c>
      <c r="O169" s="126" t="n">
        <v>0.25</v>
      </c>
      <c r="P169" s="114"/>
      <c r="Q169" s="126" t="n">
        <f aca="false">M169+J169+G169</f>
        <v>11</v>
      </c>
      <c r="R169" s="126" t="n">
        <f aca="false">N169+K169+H169</f>
        <v>11</v>
      </c>
      <c r="S169" s="126" t="n">
        <f aca="false">O169+L169+I169</f>
        <v>7.25</v>
      </c>
      <c r="T169" s="127"/>
      <c r="U169" s="5" t="n">
        <f aca="false">A170-A169</f>
        <v>31</v>
      </c>
      <c r="V169" s="128" t="n">
        <f aca="false">CHOOSE(F$3,A170+24,A169)</f>
        <v>42125</v>
      </c>
      <c r="W169" s="5" t="n">
        <f aca="false">V169-C$3</f>
        <v>4894</v>
      </c>
      <c r="X169" s="124" t="n">
        <f aca="false">VLOOKUP($A169,Table,MATCH(X$4,Curves,0))</f>
        <v>2</v>
      </c>
      <c r="Y169" s="129" t="n">
        <f aca="false">1/(1+CHOOSE(F$3,(X170+($K$3/10000))/2,(X169+($K$3/10000))/2))^(2*W169/365.25)</f>
        <v>8.56984641684573E-009</v>
      </c>
      <c r="Z169" s="5" t="n">
        <f aca="false">IF(AND(mthbeg&lt;=A169,mthend&gt;=A169),1,0)</f>
        <v>0</v>
      </c>
      <c r="AA169" s="5" t="n">
        <f aca="false">U169*Z169</f>
        <v>0</v>
      </c>
      <c r="AC169" s="115" t="n">
        <f aca="false">IF(G162=2,F169*(S169-Q169),F169*(Q169-S169))</f>
        <v>0</v>
      </c>
      <c r="AE169" s="116" t="n">
        <f aca="false">IF($G$3=1,F169*(R169-Q169),F169*(Q169-R169))</f>
        <v>0</v>
      </c>
      <c r="AG169" s="116" t="n">
        <f aca="false">AC169+AE169</f>
        <v>0</v>
      </c>
    </row>
    <row r="170" customFormat="false" ht="12" hidden="false" customHeight="true" outlineLevel="0" collapsed="false">
      <c r="A170" s="120" t="n">
        <f aca="false">EDATE(A169,1)</f>
        <v>42156</v>
      </c>
      <c r="B170" s="121" t="e">
        <f aca="false">VLOOKUP(A170,'Inputs-Summary'!$A$32:$E$41,4,FALSE())</f>
        <v>#N/A</v>
      </c>
      <c r="C170" s="122"/>
      <c r="D170" s="123" t="e">
        <f aca="false">B170+C170</f>
        <v>#N/A</v>
      </c>
      <c r="E170" s="111" t="n">
        <f aca="false">IF(Z170=0,0,IF(AND(Z170=1,$H$3=1),D170*U170,IF($H$3=2,D170,"N/A")))</f>
        <v>0</v>
      </c>
      <c r="F170" s="111" t="n">
        <f aca="false">E170*Y170</f>
        <v>0</v>
      </c>
      <c r="G170" s="124" t="n">
        <f aca="false">VLOOKUP($A170,Table,MATCH(G$4,Curves,0))</f>
        <v>3</v>
      </c>
      <c r="H170" s="125" t="n">
        <f aca="false">G170+$H$7</f>
        <v>3</v>
      </c>
      <c r="I170" s="124" t="n">
        <f aca="false">H170</f>
        <v>3</v>
      </c>
      <c r="J170" s="124" t="n">
        <f aca="false">VLOOKUP($A170,Table,MATCH(J$4,Curves,0))</f>
        <v>4</v>
      </c>
      <c r="K170" s="125" t="n">
        <f aca="false">J170+$K$7</f>
        <v>4</v>
      </c>
      <c r="L170" s="126" t="n">
        <f aca="false">K170</f>
        <v>4</v>
      </c>
      <c r="M170" s="124" t="n">
        <f aca="false">VLOOKUP($A170,Table,MATCH(M$4,Curves,0))</f>
        <v>4</v>
      </c>
      <c r="N170" s="125" t="n">
        <f aca="false">M170+$N$7</f>
        <v>4</v>
      </c>
      <c r="O170" s="126" t="n">
        <v>0.25</v>
      </c>
      <c r="P170" s="114"/>
      <c r="Q170" s="126" t="n">
        <f aca="false">M170+J170+G170</f>
        <v>11</v>
      </c>
      <c r="R170" s="126" t="n">
        <f aca="false">N170+K170+H170</f>
        <v>11</v>
      </c>
      <c r="S170" s="126" t="n">
        <f aca="false">O170+L170+I170</f>
        <v>7.25</v>
      </c>
      <c r="T170" s="127"/>
      <c r="U170" s="5" t="n">
        <f aca="false">A171-A170</f>
        <v>30</v>
      </c>
      <c r="V170" s="128" t="n">
        <f aca="false">CHOOSE(F$3,A171+24,A170)</f>
        <v>42156</v>
      </c>
      <c r="W170" s="5" t="n">
        <f aca="false">V170-C$3</f>
        <v>4925</v>
      </c>
      <c r="X170" s="124" t="n">
        <f aca="false">VLOOKUP($A170,Table,MATCH(X$4,Curves,0))</f>
        <v>2</v>
      </c>
      <c r="Y170" s="129" t="n">
        <f aca="false">1/(1+CHOOSE(F$3,(X171+($K$3/10000))/2,(X170+($K$3/10000))/2))^(2*W170/365.25)</f>
        <v>7.61858251763077E-009</v>
      </c>
      <c r="Z170" s="5" t="n">
        <f aca="false">IF(AND(mthbeg&lt;=A170,mthend&gt;=A170),1,0)</f>
        <v>0</v>
      </c>
      <c r="AA170" s="5" t="n">
        <f aca="false">U170*Z170</f>
        <v>0</v>
      </c>
      <c r="AC170" s="115" t="n">
        <f aca="false">IF(G163=2,F170*(S170-Q170),F170*(Q170-S170))</f>
        <v>0</v>
      </c>
      <c r="AE170" s="116" t="n">
        <f aca="false">IF($G$3=1,F170*(R170-Q170),F170*(Q170-R170))</f>
        <v>0</v>
      </c>
      <c r="AG170" s="116" t="n">
        <f aca="false">AC170+AE170</f>
        <v>0</v>
      </c>
    </row>
    <row r="171" customFormat="false" ht="12" hidden="false" customHeight="true" outlineLevel="0" collapsed="false">
      <c r="A171" s="120" t="n">
        <f aca="false">EDATE(A170,1)</f>
        <v>42186</v>
      </c>
      <c r="B171" s="121" t="e">
        <f aca="false">VLOOKUP(A171,'Inputs-Summary'!$A$32:$E$41,4,FALSE())</f>
        <v>#N/A</v>
      </c>
      <c r="C171" s="122"/>
      <c r="D171" s="123" t="e">
        <f aca="false">B171+C171</f>
        <v>#N/A</v>
      </c>
      <c r="E171" s="111" t="n">
        <f aca="false">IF(Z171=0,0,IF(AND(Z171=1,$H$3=1),D171*U171,IF($H$3=2,D171,"N/A")))</f>
        <v>0</v>
      </c>
      <c r="F171" s="111" t="n">
        <f aca="false">E171*Y171</f>
        <v>0</v>
      </c>
      <c r="G171" s="124" t="n">
        <f aca="false">VLOOKUP($A171,Table,MATCH(G$4,Curves,0))</f>
        <v>3</v>
      </c>
      <c r="H171" s="125" t="n">
        <f aca="false">G171+$H$7</f>
        <v>3</v>
      </c>
      <c r="I171" s="124" t="n">
        <f aca="false">H171</f>
        <v>3</v>
      </c>
      <c r="J171" s="124" t="n">
        <f aca="false">VLOOKUP($A171,Table,MATCH(J$4,Curves,0))</f>
        <v>4</v>
      </c>
      <c r="K171" s="125" t="n">
        <f aca="false">J171+$K$7</f>
        <v>4</v>
      </c>
      <c r="L171" s="126" t="n">
        <f aca="false">K171</f>
        <v>4</v>
      </c>
      <c r="M171" s="124" t="n">
        <f aca="false">VLOOKUP($A171,Table,MATCH(M$4,Curves,0))</f>
        <v>4</v>
      </c>
      <c r="N171" s="125" t="n">
        <f aca="false">M171+$N$7</f>
        <v>4</v>
      </c>
      <c r="O171" s="126" t="n">
        <v>0.25</v>
      </c>
      <c r="P171" s="114"/>
      <c r="Q171" s="126" t="n">
        <f aca="false">M171+J171+G171</f>
        <v>11</v>
      </c>
      <c r="R171" s="126" t="n">
        <f aca="false">N171+K171+H171</f>
        <v>11</v>
      </c>
      <c r="S171" s="126" t="n">
        <f aca="false">O171+L171+I171</f>
        <v>7.25</v>
      </c>
      <c r="T171" s="127"/>
      <c r="U171" s="5" t="n">
        <f aca="false">A172-A171</f>
        <v>31</v>
      </c>
      <c r="V171" s="128" t="n">
        <f aca="false">CHOOSE(F$3,A172+24,A171)</f>
        <v>42186</v>
      </c>
      <c r="W171" s="5" t="n">
        <f aca="false">V171-C$3</f>
        <v>4955</v>
      </c>
      <c r="X171" s="124" t="n">
        <f aca="false">VLOOKUP($A171,Table,MATCH(X$4,Curves,0))</f>
        <v>2</v>
      </c>
      <c r="Y171" s="129" t="n">
        <f aca="false">1/(1+CHOOSE(F$3,(X172+($K$3/10000))/2,(X171+($K$3/10000))/2))^(2*W171/365.25)</f>
        <v>6.79866532955726E-009</v>
      </c>
      <c r="Z171" s="5" t="n">
        <f aca="false">IF(AND(mthbeg&lt;=A171,mthend&gt;=A171),1,0)</f>
        <v>0</v>
      </c>
      <c r="AA171" s="5" t="n">
        <f aca="false">U171*Z171</f>
        <v>0</v>
      </c>
      <c r="AC171" s="115" t="n">
        <f aca="false">IF(G164=2,F171*(S171-Q171),F171*(Q171-S171))</f>
        <v>0</v>
      </c>
      <c r="AE171" s="116" t="n">
        <f aca="false">IF($G$3=1,F171*(R171-Q171),F171*(Q171-R171))</f>
        <v>0</v>
      </c>
      <c r="AG171" s="116" t="n">
        <f aca="false">AC171+AE171</f>
        <v>0</v>
      </c>
    </row>
    <row r="172" customFormat="false" ht="12" hidden="false" customHeight="true" outlineLevel="0" collapsed="false">
      <c r="A172" s="120" t="n">
        <f aca="false">EDATE(A171,1)</f>
        <v>42217</v>
      </c>
      <c r="B172" s="121" t="e">
        <f aca="false">VLOOKUP(A172,'Inputs-Summary'!$A$32:$E$41,4,FALSE())</f>
        <v>#N/A</v>
      </c>
      <c r="C172" s="122"/>
      <c r="D172" s="123" t="e">
        <f aca="false">B172+C172</f>
        <v>#N/A</v>
      </c>
      <c r="E172" s="111" t="n">
        <f aca="false">IF(Z172=0,0,IF(AND(Z172=1,$H$3=1),D172*U172,IF($H$3=2,D172,"N/A")))</f>
        <v>0</v>
      </c>
      <c r="F172" s="111" t="n">
        <f aca="false">E172*Y172</f>
        <v>0</v>
      </c>
      <c r="G172" s="124" t="n">
        <f aca="false">VLOOKUP($A172,Table,MATCH(G$4,Curves,0))</f>
        <v>3</v>
      </c>
      <c r="H172" s="125" t="n">
        <f aca="false">G172+$H$7</f>
        <v>3</v>
      </c>
      <c r="I172" s="124" t="n">
        <f aca="false">H172</f>
        <v>3</v>
      </c>
      <c r="J172" s="124" t="n">
        <f aca="false">VLOOKUP($A172,Table,MATCH(J$4,Curves,0))</f>
        <v>4</v>
      </c>
      <c r="K172" s="125" t="n">
        <f aca="false">J172+$K$7</f>
        <v>4</v>
      </c>
      <c r="L172" s="126" t="n">
        <f aca="false">K172</f>
        <v>4</v>
      </c>
      <c r="M172" s="124" t="n">
        <f aca="false">VLOOKUP($A172,Table,MATCH(M$4,Curves,0))</f>
        <v>4</v>
      </c>
      <c r="N172" s="125" t="n">
        <f aca="false">M172+$N$7</f>
        <v>4</v>
      </c>
      <c r="O172" s="126" t="n">
        <v>0.25</v>
      </c>
      <c r="P172" s="114"/>
      <c r="Q172" s="126" t="n">
        <f aca="false">M172+J172+G172</f>
        <v>11</v>
      </c>
      <c r="R172" s="126" t="n">
        <f aca="false">N172+K172+H172</f>
        <v>11</v>
      </c>
      <c r="S172" s="126" t="n">
        <f aca="false">O172+L172+I172</f>
        <v>7.25</v>
      </c>
      <c r="T172" s="127"/>
      <c r="U172" s="5" t="n">
        <f aca="false">A173-A172</f>
        <v>31</v>
      </c>
      <c r="V172" s="128" t="n">
        <f aca="false">CHOOSE(F$3,A173+24,A172)</f>
        <v>42217</v>
      </c>
      <c r="W172" s="5" t="n">
        <f aca="false">V172-C$3</f>
        <v>4986</v>
      </c>
      <c r="X172" s="124" t="n">
        <f aca="false">VLOOKUP($A172,Table,MATCH(X$4,Curves,0))</f>
        <v>2</v>
      </c>
      <c r="Y172" s="129" t="n">
        <f aca="false">1/(1+CHOOSE(F$3,(X173+($K$3/10000))/2,(X172+($K$3/10000))/2))^(2*W172/365.25)</f>
        <v>6.04400479350152E-009</v>
      </c>
      <c r="Z172" s="5" t="n">
        <f aca="false">IF(AND(mthbeg&lt;=A172,mthend&gt;=A172),1,0)</f>
        <v>0</v>
      </c>
      <c r="AA172" s="5" t="n">
        <f aca="false">U172*Z172</f>
        <v>0</v>
      </c>
      <c r="AC172" s="115" t="n">
        <f aca="false">IF(G165=2,F172*(S172-Q172),F172*(Q172-S172))</f>
        <v>0</v>
      </c>
      <c r="AE172" s="116" t="n">
        <f aca="false">IF($G$3=1,F172*(R172-Q172),F172*(Q172-R172))</f>
        <v>0</v>
      </c>
      <c r="AG172" s="116" t="n">
        <f aca="false">AC172+AE172</f>
        <v>0</v>
      </c>
    </row>
    <row r="173" customFormat="false" ht="12" hidden="false" customHeight="true" outlineLevel="0" collapsed="false">
      <c r="A173" s="120" t="n">
        <f aca="false">EDATE(A172,1)</f>
        <v>42248</v>
      </c>
      <c r="B173" s="121" t="e">
        <f aca="false">VLOOKUP(A173,'Inputs-Summary'!$A$32:$E$41,4,FALSE())</f>
        <v>#N/A</v>
      </c>
      <c r="C173" s="122"/>
      <c r="D173" s="123" t="e">
        <f aca="false">B173+C173</f>
        <v>#N/A</v>
      </c>
      <c r="E173" s="111" t="n">
        <f aca="false">IF(Z173=0,0,IF(AND(Z173=1,$H$3=1),D173*U173,IF($H$3=2,D173,"N/A")))</f>
        <v>0</v>
      </c>
      <c r="F173" s="111" t="n">
        <f aca="false">E173*Y173</f>
        <v>0</v>
      </c>
      <c r="G173" s="124" t="n">
        <f aca="false">VLOOKUP($A173,Table,MATCH(G$4,Curves,0))</f>
        <v>3</v>
      </c>
      <c r="H173" s="125" t="n">
        <f aca="false">G173+$H$7</f>
        <v>3</v>
      </c>
      <c r="I173" s="124" t="n">
        <f aca="false">H173</f>
        <v>3</v>
      </c>
      <c r="J173" s="124" t="n">
        <f aca="false">VLOOKUP($A173,Table,MATCH(J$4,Curves,0))</f>
        <v>4</v>
      </c>
      <c r="K173" s="125" t="n">
        <f aca="false">J173+$K$7</f>
        <v>4</v>
      </c>
      <c r="L173" s="126" t="n">
        <f aca="false">K173</f>
        <v>4</v>
      </c>
      <c r="M173" s="124" t="n">
        <f aca="false">VLOOKUP($A173,Table,MATCH(M$4,Curves,0))</f>
        <v>4</v>
      </c>
      <c r="N173" s="125" t="n">
        <f aca="false">M173+$N$7</f>
        <v>4</v>
      </c>
      <c r="O173" s="126" t="n">
        <v>0.25</v>
      </c>
      <c r="P173" s="114"/>
      <c r="Q173" s="126" t="n">
        <f aca="false">M173+J173+G173</f>
        <v>11</v>
      </c>
      <c r="R173" s="126" t="n">
        <f aca="false">N173+K173+H173</f>
        <v>11</v>
      </c>
      <c r="S173" s="126" t="n">
        <f aca="false">O173+L173+I173</f>
        <v>7.25</v>
      </c>
      <c r="T173" s="127"/>
      <c r="U173" s="5" t="n">
        <f aca="false">A174-A173</f>
        <v>30</v>
      </c>
      <c r="V173" s="128" t="n">
        <f aca="false">CHOOSE(F$3,A174+24,A173)</f>
        <v>42248</v>
      </c>
      <c r="W173" s="5" t="n">
        <f aca="false">V173-C$3</f>
        <v>5017</v>
      </c>
      <c r="X173" s="124" t="n">
        <f aca="false">VLOOKUP($A173,Table,MATCH(X$4,Curves,0))</f>
        <v>2</v>
      </c>
      <c r="Y173" s="129" t="n">
        <f aca="false">1/(1+CHOOSE(F$3,(X174+($K$3/10000))/2,(X173+($K$3/10000))/2))^(2*W173/365.25)</f>
        <v>5.37311254093577E-009</v>
      </c>
      <c r="Z173" s="5" t="n">
        <f aca="false">IF(AND(mthbeg&lt;=A173,mthend&gt;=A173),1,0)</f>
        <v>0</v>
      </c>
      <c r="AA173" s="5" t="n">
        <f aca="false">U173*Z173</f>
        <v>0</v>
      </c>
      <c r="AC173" s="115" t="n">
        <f aca="false">IF(G166=2,F173*(S173-Q173),F173*(Q173-S173))</f>
        <v>0</v>
      </c>
      <c r="AE173" s="116" t="n">
        <f aca="false">IF($G$3=1,F173*(R173-Q173),F173*(Q173-R173))</f>
        <v>0</v>
      </c>
      <c r="AG173" s="116" t="n">
        <f aca="false">AC173+AE173</f>
        <v>0</v>
      </c>
    </row>
    <row r="174" customFormat="false" ht="12" hidden="false" customHeight="true" outlineLevel="0" collapsed="false">
      <c r="A174" s="120" t="n">
        <f aca="false">EDATE(A173,1)</f>
        <v>42278</v>
      </c>
      <c r="B174" s="121" t="e">
        <f aca="false">VLOOKUP(A174,'Inputs-Summary'!$A$32:$E$41,4,FALSE())</f>
        <v>#N/A</v>
      </c>
      <c r="C174" s="122"/>
      <c r="D174" s="123" t="e">
        <f aca="false">B174+C174</f>
        <v>#N/A</v>
      </c>
      <c r="E174" s="111" t="n">
        <f aca="false">IF(Z174=0,0,IF(AND(Z174=1,$H$3=1),D174*U174,IF($H$3=2,D174,"N/A")))</f>
        <v>0</v>
      </c>
      <c r="F174" s="111" t="n">
        <f aca="false">E174*Y174</f>
        <v>0</v>
      </c>
      <c r="G174" s="124" t="n">
        <f aca="false">VLOOKUP($A174,Table,MATCH(G$4,Curves,0))</f>
        <v>3</v>
      </c>
      <c r="H174" s="125" t="n">
        <f aca="false">G174+$H$7</f>
        <v>3</v>
      </c>
      <c r="I174" s="124" t="n">
        <f aca="false">H174</f>
        <v>3</v>
      </c>
      <c r="J174" s="124" t="n">
        <f aca="false">VLOOKUP($A174,Table,MATCH(J$4,Curves,0))</f>
        <v>4</v>
      </c>
      <c r="K174" s="125" t="n">
        <f aca="false">J174+$K$7</f>
        <v>4</v>
      </c>
      <c r="L174" s="126" t="n">
        <f aca="false">K174</f>
        <v>4</v>
      </c>
      <c r="M174" s="124" t="n">
        <f aca="false">VLOOKUP($A174,Table,MATCH(M$4,Curves,0))</f>
        <v>4</v>
      </c>
      <c r="N174" s="125" t="n">
        <f aca="false">M174+$N$7</f>
        <v>4</v>
      </c>
      <c r="O174" s="126" t="n">
        <v>0.25</v>
      </c>
      <c r="P174" s="114"/>
      <c r="Q174" s="126" t="n">
        <f aca="false">M174+J174+G174</f>
        <v>11</v>
      </c>
      <c r="R174" s="126" t="n">
        <f aca="false">N174+K174+H174</f>
        <v>11</v>
      </c>
      <c r="S174" s="126" t="n">
        <f aca="false">O174+L174+I174</f>
        <v>7.25</v>
      </c>
      <c r="T174" s="127"/>
      <c r="U174" s="5" t="n">
        <f aca="false">A175-A174</f>
        <v>31</v>
      </c>
      <c r="V174" s="128" t="n">
        <f aca="false">CHOOSE(F$3,A175+24,A174)</f>
        <v>42278</v>
      </c>
      <c r="W174" s="5" t="n">
        <f aca="false">V174-C$3</f>
        <v>5047</v>
      </c>
      <c r="X174" s="124" t="n">
        <f aca="false">VLOOKUP($A174,Table,MATCH(X$4,Curves,0))</f>
        <v>2</v>
      </c>
      <c r="Y174" s="129" t="n">
        <f aca="false">1/(1+CHOOSE(F$3,(X175+($K$3/10000))/2,(X174+($K$3/10000))/2))^(2*W174/365.25)</f>
        <v>4.79485440491488E-009</v>
      </c>
      <c r="Z174" s="5" t="n">
        <f aca="false">IF(AND(mthbeg&lt;=A174,mthend&gt;=A174),1,0)</f>
        <v>0</v>
      </c>
      <c r="AA174" s="5" t="n">
        <f aca="false">U174*Z174</f>
        <v>0</v>
      </c>
      <c r="AC174" s="115" t="n">
        <f aca="false">IF(G167=2,F174*(S174-Q174),F174*(Q174-S174))</f>
        <v>0</v>
      </c>
      <c r="AE174" s="116" t="n">
        <f aca="false">IF($G$3=1,F174*(R174-Q174),F174*(Q174-R174))</f>
        <v>0</v>
      </c>
      <c r="AG174" s="116" t="n">
        <f aca="false">AC174+AE174</f>
        <v>0</v>
      </c>
    </row>
    <row r="175" customFormat="false" ht="12" hidden="false" customHeight="true" outlineLevel="0" collapsed="false">
      <c r="A175" s="120" t="n">
        <f aca="false">EDATE(A174,1)</f>
        <v>42309</v>
      </c>
      <c r="B175" s="121" t="e">
        <f aca="false">VLOOKUP(A175,'Inputs-Summary'!$A$32:$E$41,4,FALSE())</f>
        <v>#N/A</v>
      </c>
      <c r="C175" s="122"/>
      <c r="D175" s="123" t="e">
        <f aca="false">B175+C175</f>
        <v>#N/A</v>
      </c>
      <c r="E175" s="111" t="n">
        <f aca="false">IF(Z175=0,0,IF(AND(Z175=1,$H$3=1),D175*U175,IF($H$3=2,D175,"N/A")))</f>
        <v>0</v>
      </c>
      <c r="F175" s="111" t="n">
        <f aca="false">E175*Y175</f>
        <v>0</v>
      </c>
      <c r="G175" s="124" t="n">
        <f aca="false">VLOOKUP($A175,Table,MATCH(G$4,Curves,0))</f>
        <v>3</v>
      </c>
      <c r="H175" s="125" t="n">
        <f aca="false">G175+$H$7</f>
        <v>3</v>
      </c>
      <c r="I175" s="124" t="n">
        <f aca="false">H175</f>
        <v>3</v>
      </c>
      <c r="J175" s="124" t="n">
        <f aca="false">VLOOKUP($A175,Table,MATCH(J$4,Curves,0))</f>
        <v>4</v>
      </c>
      <c r="K175" s="125" t="n">
        <f aca="false">J175+$K$7</f>
        <v>4</v>
      </c>
      <c r="L175" s="126" t="n">
        <f aca="false">K175</f>
        <v>4</v>
      </c>
      <c r="M175" s="124" t="n">
        <f aca="false">VLOOKUP($A175,Table,MATCH(M$4,Curves,0))</f>
        <v>4</v>
      </c>
      <c r="N175" s="125" t="n">
        <f aca="false">M175+$N$7</f>
        <v>4</v>
      </c>
      <c r="O175" s="126" t="n">
        <v>0.25</v>
      </c>
      <c r="P175" s="114"/>
      <c r="Q175" s="126" t="n">
        <f aca="false">M175+J175+G175</f>
        <v>11</v>
      </c>
      <c r="R175" s="126" t="n">
        <f aca="false">N175+K175+H175</f>
        <v>11</v>
      </c>
      <c r="S175" s="126" t="n">
        <f aca="false">O175+L175+I175</f>
        <v>7.25</v>
      </c>
      <c r="T175" s="127"/>
      <c r="U175" s="5" t="n">
        <f aca="false">A176-A175</f>
        <v>30</v>
      </c>
      <c r="V175" s="128" t="n">
        <f aca="false">CHOOSE(F$3,A176+24,A175)</f>
        <v>42309</v>
      </c>
      <c r="W175" s="5" t="n">
        <f aca="false">V175-C$3</f>
        <v>5078</v>
      </c>
      <c r="X175" s="124" t="n">
        <f aca="false">VLOOKUP($A175,Table,MATCH(X$4,Curves,0))</f>
        <v>2</v>
      </c>
      <c r="Y175" s="129" t="n">
        <f aca="false">1/(1+CHOOSE(F$3,(X176+($K$3/10000))/2,(X175+($K$3/10000))/2))^(2*W175/365.25)</f>
        <v>4.26261944112118E-009</v>
      </c>
      <c r="Z175" s="5" t="n">
        <f aca="false">IF(AND(mthbeg&lt;=A175,mthend&gt;=A175),1,0)</f>
        <v>0</v>
      </c>
      <c r="AA175" s="5" t="n">
        <f aca="false">U175*Z175</f>
        <v>0</v>
      </c>
      <c r="AC175" s="115" t="n">
        <f aca="false">IF(G168=2,F175*(S175-Q175),F175*(Q175-S175))</f>
        <v>0</v>
      </c>
      <c r="AE175" s="116" t="n">
        <f aca="false">IF($G$3=1,F175*(R175-Q175),F175*(Q175-R175))</f>
        <v>0</v>
      </c>
      <c r="AG175" s="116" t="n">
        <f aca="false">AC175+AE175</f>
        <v>0</v>
      </c>
    </row>
    <row r="176" customFormat="false" ht="12" hidden="false" customHeight="true" outlineLevel="0" collapsed="false">
      <c r="A176" s="120" t="n">
        <f aca="false">EDATE(A175,1)</f>
        <v>42339</v>
      </c>
      <c r="B176" s="121" t="e">
        <f aca="false">VLOOKUP(A176,'Inputs-Summary'!$A$32:$E$41,4,FALSE())</f>
        <v>#N/A</v>
      </c>
      <c r="C176" s="122"/>
      <c r="D176" s="123" t="e">
        <f aca="false">B176+C176</f>
        <v>#N/A</v>
      </c>
      <c r="E176" s="111" t="n">
        <f aca="false">IF(Z176=0,0,IF(AND(Z176=1,$H$3=1),D176*U176,IF($H$3=2,D176,"N/A")))</f>
        <v>0</v>
      </c>
      <c r="F176" s="111" t="n">
        <f aca="false">E176*Y176</f>
        <v>0</v>
      </c>
      <c r="G176" s="124" t="n">
        <f aca="false">VLOOKUP($A176,Table,MATCH(G$4,Curves,0))</f>
        <v>3</v>
      </c>
      <c r="H176" s="125" t="n">
        <f aca="false">G176+$H$7</f>
        <v>3</v>
      </c>
      <c r="I176" s="124" t="n">
        <f aca="false">H176</f>
        <v>3</v>
      </c>
      <c r="J176" s="124" t="n">
        <f aca="false">VLOOKUP($A176,Table,MATCH(J$4,Curves,0))</f>
        <v>4</v>
      </c>
      <c r="K176" s="125" t="n">
        <f aca="false">J176+$K$7</f>
        <v>4</v>
      </c>
      <c r="L176" s="126" t="n">
        <f aca="false">K176</f>
        <v>4</v>
      </c>
      <c r="M176" s="124" t="n">
        <f aca="false">VLOOKUP($A176,Table,MATCH(M$4,Curves,0))</f>
        <v>4</v>
      </c>
      <c r="N176" s="125" t="n">
        <f aca="false">M176+$N$7</f>
        <v>4</v>
      </c>
      <c r="O176" s="126" t="n">
        <v>0.25</v>
      </c>
      <c r="P176" s="114"/>
      <c r="Q176" s="126" t="n">
        <f aca="false">M176+J176+G176</f>
        <v>11</v>
      </c>
      <c r="R176" s="126" t="n">
        <f aca="false">N176+K176+H176</f>
        <v>11</v>
      </c>
      <c r="S176" s="126" t="n">
        <f aca="false">O176+L176+I176</f>
        <v>7.25</v>
      </c>
      <c r="T176" s="127"/>
      <c r="U176" s="5" t="n">
        <f aca="false">A177-A176</f>
        <v>31</v>
      </c>
      <c r="V176" s="128" t="n">
        <f aca="false">CHOOSE(F$3,A177+24,A176)</f>
        <v>42339</v>
      </c>
      <c r="W176" s="5" t="n">
        <f aca="false">V176-C$3</f>
        <v>5108</v>
      </c>
      <c r="X176" s="124" t="n">
        <f aca="false">VLOOKUP($A176,Table,MATCH(X$4,Curves,0))</f>
        <v>2</v>
      </c>
      <c r="Y176" s="129" t="n">
        <f aca="false">1/(1+CHOOSE(F$3,(X177+($K$3/10000))/2,(X176+($K$3/10000))/2))^(2*W176/365.25)</f>
        <v>3.8038733505061E-009</v>
      </c>
      <c r="Z176" s="5" t="n">
        <f aca="false">IF(AND(mthbeg&lt;=A176,mthend&gt;=A176),1,0)</f>
        <v>0</v>
      </c>
      <c r="AA176" s="5" t="n">
        <f aca="false">U176*Z176</f>
        <v>0</v>
      </c>
      <c r="AC176" s="115" t="n">
        <f aca="false">IF(G169=2,F176*(S176-Q176),F176*(Q176-S176))</f>
        <v>0</v>
      </c>
      <c r="AE176" s="116" t="n">
        <f aca="false">IF($G$3=1,F176*(R176-Q176),F176*(Q176-R176))</f>
        <v>0</v>
      </c>
      <c r="AG176" s="116" t="n">
        <f aca="false">AC176+AE176</f>
        <v>0</v>
      </c>
    </row>
    <row r="177" customFormat="false" ht="12" hidden="false" customHeight="true" outlineLevel="0" collapsed="false">
      <c r="A177" s="120" t="n">
        <f aca="false">EDATE(A176,1)</f>
        <v>42370</v>
      </c>
      <c r="B177" s="121" t="e">
        <f aca="false">VLOOKUP(A177,'Inputs-Summary'!$A$32:$E$41,4,FALSE())</f>
        <v>#N/A</v>
      </c>
      <c r="C177" s="122"/>
      <c r="D177" s="123" t="e">
        <f aca="false">B177+C177</f>
        <v>#N/A</v>
      </c>
      <c r="E177" s="111" t="n">
        <f aca="false">IF(Z177=0,0,IF(AND(Z177=1,$H$3=1),D177*U177,IF($H$3=2,D177,"N/A")))</f>
        <v>0</v>
      </c>
      <c r="F177" s="111" t="n">
        <f aca="false">E177*Y177</f>
        <v>0</v>
      </c>
      <c r="G177" s="124" t="n">
        <f aca="false">VLOOKUP($A177,Table,MATCH(G$4,Curves,0))</f>
        <v>3</v>
      </c>
      <c r="H177" s="125" t="n">
        <f aca="false">G177+$H$7</f>
        <v>3</v>
      </c>
      <c r="I177" s="124" t="n">
        <f aca="false">H177</f>
        <v>3</v>
      </c>
      <c r="J177" s="124" t="n">
        <f aca="false">VLOOKUP($A177,Table,MATCH(J$4,Curves,0))</f>
        <v>4</v>
      </c>
      <c r="K177" s="125" t="n">
        <f aca="false">J177+$K$7</f>
        <v>4</v>
      </c>
      <c r="L177" s="126" t="n">
        <f aca="false">K177</f>
        <v>4</v>
      </c>
      <c r="M177" s="124" t="n">
        <f aca="false">VLOOKUP($A177,Table,MATCH(M$4,Curves,0))</f>
        <v>4</v>
      </c>
      <c r="N177" s="125" t="n">
        <f aca="false">M177+$N$7</f>
        <v>4</v>
      </c>
      <c r="O177" s="126" t="n">
        <v>0.25</v>
      </c>
      <c r="P177" s="114"/>
      <c r="Q177" s="126" t="n">
        <f aca="false">M177+J177+G177</f>
        <v>11</v>
      </c>
      <c r="R177" s="126" t="n">
        <f aca="false">N177+K177+H177</f>
        <v>11</v>
      </c>
      <c r="S177" s="126" t="n">
        <f aca="false">O177+L177+I177</f>
        <v>7.25</v>
      </c>
      <c r="T177" s="127"/>
      <c r="U177" s="5" t="n">
        <f aca="false">A178-A177</f>
        <v>31</v>
      </c>
      <c r="V177" s="128" t="n">
        <f aca="false">CHOOSE(F$3,A178+24,A177)</f>
        <v>42370</v>
      </c>
      <c r="W177" s="5" t="n">
        <f aca="false">V177-C$3</f>
        <v>5139</v>
      </c>
      <c r="X177" s="124" t="n">
        <f aca="false">VLOOKUP($A177,Table,MATCH(X$4,Curves,0))</f>
        <v>2</v>
      </c>
      <c r="Y177" s="129" t="n">
        <f aca="false">1/(1+CHOOSE(F$3,(X178+($K$3/10000))/2,(X177+($K$3/10000))/2))^(2*W177/365.25)</f>
        <v>3.38163854961055E-009</v>
      </c>
      <c r="Z177" s="5" t="n">
        <f aca="false">IF(AND(mthbeg&lt;=A177,mthend&gt;=A177),1,0)</f>
        <v>0</v>
      </c>
      <c r="AA177" s="5" t="n">
        <f aca="false">U177*Z177</f>
        <v>0</v>
      </c>
      <c r="AC177" s="115" t="n">
        <f aca="false">IF(G170=2,F177*(S177-Q177),F177*(Q177-S177))</f>
        <v>0</v>
      </c>
      <c r="AE177" s="116" t="n">
        <f aca="false">IF($G$3=1,F177*(R177-Q177),F177*(Q177-R177))</f>
        <v>0</v>
      </c>
      <c r="AG177" s="116" t="n">
        <f aca="false">AC177+AE177</f>
        <v>0</v>
      </c>
    </row>
    <row r="178" customFormat="false" ht="12" hidden="false" customHeight="true" outlineLevel="0" collapsed="false">
      <c r="A178" s="120" t="n">
        <f aca="false">EDATE(A177,1)</f>
        <v>42401</v>
      </c>
      <c r="B178" s="121" t="e">
        <f aca="false">VLOOKUP(A178,'Inputs-Summary'!$A$32:$E$41,4,FALSE())</f>
        <v>#N/A</v>
      </c>
      <c r="C178" s="122"/>
      <c r="D178" s="123" t="e">
        <f aca="false">B178+C178</f>
        <v>#N/A</v>
      </c>
      <c r="E178" s="111" t="n">
        <f aca="false">IF(Z178=0,0,IF(AND(Z178=1,$H$3=1),D178*U178,IF($H$3=2,D178,"N/A")))</f>
        <v>0</v>
      </c>
      <c r="F178" s="111" t="n">
        <f aca="false">E178*Y178</f>
        <v>0</v>
      </c>
      <c r="G178" s="124" t="n">
        <f aca="false">VLOOKUP($A178,Table,MATCH(G$4,Curves,0))</f>
        <v>3</v>
      </c>
      <c r="H178" s="125" t="n">
        <f aca="false">G178+$H$7</f>
        <v>3</v>
      </c>
      <c r="I178" s="124" t="n">
        <f aca="false">H178</f>
        <v>3</v>
      </c>
      <c r="J178" s="124" t="n">
        <f aca="false">VLOOKUP($A178,Table,MATCH(J$4,Curves,0))</f>
        <v>4</v>
      </c>
      <c r="K178" s="125" t="n">
        <f aca="false">J178+$K$7</f>
        <v>4</v>
      </c>
      <c r="L178" s="126" t="n">
        <f aca="false">K178</f>
        <v>4</v>
      </c>
      <c r="M178" s="124" t="n">
        <f aca="false">VLOOKUP($A178,Table,MATCH(M$4,Curves,0))</f>
        <v>4</v>
      </c>
      <c r="N178" s="125" t="n">
        <f aca="false">M178+$N$7</f>
        <v>4</v>
      </c>
      <c r="O178" s="126" t="n">
        <v>0.25</v>
      </c>
      <c r="P178" s="114"/>
      <c r="Q178" s="126" t="n">
        <f aca="false">M178+J178+G178</f>
        <v>11</v>
      </c>
      <c r="R178" s="126" t="n">
        <f aca="false">N178+K178+H178</f>
        <v>11</v>
      </c>
      <c r="S178" s="126" t="n">
        <f aca="false">O178+L178+I178</f>
        <v>7.25</v>
      </c>
      <c r="T178" s="127"/>
      <c r="U178" s="5" t="n">
        <f aca="false">A179-A178</f>
        <v>29</v>
      </c>
      <c r="V178" s="128" t="n">
        <f aca="false">CHOOSE(F$3,A179+24,A178)</f>
        <v>42401</v>
      </c>
      <c r="W178" s="5" t="n">
        <f aca="false">V178-C$3</f>
        <v>5170</v>
      </c>
      <c r="X178" s="124" t="n">
        <f aca="false">VLOOKUP($A178,Table,MATCH(X$4,Curves,0))</f>
        <v>2</v>
      </c>
      <c r="Y178" s="129" t="n">
        <f aca="false">1/(1+CHOOSE(F$3,(X179+($K$3/10000))/2,(X178+($K$3/10000))/2))^(2*W178/365.25)</f>
        <v>3.00627235096844E-009</v>
      </c>
      <c r="Z178" s="5" t="n">
        <f aca="false">IF(AND(mthbeg&lt;=A178,mthend&gt;=A178),1,0)</f>
        <v>0</v>
      </c>
      <c r="AA178" s="5" t="n">
        <f aca="false">U178*Z178</f>
        <v>0</v>
      </c>
      <c r="AC178" s="115" t="n">
        <f aca="false">IF(G171=2,F178*(S178-Q178),F178*(Q178-S178))</f>
        <v>0</v>
      </c>
      <c r="AE178" s="116" t="n">
        <f aca="false">IF($G$3=1,F178*(R178-Q178),F178*(Q178-R178))</f>
        <v>0</v>
      </c>
      <c r="AG178" s="116" t="n">
        <f aca="false">AC178+AE178</f>
        <v>0</v>
      </c>
    </row>
    <row r="179" customFormat="false" ht="12" hidden="false" customHeight="true" outlineLevel="0" collapsed="false">
      <c r="A179" s="120" t="n">
        <f aca="false">EDATE(A178,1)</f>
        <v>42430</v>
      </c>
      <c r="B179" s="121" t="e">
        <f aca="false">VLOOKUP(A179,'Inputs-Summary'!$A$32:$E$41,4,FALSE())</f>
        <v>#N/A</v>
      </c>
      <c r="C179" s="122"/>
      <c r="D179" s="123" t="e">
        <f aca="false">B179+C179</f>
        <v>#N/A</v>
      </c>
      <c r="E179" s="111" t="n">
        <f aca="false">IF(Z179=0,0,IF(AND(Z179=1,$H$3=1),D179*U179,IF($H$3=2,D179,"N/A")))</f>
        <v>0</v>
      </c>
      <c r="F179" s="111" t="n">
        <f aca="false">E179*Y179</f>
        <v>0</v>
      </c>
      <c r="G179" s="124" t="n">
        <f aca="false">VLOOKUP($A179,Table,MATCH(G$4,Curves,0))</f>
        <v>3</v>
      </c>
      <c r="H179" s="125" t="n">
        <f aca="false">G179+$H$7</f>
        <v>3</v>
      </c>
      <c r="I179" s="124" t="n">
        <f aca="false">H179</f>
        <v>3</v>
      </c>
      <c r="J179" s="124" t="n">
        <f aca="false">VLOOKUP($A179,Table,MATCH(J$4,Curves,0))</f>
        <v>4</v>
      </c>
      <c r="K179" s="125" t="n">
        <f aca="false">J179+$K$7</f>
        <v>4</v>
      </c>
      <c r="L179" s="126" t="n">
        <f aca="false">K179</f>
        <v>4</v>
      </c>
      <c r="M179" s="124" t="n">
        <f aca="false">VLOOKUP($A179,Table,MATCH(M$4,Curves,0))</f>
        <v>4</v>
      </c>
      <c r="N179" s="125" t="n">
        <f aca="false">M179+$N$7</f>
        <v>4</v>
      </c>
      <c r="O179" s="126" t="n">
        <v>0.25</v>
      </c>
      <c r="P179" s="114"/>
      <c r="Q179" s="126" t="n">
        <f aca="false">M179+J179+G179</f>
        <v>11</v>
      </c>
      <c r="R179" s="126" t="n">
        <f aca="false">N179+K179+H179</f>
        <v>11</v>
      </c>
      <c r="S179" s="126" t="n">
        <f aca="false">O179+L179+I179</f>
        <v>7.25</v>
      </c>
      <c r="T179" s="127"/>
      <c r="U179" s="5" t="n">
        <f aca="false">A180-A179</f>
        <v>31</v>
      </c>
      <c r="V179" s="128" t="n">
        <f aca="false">CHOOSE(F$3,A180+24,A179)</f>
        <v>42430</v>
      </c>
      <c r="W179" s="5" t="n">
        <f aca="false">V179-C$3</f>
        <v>5199</v>
      </c>
      <c r="X179" s="124" t="n">
        <f aca="false">VLOOKUP($A179,Table,MATCH(X$4,Curves,0))</f>
        <v>2</v>
      </c>
      <c r="Y179" s="129" t="n">
        <f aca="false">1/(1+CHOOSE(F$3,(X180+($K$3/10000))/2,(X179+($K$3/10000))/2))^(2*W179/365.25)</f>
        <v>2.6929367952845E-009</v>
      </c>
      <c r="Z179" s="5" t="n">
        <f aca="false">IF(AND(mthbeg&lt;=A179,mthend&gt;=A179),1,0)</f>
        <v>0</v>
      </c>
      <c r="AA179" s="5" t="n">
        <f aca="false">U179*Z179</f>
        <v>0</v>
      </c>
      <c r="AC179" s="115" t="n">
        <f aca="false">IF(G172=2,F179*(S179-Q179),F179*(Q179-S179))</f>
        <v>0</v>
      </c>
      <c r="AE179" s="116" t="n">
        <f aca="false">IF($G$3=1,F179*(R179-Q179),F179*(Q179-R179))</f>
        <v>0</v>
      </c>
      <c r="AG179" s="116" t="n">
        <f aca="false">AC179+AE179</f>
        <v>0</v>
      </c>
    </row>
    <row r="180" customFormat="false" ht="12" hidden="false" customHeight="true" outlineLevel="0" collapsed="false">
      <c r="A180" s="120" t="n">
        <f aca="false">EDATE(A179,1)</f>
        <v>42461</v>
      </c>
      <c r="B180" s="121" t="e">
        <f aca="false">VLOOKUP(A180,'Inputs-Summary'!$A$32:$E$41,4,FALSE())</f>
        <v>#N/A</v>
      </c>
      <c r="C180" s="122"/>
      <c r="D180" s="123" t="e">
        <f aca="false">B180+C180</f>
        <v>#N/A</v>
      </c>
      <c r="E180" s="111" t="n">
        <f aca="false">IF(Z180=0,0,IF(AND(Z180=1,$H$3=1),D180*U180,IF($H$3=2,D180,"N/A")))</f>
        <v>0</v>
      </c>
      <c r="F180" s="111" t="n">
        <f aca="false">E180*Y180</f>
        <v>0</v>
      </c>
      <c r="G180" s="124" t="n">
        <f aca="false">VLOOKUP($A180,Table,MATCH(G$4,Curves,0))</f>
        <v>3</v>
      </c>
      <c r="H180" s="125" t="n">
        <f aca="false">G180+$H$7</f>
        <v>3</v>
      </c>
      <c r="I180" s="124" t="n">
        <f aca="false">H180</f>
        <v>3</v>
      </c>
      <c r="J180" s="124" t="n">
        <f aca="false">VLOOKUP($A180,Table,MATCH(J$4,Curves,0))</f>
        <v>4</v>
      </c>
      <c r="K180" s="125" t="n">
        <f aca="false">J180+$K$7</f>
        <v>4</v>
      </c>
      <c r="L180" s="126" t="n">
        <f aca="false">K180</f>
        <v>4</v>
      </c>
      <c r="M180" s="124" t="n">
        <f aca="false">VLOOKUP($A180,Table,MATCH(M$4,Curves,0))</f>
        <v>4</v>
      </c>
      <c r="N180" s="125" t="n">
        <f aca="false">M180+$N$7</f>
        <v>4</v>
      </c>
      <c r="O180" s="126" t="n">
        <v>0.25</v>
      </c>
      <c r="P180" s="114"/>
      <c r="Q180" s="126" t="n">
        <f aca="false">M180+J180+G180</f>
        <v>11</v>
      </c>
      <c r="R180" s="126" t="n">
        <f aca="false">N180+K180+H180</f>
        <v>11</v>
      </c>
      <c r="S180" s="126" t="n">
        <f aca="false">O180+L180+I180</f>
        <v>7.25</v>
      </c>
      <c r="T180" s="127"/>
      <c r="U180" s="5" t="n">
        <f aca="false">A181-A180</f>
        <v>30</v>
      </c>
      <c r="V180" s="128" t="n">
        <f aca="false">CHOOSE(F$3,A181+24,A180)</f>
        <v>42461</v>
      </c>
      <c r="W180" s="5" t="n">
        <f aca="false">V180-C$3</f>
        <v>5230</v>
      </c>
      <c r="X180" s="124" t="n">
        <f aca="false">VLOOKUP($A180,Table,MATCH(X$4,Curves,0))</f>
        <v>2</v>
      </c>
      <c r="Y180" s="129" t="n">
        <f aca="false">1/(1+CHOOSE(F$3,(X181+($K$3/10000))/2,(X180+($K$3/10000))/2))^(2*W180/365.25)</f>
        <v>2.39401737110599E-009</v>
      </c>
      <c r="Z180" s="5" t="n">
        <f aca="false">IF(AND(mthbeg&lt;=A180,mthend&gt;=A180),1,0)</f>
        <v>0</v>
      </c>
      <c r="AA180" s="5" t="n">
        <f aca="false">U180*Z180</f>
        <v>0</v>
      </c>
      <c r="AC180" s="115" t="n">
        <f aca="false">IF(G173=2,F180*(S180-Q180),F180*(Q180-S180))</f>
        <v>0</v>
      </c>
      <c r="AE180" s="116" t="n">
        <f aca="false">IF($G$3=1,F180*(R180-Q180),F180*(Q180-R180))</f>
        <v>0</v>
      </c>
      <c r="AG180" s="116" t="n">
        <f aca="false">AC180+AE180</f>
        <v>0</v>
      </c>
    </row>
    <row r="181" customFormat="false" ht="12" hidden="false" customHeight="true" outlineLevel="0" collapsed="false">
      <c r="A181" s="120" t="n">
        <f aca="false">EDATE(A180,1)</f>
        <v>42491</v>
      </c>
      <c r="B181" s="121" t="e">
        <f aca="false">VLOOKUP(A181,'Inputs-Summary'!$A$32:$E$41,4,FALSE())</f>
        <v>#N/A</v>
      </c>
      <c r="C181" s="122"/>
      <c r="D181" s="123" t="e">
        <f aca="false">B181+C181</f>
        <v>#N/A</v>
      </c>
      <c r="E181" s="111" t="n">
        <f aca="false">IF(Z181=0,0,IF(AND(Z181=1,$H$3=1),D181*U181,IF($H$3=2,D181,"N/A")))</f>
        <v>0</v>
      </c>
      <c r="F181" s="111" t="n">
        <f aca="false">E181*Y181</f>
        <v>0</v>
      </c>
      <c r="G181" s="124" t="n">
        <f aca="false">VLOOKUP($A181,Table,MATCH(G$4,Curves,0))</f>
        <v>3</v>
      </c>
      <c r="H181" s="125" t="n">
        <f aca="false">G181+$H$7</f>
        <v>3</v>
      </c>
      <c r="I181" s="124" t="n">
        <f aca="false">H181</f>
        <v>3</v>
      </c>
      <c r="J181" s="124" t="n">
        <f aca="false">VLOOKUP($A181,Table,MATCH(J$4,Curves,0))</f>
        <v>4</v>
      </c>
      <c r="K181" s="125" t="n">
        <f aca="false">J181+$K$7</f>
        <v>4</v>
      </c>
      <c r="L181" s="126" t="n">
        <f aca="false">K181</f>
        <v>4</v>
      </c>
      <c r="M181" s="124" t="n">
        <f aca="false">VLOOKUP($A181,Table,MATCH(M$4,Curves,0))</f>
        <v>4</v>
      </c>
      <c r="N181" s="125" t="n">
        <f aca="false">M181+$N$7</f>
        <v>4</v>
      </c>
      <c r="O181" s="126" t="n">
        <v>0.25</v>
      </c>
      <c r="P181" s="114"/>
      <c r="Q181" s="126" t="n">
        <f aca="false">M181+J181+G181</f>
        <v>11</v>
      </c>
      <c r="R181" s="126" t="n">
        <f aca="false">N181+K181+H181</f>
        <v>11</v>
      </c>
      <c r="S181" s="126" t="n">
        <f aca="false">O181+L181+I181</f>
        <v>7.25</v>
      </c>
      <c r="T181" s="127"/>
      <c r="U181" s="5" t="n">
        <f aca="false">A182-A181</f>
        <v>31</v>
      </c>
      <c r="V181" s="128" t="n">
        <f aca="false">CHOOSE(F$3,A182+24,A181)</f>
        <v>42491</v>
      </c>
      <c r="W181" s="5" t="n">
        <f aca="false">V181-C$3</f>
        <v>5260</v>
      </c>
      <c r="X181" s="124" t="n">
        <f aca="false">VLOOKUP($A181,Table,MATCH(X$4,Curves,0))</f>
        <v>2</v>
      </c>
      <c r="Y181" s="129" t="n">
        <f aca="false">1/(1+CHOOSE(F$3,(X182+($K$3/10000))/2,(X181+($K$3/10000))/2))^(2*W181/365.25)</f>
        <v>2.13637154439559E-009</v>
      </c>
      <c r="Z181" s="5" t="n">
        <f aca="false">IF(AND(mthbeg&lt;=A181,mthend&gt;=A181),1,0)</f>
        <v>0</v>
      </c>
      <c r="AA181" s="5" t="n">
        <f aca="false">U181*Z181</f>
        <v>0</v>
      </c>
      <c r="AC181" s="115" t="n">
        <f aca="false">IF(G174=2,F181*(S181-Q181),F181*(Q181-S181))</f>
        <v>0</v>
      </c>
      <c r="AE181" s="116" t="n">
        <f aca="false">IF($G$3=1,F181*(R181-Q181),F181*(Q181-R181))</f>
        <v>0</v>
      </c>
      <c r="AG181" s="116" t="n">
        <f aca="false">AC181+AE181</f>
        <v>0</v>
      </c>
    </row>
    <row r="182" customFormat="false" ht="12" hidden="false" customHeight="true" outlineLevel="0" collapsed="false">
      <c r="A182" s="120" t="n">
        <f aca="false">EDATE(A181,1)</f>
        <v>42522</v>
      </c>
      <c r="B182" s="121" t="e">
        <f aca="false">VLOOKUP(A182,'Inputs-Summary'!$A$32:$E$41,4,FALSE())</f>
        <v>#N/A</v>
      </c>
      <c r="C182" s="122"/>
      <c r="D182" s="123" t="e">
        <f aca="false">B182+C182</f>
        <v>#N/A</v>
      </c>
      <c r="E182" s="111" t="n">
        <f aca="false">IF(Z182=0,0,IF(AND(Z182=1,$H$3=1),D182*U182,IF($H$3=2,D182,"N/A")))</f>
        <v>0</v>
      </c>
      <c r="F182" s="111" t="n">
        <f aca="false">E182*Y182</f>
        <v>0</v>
      </c>
      <c r="G182" s="124" t="n">
        <f aca="false">VLOOKUP($A182,Table,MATCH(G$4,Curves,0))</f>
        <v>3</v>
      </c>
      <c r="H182" s="125" t="n">
        <f aca="false">G182+$H$7</f>
        <v>3</v>
      </c>
      <c r="I182" s="124" t="n">
        <f aca="false">H182</f>
        <v>3</v>
      </c>
      <c r="J182" s="124" t="n">
        <f aca="false">VLOOKUP($A182,Table,MATCH(J$4,Curves,0))</f>
        <v>4</v>
      </c>
      <c r="K182" s="125" t="n">
        <f aca="false">J182+$K$7</f>
        <v>4</v>
      </c>
      <c r="L182" s="126" t="n">
        <f aca="false">K182</f>
        <v>4</v>
      </c>
      <c r="M182" s="124" t="n">
        <f aca="false">VLOOKUP($A182,Table,MATCH(M$4,Curves,0))</f>
        <v>4</v>
      </c>
      <c r="N182" s="125" t="n">
        <f aca="false">M182+$N$7</f>
        <v>4</v>
      </c>
      <c r="O182" s="126" t="n">
        <v>0.25</v>
      </c>
      <c r="P182" s="114"/>
      <c r="Q182" s="126" t="n">
        <f aca="false">M182+J182+G182</f>
        <v>11</v>
      </c>
      <c r="R182" s="126" t="n">
        <f aca="false">N182+K182+H182</f>
        <v>11</v>
      </c>
      <c r="S182" s="126" t="n">
        <f aca="false">O182+L182+I182</f>
        <v>7.25</v>
      </c>
      <c r="T182" s="127"/>
      <c r="U182" s="5" t="n">
        <f aca="false">A183-A182</f>
        <v>30</v>
      </c>
      <c r="V182" s="128" t="n">
        <f aca="false">CHOOSE(F$3,A183+24,A182)</f>
        <v>42522</v>
      </c>
      <c r="W182" s="5" t="n">
        <f aca="false">V182-C$3</f>
        <v>5291</v>
      </c>
      <c r="X182" s="124" t="n">
        <f aca="false">VLOOKUP($A182,Table,MATCH(X$4,Curves,0))</f>
        <v>2</v>
      </c>
      <c r="Y182" s="129" t="n">
        <f aca="false">1/(1+CHOOSE(F$3,(X183+($K$3/10000))/2,(X182+($K$3/10000))/2))^(2*W182/365.25)</f>
        <v>1.89923157401073E-009</v>
      </c>
      <c r="Z182" s="5" t="n">
        <f aca="false">IF(AND(mthbeg&lt;=A182,mthend&gt;=A182),1,0)</f>
        <v>0</v>
      </c>
      <c r="AA182" s="5" t="n">
        <f aca="false">U182*Z182</f>
        <v>0</v>
      </c>
      <c r="AC182" s="115" t="n">
        <f aca="false">IF(G175=2,F182*(S182-Q182),F182*(Q182-S182))</f>
        <v>0</v>
      </c>
      <c r="AE182" s="116" t="n">
        <f aca="false">IF($G$3=1,F182*(R182-Q182),F182*(Q182-R182))</f>
        <v>0</v>
      </c>
      <c r="AG182" s="116" t="n">
        <f aca="false">AC182+AE182</f>
        <v>0</v>
      </c>
    </row>
    <row r="183" customFormat="false" ht="12" hidden="false" customHeight="true" outlineLevel="0" collapsed="false">
      <c r="A183" s="120" t="n">
        <f aca="false">EDATE(A182,1)</f>
        <v>42552</v>
      </c>
      <c r="B183" s="121" t="e">
        <f aca="false">VLOOKUP(A183,'Inputs-Summary'!$A$32:$E$41,4,FALSE())</f>
        <v>#N/A</v>
      </c>
      <c r="C183" s="122"/>
      <c r="D183" s="123" t="e">
        <f aca="false">B183+C183</f>
        <v>#N/A</v>
      </c>
      <c r="E183" s="111" t="n">
        <f aca="false">IF(Z183=0,0,IF(AND(Z183=1,$H$3=1),D183*U183,IF($H$3=2,D183,"N/A")))</f>
        <v>0</v>
      </c>
      <c r="F183" s="111" t="n">
        <f aca="false">E183*Y183</f>
        <v>0</v>
      </c>
      <c r="G183" s="124" t="n">
        <f aca="false">VLOOKUP($A183,Table,MATCH(G$4,Curves,0))</f>
        <v>3</v>
      </c>
      <c r="H183" s="125" t="n">
        <f aca="false">G183+$H$7</f>
        <v>3</v>
      </c>
      <c r="I183" s="124" t="n">
        <f aca="false">H183</f>
        <v>3</v>
      </c>
      <c r="J183" s="124" t="n">
        <f aca="false">VLOOKUP($A183,Table,MATCH(J$4,Curves,0))</f>
        <v>4</v>
      </c>
      <c r="K183" s="125" t="n">
        <f aca="false">J183+$K$7</f>
        <v>4</v>
      </c>
      <c r="L183" s="126" t="n">
        <f aca="false">K183</f>
        <v>4</v>
      </c>
      <c r="M183" s="124" t="n">
        <f aca="false">VLOOKUP($A183,Table,MATCH(M$4,Curves,0))</f>
        <v>4</v>
      </c>
      <c r="N183" s="125" t="n">
        <f aca="false">M183+$N$7</f>
        <v>4</v>
      </c>
      <c r="O183" s="126" t="n">
        <v>0.25</v>
      </c>
      <c r="P183" s="114"/>
      <c r="Q183" s="126" t="n">
        <f aca="false">M183+J183+G183</f>
        <v>11</v>
      </c>
      <c r="R183" s="126" t="n">
        <f aca="false">N183+K183+H183</f>
        <v>11</v>
      </c>
      <c r="S183" s="126" t="n">
        <f aca="false">O183+L183+I183</f>
        <v>7.25</v>
      </c>
      <c r="T183" s="127"/>
      <c r="U183" s="5" t="n">
        <f aca="false">A184-A183</f>
        <v>31</v>
      </c>
      <c r="V183" s="128" t="n">
        <f aca="false">CHOOSE(F$3,A184+24,A183)</f>
        <v>42552</v>
      </c>
      <c r="W183" s="5" t="n">
        <f aca="false">V183-C$3</f>
        <v>5321</v>
      </c>
      <c r="X183" s="124" t="n">
        <f aca="false">VLOOKUP($A183,Table,MATCH(X$4,Curves,0))</f>
        <v>2</v>
      </c>
      <c r="Y183" s="129" t="n">
        <f aca="false">1/(1+CHOOSE(F$3,(X184+($K$3/10000))/2,(X183+($K$3/10000))/2))^(2*W183/365.25)</f>
        <v>1.69483494142722E-009</v>
      </c>
      <c r="Z183" s="5" t="n">
        <f aca="false">IF(AND(mthbeg&lt;=A183,mthend&gt;=A183),1,0)</f>
        <v>0</v>
      </c>
      <c r="AA183" s="5" t="n">
        <f aca="false">U183*Z183</f>
        <v>0</v>
      </c>
      <c r="AC183" s="115" t="n">
        <f aca="false">IF(G176=2,F183*(S183-Q183),F183*(Q183-S183))</f>
        <v>0</v>
      </c>
      <c r="AE183" s="116" t="n">
        <f aca="false">IF($G$3=1,F183*(R183-Q183),F183*(Q183-R183))</f>
        <v>0</v>
      </c>
      <c r="AG183" s="116" t="n">
        <f aca="false">AC183+AE183</f>
        <v>0</v>
      </c>
    </row>
    <row r="184" customFormat="false" ht="12" hidden="false" customHeight="true" outlineLevel="0" collapsed="false">
      <c r="A184" s="120" t="n">
        <f aca="false">EDATE(A183,1)</f>
        <v>42583</v>
      </c>
      <c r="B184" s="121" t="e">
        <f aca="false">VLOOKUP(A184,'Inputs-Summary'!$A$32:$E$41,4,FALSE())</f>
        <v>#N/A</v>
      </c>
      <c r="C184" s="122"/>
      <c r="D184" s="123" t="e">
        <f aca="false">B184+C184</f>
        <v>#N/A</v>
      </c>
      <c r="E184" s="111" t="n">
        <f aca="false">IF(Z184=0,0,IF(AND(Z184=1,$H$3=1),D184*U184,IF($H$3=2,D184,"N/A")))</f>
        <v>0</v>
      </c>
      <c r="F184" s="111" t="n">
        <f aca="false">E184*Y184</f>
        <v>0</v>
      </c>
      <c r="G184" s="124" t="n">
        <f aca="false">VLOOKUP($A184,Table,MATCH(G$4,Curves,0))</f>
        <v>3</v>
      </c>
      <c r="H184" s="125" t="n">
        <f aca="false">G184+$H$7</f>
        <v>3</v>
      </c>
      <c r="I184" s="124" t="n">
        <f aca="false">H184</f>
        <v>3</v>
      </c>
      <c r="J184" s="124" t="n">
        <f aca="false">VLOOKUP($A184,Table,MATCH(J$4,Curves,0))</f>
        <v>4</v>
      </c>
      <c r="K184" s="125" t="n">
        <f aca="false">J184+$K$7</f>
        <v>4</v>
      </c>
      <c r="L184" s="126" t="n">
        <f aca="false">K184</f>
        <v>4</v>
      </c>
      <c r="M184" s="124" t="n">
        <f aca="false">VLOOKUP($A184,Table,MATCH(M$4,Curves,0))</f>
        <v>4</v>
      </c>
      <c r="N184" s="125" t="n">
        <f aca="false">M184+$N$7</f>
        <v>4</v>
      </c>
      <c r="O184" s="126" t="n">
        <v>0.25</v>
      </c>
      <c r="P184" s="114"/>
      <c r="Q184" s="126" t="n">
        <f aca="false">M184+J184+G184</f>
        <v>11</v>
      </c>
      <c r="R184" s="126" t="n">
        <f aca="false">N184+K184+H184</f>
        <v>11</v>
      </c>
      <c r="S184" s="126" t="n">
        <f aca="false">O184+L184+I184</f>
        <v>7.25</v>
      </c>
      <c r="T184" s="127"/>
      <c r="U184" s="5" t="n">
        <f aca="false">A185-A184</f>
        <v>31</v>
      </c>
      <c r="V184" s="128" t="n">
        <f aca="false">CHOOSE(F$3,A185+24,A184)</f>
        <v>42583</v>
      </c>
      <c r="W184" s="5" t="n">
        <f aca="false">V184-C$3</f>
        <v>5352</v>
      </c>
      <c r="X184" s="124" t="n">
        <f aca="false">VLOOKUP($A184,Table,MATCH(X$4,Curves,0))</f>
        <v>2</v>
      </c>
      <c r="Y184" s="129" t="n">
        <f aca="false">1/(1+CHOOSE(F$3,(X185+($K$3/10000))/2,(X184+($K$3/10000))/2))^(2*W184/365.25)</f>
        <v>1.5067060979816E-009</v>
      </c>
      <c r="Z184" s="5" t="n">
        <f aca="false">IF(AND(mthbeg&lt;=A184,mthend&gt;=A184),1,0)</f>
        <v>0</v>
      </c>
      <c r="AA184" s="5" t="n">
        <f aca="false">U184*Z184</f>
        <v>0</v>
      </c>
      <c r="AC184" s="115" t="n">
        <f aca="false">IF(G177=2,F184*(S184-Q184),F184*(Q184-S184))</f>
        <v>0</v>
      </c>
      <c r="AE184" s="116" t="n">
        <f aca="false">IF($G$3=1,F184*(R184-Q184),F184*(Q184-R184))</f>
        <v>0</v>
      </c>
      <c r="AG184" s="116" t="n">
        <f aca="false">AC184+AE184</f>
        <v>0</v>
      </c>
    </row>
    <row r="185" customFormat="false" ht="12" hidden="false" customHeight="true" outlineLevel="0" collapsed="false">
      <c r="A185" s="120" t="n">
        <f aca="false">EDATE(A184,1)</f>
        <v>42614</v>
      </c>
      <c r="B185" s="121" t="e">
        <f aca="false">VLOOKUP(A185,'Inputs-Summary'!$A$32:$E$41,4,FALSE())</f>
        <v>#N/A</v>
      </c>
      <c r="C185" s="122"/>
      <c r="D185" s="123" t="e">
        <f aca="false">B185+C185</f>
        <v>#N/A</v>
      </c>
      <c r="E185" s="111" t="n">
        <f aca="false">IF(Z185=0,0,IF(AND(Z185=1,$H$3=1),D185*U185,IF($H$3=2,D185,"N/A")))</f>
        <v>0</v>
      </c>
      <c r="F185" s="111" t="n">
        <f aca="false">E185*Y185</f>
        <v>0</v>
      </c>
      <c r="G185" s="124" t="n">
        <f aca="false">VLOOKUP($A185,Table,MATCH(G$4,Curves,0))</f>
        <v>3</v>
      </c>
      <c r="H185" s="125" t="n">
        <f aca="false">G185+$H$7</f>
        <v>3</v>
      </c>
      <c r="I185" s="124" t="n">
        <f aca="false">H185</f>
        <v>3</v>
      </c>
      <c r="J185" s="124" t="n">
        <f aca="false">VLOOKUP($A185,Table,MATCH(J$4,Curves,0))</f>
        <v>4</v>
      </c>
      <c r="K185" s="125" t="n">
        <f aca="false">J185+$K$7</f>
        <v>4</v>
      </c>
      <c r="L185" s="126" t="n">
        <f aca="false">K185</f>
        <v>4</v>
      </c>
      <c r="M185" s="124" t="n">
        <f aca="false">VLOOKUP($A185,Table,MATCH(M$4,Curves,0))</f>
        <v>4</v>
      </c>
      <c r="N185" s="125" t="n">
        <f aca="false">M185+$N$7</f>
        <v>4</v>
      </c>
      <c r="O185" s="126" t="n">
        <v>0.25</v>
      </c>
      <c r="P185" s="114"/>
      <c r="Q185" s="126" t="n">
        <f aca="false">M185+J185+G185</f>
        <v>11</v>
      </c>
      <c r="R185" s="126" t="n">
        <f aca="false">N185+K185+H185</f>
        <v>11</v>
      </c>
      <c r="S185" s="126" t="n">
        <f aca="false">O185+L185+I185</f>
        <v>7.25</v>
      </c>
      <c r="T185" s="127"/>
      <c r="U185" s="5" t="n">
        <f aca="false">A186-A185</f>
        <v>30</v>
      </c>
      <c r="V185" s="128" t="n">
        <f aca="false">CHOOSE(F$3,A186+24,A185)</f>
        <v>42614</v>
      </c>
      <c r="W185" s="5" t="n">
        <f aca="false">V185-C$3</f>
        <v>5383</v>
      </c>
      <c r="X185" s="124" t="n">
        <f aca="false">VLOOKUP($A185,Table,MATCH(X$4,Curves,0))</f>
        <v>2</v>
      </c>
      <c r="Y185" s="129" t="n">
        <f aca="false">1/(1+CHOOSE(F$3,(X186+($K$3/10000))/2,(X185+($K$3/10000))/2))^(2*W185/365.25)</f>
        <v>1.33945979647034E-009</v>
      </c>
      <c r="Z185" s="5" t="n">
        <f aca="false">IF(AND(mthbeg&lt;=A185,mthend&gt;=A185),1,0)</f>
        <v>0</v>
      </c>
      <c r="AA185" s="5" t="n">
        <f aca="false">U185*Z185</f>
        <v>0</v>
      </c>
      <c r="AC185" s="115" t="n">
        <f aca="false">IF(G178=2,F185*(S185-Q185),F185*(Q185-S185))</f>
        <v>0</v>
      </c>
      <c r="AE185" s="116" t="n">
        <f aca="false">IF($G$3=1,F185*(R185-Q185),F185*(Q185-R185))</f>
        <v>0</v>
      </c>
      <c r="AG185" s="116" t="n">
        <f aca="false">AC185+AE185</f>
        <v>0</v>
      </c>
    </row>
    <row r="186" customFormat="false" ht="12" hidden="false" customHeight="true" outlineLevel="0" collapsed="false">
      <c r="A186" s="120" t="n">
        <f aca="false">EDATE(A185,1)</f>
        <v>42644</v>
      </c>
      <c r="B186" s="121" t="e">
        <f aca="false">VLOOKUP(A186,'Inputs-Summary'!$A$32:$E$41,4,FALSE())</f>
        <v>#N/A</v>
      </c>
      <c r="C186" s="122"/>
      <c r="D186" s="123" t="e">
        <f aca="false">B186+C186</f>
        <v>#N/A</v>
      </c>
      <c r="E186" s="111" t="n">
        <f aca="false">IF(Z186=0,0,IF(AND(Z186=1,$H$3=1),D186*U186,IF($H$3=2,D186,"N/A")))</f>
        <v>0</v>
      </c>
      <c r="F186" s="111" t="n">
        <f aca="false">E186*Y186</f>
        <v>0</v>
      </c>
      <c r="G186" s="124" t="n">
        <f aca="false">VLOOKUP($A186,Table,MATCH(G$4,Curves,0))</f>
        <v>3</v>
      </c>
      <c r="H186" s="125" t="n">
        <f aca="false">G186+$H$7</f>
        <v>3</v>
      </c>
      <c r="I186" s="124" t="n">
        <f aca="false">H186</f>
        <v>3</v>
      </c>
      <c r="J186" s="124" t="n">
        <f aca="false">VLOOKUP($A186,Table,MATCH(J$4,Curves,0))</f>
        <v>4</v>
      </c>
      <c r="K186" s="125" t="n">
        <f aca="false">J186+$K$7</f>
        <v>4</v>
      </c>
      <c r="L186" s="126" t="n">
        <f aca="false">K186</f>
        <v>4</v>
      </c>
      <c r="M186" s="124" t="n">
        <f aca="false">VLOOKUP($A186,Table,MATCH(M$4,Curves,0))</f>
        <v>4</v>
      </c>
      <c r="N186" s="125" t="n">
        <f aca="false">M186+$N$7</f>
        <v>4</v>
      </c>
      <c r="O186" s="126" t="n">
        <v>0.25</v>
      </c>
      <c r="P186" s="114"/>
      <c r="Q186" s="126" t="n">
        <f aca="false">M186+J186+G186</f>
        <v>11</v>
      </c>
      <c r="R186" s="126" t="n">
        <f aca="false">N186+K186+H186</f>
        <v>11</v>
      </c>
      <c r="S186" s="126" t="n">
        <f aca="false">O186+L186+I186</f>
        <v>7.25</v>
      </c>
      <c r="T186" s="127"/>
      <c r="U186" s="5" t="n">
        <f aca="false">A187-A186</f>
        <v>31</v>
      </c>
      <c r="V186" s="128" t="n">
        <f aca="false">CHOOSE(F$3,A187+24,A186)</f>
        <v>42644</v>
      </c>
      <c r="W186" s="5" t="n">
        <f aca="false">V186-C$3</f>
        <v>5413</v>
      </c>
      <c r="X186" s="124" t="n">
        <f aca="false">VLOOKUP($A186,Table,MATCH(X$4,Curves,0))</f>
        <v>2</v>
      </c>
      <c r="Y186" s="129" t="n">
        <f aca="false">1/(1+CHOOSE(F$3,(X187+($K$3/10000))/2,(X186+($K$3/10000))/2))^(2*W186/365.25)</f>
        <v>1.19530619475796E-009</v>
      </c>
      <c r="Z186" s="5" t="n">
        <f aca="false">IF(AND(mthbeg&lt;=A186,mthend&gt;=A186),1,0)</f>
        <v>0</v>
      </c>
      <c r="AA186" s="5" t="n">
        <f aca="false">U186*Z186</f>
        <v>0</v>
      </c>
      <c r="AC186" s="115" t="n">
        <f aca="false">IF(G179=2,F186*(S186-Q186),F186*(Q186-S186))</f>
        <v>0</v>
      </c>
      <c r="AE186" s="116" t="n">
        <f aca="false">IF($G$3=1,F186*(R186-Q186),F186*(Q186-R186))</f>
        <v>0</v>
      </c>
      <c r="AG186" s="116" t="n">
        <f aca="false">AC186+AE186</f>
        <v>0</v>
      </c>
    </row>
    <row r="187" customFormat="false" ht="12" hidden="false" customHeight="true" outlineLevel="0" collapsed="false">
      <c r="A187" s="120" t="n">
        <f aca="false">EDATE(A186,1)</f>
        <v>42675</v>
      </c>
      <c r="B187" s="121" t="e">
        <f aca="false">VLOOKUP(A187,'Inputs-Summary'!$A$32:$E$41,4,FALSE())</f>
        <v>#N/A</v>
      </c>
      <c r="C187" s="122"/>
      <c r="D187" s="123" t="e">
        <f aca="false">B187+C187</f>
        <v>#N/A</v>
      </c>
      <c r="E187" s="111" t="n">
        <f aca="false">IF(Z187=0,0,IF(AND(Z187=1,$H$3=1),D187*U187,IF($H$3=2,D187,"N/A")))</f>
        <v>0</v>
      </c>
      <c r="F187" s="111" t="n">
        <f aca="false">E187*Y187</f>
        <v>0</v>
      </c>
      <c r="G187" s="124" t="n">
        <f aca="false">VLOOKUP($A187,Table,MATCH(G$4,Curves,0))</f>
        <v>3</v>
      </c>
      <c r="H187" s="125" t="n">
        <f aca="false">G187+$H$7</f>
        <v>3</v>
      </c>
      <c r="I187" s="124" t="n">
        <f aca="false">H187</f>
        <v>3</v>
      </c>
      <c r="J187" s="124" t="n">
        <f aca="false">VLOOKUP($A187,Table,MATCH(J$4,Curves,0))</f>
        <v>4</v>
      </c>
      <c r="K187" s="125" t="n">
        <f aca="false">J187+$K$7</f>
        <v>4</v>
      </c>
      <c r="L187" s="126" t="n">
        <f aca="false">K187</f>
        <v>4</v>
      </c>
      <c r="M187" s="124" t="n">
        <f aca="false">VLOOKUP($A187,Table,MATCH(M$4,Curves,0))</f>
        <v>4</v>
      </c>
      <c r="N187" s="125" t="n">
        <f aca="false">M187+$N$7</f>
        <v>4</v>
      </c>
      <c r="O187" s="126" t="n">
        <v>0.25</v>
      </c>
      <c r="P187" s="114"/>
      <c r="Q187" s="126" t="n">
        <f aca="false">M187+J187+G187</f>
        <v>11</v>
      </c>
      <c r="R187" s="126" t="n">
        <f aca="false">N187+K187+H187</f>
        <v>11</v>
      </c>
      <c r="S187" s="126" t="n">
        <f aca="false">O187+L187+I187</f>
        <v>7.25</v>
      </c>
      <c r="T187" s="127"/>
      <c r="U187" s="5" t="n">
        <f aca="false">A188-A187</f>
        <v>30</v>
      </c>
      <c r="V187" s="128" t="n">
        <f aca="false">CHOOSE(F$3,A188+24,A187)</f>
        <v>42675</v>
      </c>
      <c r="W187" s="5" t="n">
        <f aca="false">V187-C$3</f>
        <v>5444</v>
      </c>
      <c r="X187" s="124" t="n">
        <f aca="false">VLOOKUP($A187,Table,MATCH(X$4,Curves,0))</f>
        <v>2</v>
      </c>
      <c r="Y187" s="129" t="n">
        <f aca="false">1/(1+CHOOSE(F$3,(X188+($K$3/10000))/2,(X187+($K$3/10000))/2))^(2*W187/365.25)</f>
        <v>1.06262568028034E-009</v>
      </c>
      <c r="Z187" s="5" t="n">
        <f aca="false">IF(AND(mthbeg&lt;=A187,mthend&gt;=A187),1,0)</f>
        <v>0</v>
      </c>
      <c r="AA187" s="5" t="n">
        <f aca="false">U187*Z187</f>
        <v>0</v>
      </c>
      <c r="AC187" s="115" t="n">
        <f aca="false">IF(G180=2,F187*(S187-Q187),F187*(Q187-S187))</f>
        <v>0</v>
      </c>
      <c r="AE187" s="116" t="n">
        <f aca="false">IF($G$3=1,F187*(R187-Q187),F187*(Q187-R187))</f>
        <v>0</v>
      </c>
      <c r="AG187" s="116" t="n">
        <f aca="false">AC187+AE187</f>
        <v>0</v>
      </c>
    </row>
    <row r="188" customFormat="false" ht="12" hidden="false" customHeight="true" outlineLevel="0" collapsed="false">
      <c r="A188" s="120" t="n">
        <f aca="false">EDATE(A187,1)</f>
        <v>42705</v>
      </c>
      <c r="B188" s="121" t="e">
        <f aca="false">VLOOKUP(A188,'Inputs-Summary'!$A$32:$E$41,4,FALSE())</f>
        <v>#N/A</v>
      </c>
      <c r="C188" s="122"/>
      <c r="D188" s="123" t="e">
        <f aca="false">B188+C188</f>
        <v>#N/A</v>
      </c>
      <c r="E188" s="111" t="n">
        <f aca="false">IF(Z188=0,0,IF(AND(Z188=1,$H$3=1),D188*U188,IF($H$3=2,D188,"N/A")))</f>
        <v>0</v>
      </c>
      <c r="F188" s="111" t="n">
        <f aca="false">E188*Y188</f>
        <v>0</v>
      </c>
      <c r="G188" s="124" t="n">
        <f aca="false">VLOOKUP($A188,Table,MATCH(G$4,Curves,0))</f>
        <v>3</v>
      </c>
      <c r="H188" s="125" t="n">
        <f aca="false">G188+$H$7</f>
        <v>3</v>
      </c>
      <c r="I188" s="124" t="n">
        <f aca="false">H188</f>
        <v>3</v>
      </c>
      <c r="J188" s="124" t="n">
        <f aca="false">VLOOKUP($A188,Table,MATCH(J$4,Curves,0))</f>
        <v>4</v>
      </c>
      <c r="K188" s="125" t="n">
        <f aca="false">J188+$K$7</f>
        <v>4</v>
      </c>
      <c r="L188" s="126" t="n">
        <f aca="false">K188</f>
        <v>4</v>
      </c>
      <c r="M188" s="124" t="n">
        <f aca="false">VLOOKUP($A188,Table,MATCH(M$4,Curves,0))</f>
        <v>4</v>
      </c>
      <c r="N188" s="125" t="n">
        <f aca="false">M188+$N$7</f>
        <v>4</v>
      </c>
      <c r="O188" s="126" t="n">
        <v>0.25</v>
      </c>
      <c r="P188" s="114"/>
      <c r="Q188" s="126" t="n">
        <f aca="false">M188+J188+G188</f>
        <v>11</v>
      </c>
      <c r="R188" s="126" t="n">
        <f aca="false">N188+K188+H188</f>
        <v>11</v>
      </c>
      <c r="S188" s="126" t="n">
        <f aca="false">O188+L188+I188</f>
        <v>7.25</v>
      </c>
      <c r="T188" s="127"/>
      <c r="U188" s="5" t="n">
        <f aca="false">A189-A188</f>
        <v>31</v>
      </c>
      <c r="V188" s="128" t="n">
        <f aca="false">CHOOSE(F$3,A189+24,A188)</f>
        <v>42705</v>
      </c>
      <c r="W188" s="5" t="n">
        <f aca="false">V188-C$3</f>
        <v>5474</v>
      </c>
      <c r="X188" s="124" t="n">
        <f aca="false">VLOOKUP($A188,Table,MATCH(X$4,Curves,0))</f>
        <v>2</v>
      </c>
      <c r="Y188" s="129" t="n">
        <f aca="false">1/(1+CHOOSE(F$3,(X189+($K$3/10000))/2,(X188+($K$3/10000))/2))^(2*W188/365.25)</f>
        <v>9.48265160100388E-010</v>
      </c>
      <c r="Z188" s="5" t="n">
        <f aca="false">IF(AND(mthbeg&lt;=A188,mthend&gt;=A188),1,0)</f>
        <v>0</v>
      </c>
      <c r="AA188" s="5" t="n">
        <f aca="false">U188*Z188</f>
        <v>0</v>
      </c>
      <c r="AC188" s="115" t="n">
        <f aca="false">IF(G181=2,F188*(S188-Q188),F188*(Q188-S188))</f>
        <v>0</v>
      </c>
      <c r="AE188" s="116" t="n">
        <f aca="false">IF($G$3=1,F188*(R188-Q188),F188*(Q188-R188))</f>
        <v>0</v>
      </c>
      <c r="AG188" s="116" t="n">
        <f aca="false">AC188+AE188</f>
        <v>0</v>
      </c>
    </row>
    <row r="189" customFormat="false" ht="12" hidden="false" customHeight="true" outlineLevel="0" collapsed="false">
      <c r="A189" s="120" t="n">
        <f aca="false">EDATE(A188,1)</f>
        <v>42736</v>
      </c>
      <c r="B189" s="121" t="e">
        <f aca="false">VLOOKUP(A189,'Inputs-Summary'!$A$32:$E$41,4,FALSE())</f>
        <v>#N/A</v>
      </c>
      <c r="C189" s="122"/>
      <c r="D189" s="123" t="e">
        <f aca="false">B189+C189</f>
        <v>#N/A</v>
      </c>
      <c r="E189" s="111" t="n">
        <f aca="false">IF(Z189=0,0,IF(AND(Z189=1,$H$3=1),D189*U189,IF($H$3=2,D189,"N/A")))</f>
        <v>0</v>
      </c>
      <c r="F189" s="111" t="n">
        <f aca="false">E189*Y189</f>
        <v>0</v>
      </c>
      <c r="G189" s="124" t="n">
        <f aca="false">VLOOKUP($A189,Table,MATCH(G$4,Curves,0))</f>
        <v>3</v>
      </c>
      <c r="H189" s="125" t="n">
        <f aca="false">G189+$H$7</f>
        <v>3</v>
      </c>
      <c r="I189" s="124" t="n">
        <f aca="false">H189</f>
        <v>3</v>
      </c>
      <c r="J189" s="124" t="n">
        <f aca="false">VLOOKUP($A189,Table,MATCH(J$4,Curves,0))</f>
        <v>4</v>
      </c>
      <c r="K189" s="125" t="n">
        <f aca="false">J189+$K$7</f>
        <v>4</v>
      </c>
      <c r="L189" s="126" t="n">
        <f aca="false">K189</f>
        <v>4</v>
      </c>
      <c r="M189" s="124" t="n">
        <f aca="false">VLOOKUP($A189,Table,MATCH(M$4,Curves,0))</f>
        <v>4</v>
      </c>
      <c r="N189" s="125" t="n">
        <f aca="false">M189+$N$7</f>
        <v>4</v>
      </c>
      <c r="O189" s="126" t="n">
        <v>0.25</v>
      </c>
      <c r="P189" s="114"/>
      <c r="Q189" s="126" t="n">
        <f aca="false">M189+J189+G189</f>
        <v>11</v>
      </c>
      <c r="R189" s="126" t="n">
        <f aca="false">N189+K189+H189</f>
        <v>11</v>
      </c>
      <c r="S189" s="126" t="n">
        <f aca="false">O189+L189+I189</f>
        <v>7.25</v>
      </c>
      <c r="T189" s="127"/>
      <c r="U189" s="5" t="n">
        <f aca="false">A190-A189</f>
        <v>31</v>
      </c>
      <c r="V189" s="128" t="n">
        <f aca="false">CHOOSE(F$3,A190+24,A189)</f>
        <v>42736</v>
      </c>
      <c r="W189" s="5" t="n">
        <f aca="false">V189-C$3</f>
        <v>5505</v>
      </c>
      <c r="X189" s="124" t="n">
        <f aca="false">VLOOKUP($A189,Table,MATCH(X$4,Curves,0))</f>
        <v>2</v>
      </c>
      <c r="Y189" s="129" t="n">
        <f aca="false">1/(1+CHOOSE(F$3,(X190+($K$3/10000))/2,(X189+($K$3/10000))/2))^(2*W189/365.25)</f>
        <v>8.43006516034885E-010</v>
      </c>
      <c r="Z189" s="5" t="n">
        <f aca="false">IF(AND(mthbeg&lt;=A189,mthend&gt;=A189),1,0)</f>
        <v>0</v>
      </c>
      <c r="AA189" s="5" t="n">
        <f aca="false">U189*Z189</f>
        <v>0</v>
      </c>
      <c r="AC189" s="115" t="n">
        <f aca="false">IF(G182=2,F189*(S189-Q189),F189*(Q189-S189))</f>
        <v>0</v>
      </c>
      <c r="AE189" s="116" t="n">
        <f aca="false">IF($G$3=1,F189*(R189-Q189),F189*(Q189-R189))</f>
        <v>0</v>
      </c>
      <c r="AG189" s="116" t="n">
        <f aca="false">AC189+AE189</f>
        <v>0</v>
      </c>
    </row>
    <row r="190" customFormat="false" ht="12" hidden="false" customHeight="true" outlineLevel="0" collapsed="false">
      <c r="A190" s="120" t="n">
        <f aca="false">EDATE(A189,1)</f>
        <v>42767</v>
      </c>
      <c r="B190" s="121" t="e">
        <f aca="false">VLOOKUP(A190,'Inputs-Summary'!$A$32:$E$41,4,FALSE())</f>
        <v>#N/A</v>
      </c>
      <c r="C190" s="122"/>
      <c r="D190" s="123" t="e">
        <f aca="false">B190+C190</f>
        <v>#N/A</v>
      </c>
      <c r="E190" s="111" t="n">
        <f aca="false">IF(Z190=0,0,IF(AND(Z190=1,$H$3=1),D190*U190,IF($H$3=2,D190,"N/A")))</f>
        <v>0</v>
      </c>
      <c r="F190" s="111" t="n">
        <f aca="false">E190*Y190</f>
        <v>0</v>
      </c>
      <c r="G190" s="124" t="n">
        <f aca="false">VLOOKUP($A190,Table,MATCH(G$4,Curves,0))</f>
        <v>3</v>
      </c>
      <c r="H190" s="125" t="n">
        <f aca="false">G190+$H$7</f>
        <v>3</v>
      </c>
      <c r="I190" s="124" t="n">
        <f aca="false">H190</f>
        <v>3</v>
      </c>
      <c r="J190" s="124" t="n">
        <f aca="false">VLOOKUP($A190,Table,MATCH(J$4,Curves,0))</f>
        <v>4</v>
      </c>
      <c r="K190" s="125" t="n">
        <f aca="false">J190+$K$7</f>
        <v>4</v>
      </c>
      <c r="L190" s="126" t="n">
        <f aca="false">K190</f>
        <v>4</v>
      </c>
      <c r="M190" s="124" t="n">
        <f aca="false">VLOOKUP($A190,Table,MATCH(M$4,Curves,0))</f>
        <v>4</v>
      </c>
      <c r="N190" s="125" t="n">
        <f aca="false">M190+$N$7</f>
        <v>4</v>
      </c>
      <c r="O190" s="126" t="n">
        <v>0.25</v>
      </c>
      <c r="P190" s="114"/>
      <c r="Q190" s="126" t="n">
        <f aca="false">M190+J190+G190</f>
        <v>11</v>
      </c>
      <c r="R190" s="126" t="n">
        <f aca="false">N190+K190+H190</f>
        <v>11</v>
      </c>
      <c r="S190" s="126" t="n">
        <f aca="false">O190+L190+I190</f>
        <v>7.25</v>
      </c>
      <c r="T190" s="127"/>
      <c r="U190" s="5" t="n">
        <f aca="false">A191-A190</f>
        <v>28</v>
      </c>
      <c r="V190" s="128" t="n">
        <f aca="false">CHOOSE(F$3,A191+24,A190)</f>
        <v>42767</v>
      </c>
      <c r="W190" s="5" t="n">
        <f aca="false">V190-C$3</f>
        <v>5536</v>
      </c>
      <c r="X190" s="124" t="n">
        <f aca="false">VLOOKUP($A190,Table,MATCH(X$4,Curves,0))</f>
        <v>2</v>
      </c>
      <c r="Y190" s="129" t="n">
        <f aca="false">1/(1+CHOOSE(F$3,(X191+($K$3/10000))/2,(X190+($K$3/10000))/2))^(2*W190/365.25)</f>
        <v>7.49431715915874E-010</v>
      </c>
      <c r="Z190" s="5" t="n">
        <f aca="false">IF(AND(mthbeg&lt;=A190,mthend&gt;=A190),1,0)</f>
        <v>0</v>
      </c>
      <c r="AA190" s="5" t="n">
        <f aca="false">U190*Z190</f>
        <v>0</v>
      </c>
      <c r="AC190" s="115" t="n">
        <f aca="false">IF(G183=2,F190*(S190-Q190),F190*(Q190-S190))</f>
        <v>0</v>
      </c>
      <c r="AE190" s="116" t="n">
        <f aca="false">IF($G$3=1,F190*(R190-Q190),F190*(Q190-R190))</f>
        <v>0</v>
      </c>
      <c r="AG190" s="116" t="n">
        <f aca="false">AC190+AE190</f>
        <v>0</v>
      </c>
    </row>
    <row r="191" customFormat="false" ht="12" hidden="false" customHeight="true" outlineLevel="0" collapsed="false">
      <c r="A191" s="120" t="n">
        <f aca="false">EDATE(A190,1)</f>
        <v>42795</v>
      </c>
      <c r="B191" s="121" t="e">
        <f aca="false">VLOOKUP(A191,'Inputs-Summary'!$A$32:$E$41,4,FALSE())</f>
        <v>#N/A</v>
      </c>
      <c r="C191" s="122"/>
      <c r="D191" s="123" t="e">
        <f aca="false">B191+C191</f>
        <v>#N/A</v>
      </c>
      <c r="E191" s="111" t="n">
        <f aca="false">IF(Z191=0,0,IF(AND(Z191=1,$H$3=1),D191*U191,IF($H$3=2,D191,"N/A")))</f>
        <v>0</v>
      </c>
      <c r="F191" s="111" t="n">
        <f aca="false">E191*Y191</f>
        <v>0</v>
      </c>
      <c r="G191" s="124" t="n">
        <f aca="false">VLOOKUP($A191,Table,MATCH(G$4,Curves,0))</f>
        <v>3</v>
      </c>
      <c r="H191" s="125" t="n">
        <f aca="false">G191+$H$7</f>
        <v>3</v>
      </c>
      <c r="I191" s="124" t="n">
        <f aca="false">H191</f>
        <v>3</v>
      </c>
      <c r="J191" s="124" t="n">
        <f aca="false">VLOOKUP($A191,Table,MATCH(J$4,Curves,0))</f>
        <v>4</v>
      </c>
      <c r="K191" s="125" t="n">
        <f aca="false">J191+$K$7</f>
        <v>4</v>
      </c>
      <c r="L191" s="126" t="n">
        <f aca="false">K191</f>
        <v>4</v>
      </c>
      <c r="M191" s="124" t="n">
        <f aca="false">VLOOKUP($A191,Table,MATCH(M$4,Curves,0))</f>
        <v>4</v>
      </c>
      <c r="N191" s="125" t="n">
        <f aca="false">M191+$N$7</f>
        <v>4</v>
      </c>
      <c r="O191" s="126" t="n">
        <v>0.25</v>
      </c>
      <c r="P191" s="114"/>
      <c r="Q191" s="126" t="n">
        <f aca="false">M191+J191+G191</f>
        <v>11</v>
      </c>
      <c r="R191" s="126" t="n">
        <f aca="false">N191+K191+H191</f>
        <v>11</v>
      </c>
      <c r="S191" s="126" t="n">
        <f aca="false">O191+L191+I191</f>
        <v>7.25</v>
      </c>
      <c r="T191" s="127"/>
      <c r="U191" s="5" t="n">
        <f aca="false">A192-A191</f>
        <v>31</v>
      </c>
      <c r="V191" s="128" t="n">
        <f aca="false">CHOOSE(F$3,A192+24,A191)</f>
        <v>42795</v>
      </c>
      <c r="W191" s="5" t="n">
        <f aca="false">V191-C$3</f>
        <v>5564</v>
      </c>
      <c r="X191" s="124" t="n">
        <f aca="false">VLOOKUP($A191,Table,MATCH(X$4,Curves,0))</f>
        <v>2</v>
      </c>
      <c r="Y191" s="129" t="n">
        <f aca="false">1/(1+CHOOSE(F$3,(X192+($K$3/10000))/2,(X191+($K$3/10000))/2))^(2*W191/365.25)</f>
        <v>6.73873311553957E-010</v>
      </c>
      <c r="Z191" s="5" t="n">
        <f aca="false">IF(AND(mthbeg&lt;=A191,mthend&gt;=A191),1,0)</f>
        <v>0</v>
      </c>
      <c r="AA191" s="5" t="n">
        <f aca="false">U191*Z191</f>
        <v>0</v>
      </c>
      <c r="AC191" s="115" t="n">
        <f aca="false">IF(G184=2,F191*(S191-Q191),F191*(Q191-S191))</f>
        <v>0</v>
      </c>
      <c r="AE191" s="116" t="n">
        <f aca="false">IF($G$3=1,F191*(R191-Q191),F191*(Q191-R191))</f>
        <v>0</v>
      </c>
      <c r="AG191" s="116" t="n">
        <f aca="false">AC191+AE191</f>
        <v>0</v>
      </c>
    </row>
    <row r="192" customFormat="false" ht="12" hidden="false" customHeight="true" outlineLevel="0" collapsed="false">
      <c r="A192" s="120" t="n">
        <f aca="false">EDATE(A191,1)</f>
        <v>42826</v>
      </c>
      <c r="B192" s="121" t="e">
        <f aca="false">VLOOKUP(A192,'Inputs-Summary'!$A$32:$E$41,4,FALSE())</f>
        <v>#N/A</v>
      </c>
      <c r="C192" s="122"/>
      <c r="D192" s="123" t="e">
        <f aca="false">B192+C192</f>
        <v>#N/A</v>
      </c>
      <c r="E192" s="111" t="n">
        <f aca="false">IF(Z192=0,0,IF(AND(Z192=1,$H$3=1),D192*U192,IF($H$3=2,D192,"N/A")))</f>
        <v>0</v>
      </c>
      <c r="F192" s="111" t="n">
        <f aca="false">E192*Y192</f>
        <v>0</v>
      </c>
      <c r="G192" s="124" t="n">
        <f aca="false">VLOOKUP($A192,Table,MATCH(G$4,Curves,0))</f>
        <v>3</v>
      </c>
      <c r="H192" s="125" t="n">
        <f aca="false">G192+$H$7</f>
        <v>3</v>
      </c>
      <c r="I192" s="124" t="n">
        <f aca="false">H192</f>
        <v>3</v>
      </c>
      <c r="J192" s="124" t="n">
        <f aca="false">VLOOKUP($A192,Table,MATCH(J$4,Curves,0))</f>
        <v>4</v>
      </c>
      <c r="K192" s="125" t="n">
        <f aca="false">J192+$K$7</f>
        <v>4</v>
      </c>
      <c r="L192" s="126" t="n">
        <f aca="false">K192</f>
        <v>4</v>
      </c>
      <c r="M192" s="124" t="n">
        <f aca="false">VLOOKUP($A192,Table,MATCH(M$4,Curves,0))</f>
        <v>4</v>
      </c>
      <c r="N192" s="125" t="n">
        <f aca="false">M192+$N$7</f>
        <v>4</v>
      </c>
      <c r="O192" s="126" t="n">
        <v>0.25</v>
      </c>
      <c r="P192" s="114"/>
      <c r="Q192" s="126" t="n">
        <f aca="false">M192+J192+G192</f>
        <v>11</v>
      </c>
      <c r="R192" s="126" t="n">
        <f aca="false">N192+K192+H192</f>
        <v>11</v>
      </c>
      <c r="S192" s="126" t="n">
        <f aca="false">O192+L192+I192</f>
        <v>7.25</v>
      </c>
      <c r="T192" s="127"/>
      <c r="U192" s="5" t="n">
        <f aca="false">A193-A192</f>
        <v>30</v>
      </c>
      <c r="V192" s="128" t="n">
        <f aca="false">CHOOSE(F$3,A193+24,A192)</f>
        <v>42826</v>
      </c>
      <c r="W192" s="5" t="n">
        <f aca="false">V192-C$3</f>
        <v>5595</v>
      </c>
      <c r="X192" s="124" t="n">
        <f aca="false">VLOOKUP($A192,Table,MATCH(X$4,Curves,0))</f>
        <v>2</v>
      </c>
      <c r="Y192" s="129" t="n">
        <f aca="false">1/(1+CHOOSE(F$3,(X193+($K$3/10000))/2,(X192+($K$3/10000))/2))^(2*W192/365.25)</f>
        <v>5.99072513179596E-010</v>
      </c>
      <c r="Z192" s="5" t="n">
        <f aca="false">IF(AND(mthbeg&lt;=A192,mthend&gt;=A192),1,0)</f>
        <v>0</v>
      </c>
      <c r="AA192" s="5" t="n">
        <f aca="false">U192*Z192</f>
        <v>0</v>
      </c>
      <c r="AC192" s="115" t="n">
        <f aca="false">IF(G185=2,F192*(S192-Q192),F192*(Q192-S192))</f>
        <v>0</v>
      </c>
      <c r="AE192" s="116" t="n">
        <f aca="false">IF($G$3=1,F192*(R192-Q192),F192*(Q192-R192))</f>
        <v>0</v>
      </c>
      <c r="AG192" s="116" t="n">
        <f aca="false">AC192+AE192</f>
        <v>0</v>
      </c>
    </row>
    <row r="193" customFormat="false" ht="12" hidden="false" customHeight="true" outlineLevel="0" collapsed="false">
      <c r="A193" s="120" t="n">
        <f aca="false">EDATE(A192,1)</f>
        <v>42856</v>
      </c>
      <c r="B193" s="121" t="e">
        <f aca="false">VLOOKUP(A193,'Inputs-Summary'!$A$32:$E$41,4,FALSE())</f>
        <v>#N/A</v>
      </c>
      <c r="C193" s="122"/>
      <c r="D193" s="123" t="e">
        <f aca="false">B193+C193</f>
        <v>#N/A</v>
      </c>
      <c r="E193" s="111" t="n">
        <f aca="false">IF(Z193=0,0,IF(AND(Z193=1,$H$3=1),D193*U193,IF($H$3=2,D193,"N/A")))</f>
        <v>0</v>
      </c>
      <c r="F193" s="111" t="n">
        <f aca="false">E193*Y193</f>
        <v>0</v>
      </c>
      <c r="G193" s="124" t="n">
        <f aca="false">VLOOKUP($A193,Table,MATCH(G$4,Curves,0))</f>
        <v>3</v>
      </c>
      <c r="H193" s="125" t="n">
        <f aca="false">G193+$H$7</f>
        <v>3</v>
      </c>
      <c r="I193" s="124" t="n">
        <f aca="false">H193</f>
        <v>3</v>
      </c>
      <c r="J193" s="124" t="n">
        <f aca="false">VLOOKUP($A193,Table,MATCH(J$4,Curves,0))</f>
        <v>4</v>
      </c>
      <c r="K193" s="125" t="n">
        <f aca="false">J193+$K$7</f>
        <v>4</v>
      </c>
      <c r="L193" s="126" t="n">
        <f aca="false">K193</f>
        <v>4</v>
      </c>
      <c r="M193" s="124" t="n">
        <f aca="false">VLOOKUP($A193,Table,MATCH(M$4,Curves,0))</f>
        <v>4</v>
      </c>
      <c r="N193" s="125" t="n">
        <f aca="false">M193+$N$7</f>
        <v>4</v>
      </c>
      <c r="O193" s="126" t="n">
        <v>0.25</v>
      </c>
      <c r="P193" s="114"/>
      <c r="Q193" s="126" t="n">
        <f aca="false">M193+J193+G193</f>
        <v>11</v>
      </c>
      <c r="R193" s="126" t="n">
        <f aca="false">N193+K193+H193</f>
        <v>11</v>
      </c>
      <c r="S193" s="126" t="n">
        <f aca="false">O193+L193+I193</f>
        <v>7.25</v>
      </c>
      <c r="T193" s="127"/>
      <c r="U193" s="5" t="n">
        <f aca="false">A194-A193</f>
        <v>31</v>
      </c>
      <c r="V193" s="128" t="n">
        <f aca="false">CHOOSE(F$3,A194+24,A193)</f>
        <v>42856</v>
      </c>
      <c r="W193" s="5" t="n">
        <f aca="false">V193-C$3</f>
        <v>5625</v>
      </c>
      <c r="X193" s="124" t="n">
        <f aca="false">VLOOKUP($A193,Table,MATCH(X$4,Curves,0))</f>
        <v>2</v>
      </c>
      <c r="Y193" s="129" t="n">
        <f aca="false">1/(1+CHOOSE(F$3,(X194+($K$3/10000))/2,(X193+($K$3/10000))/2))^(2*W193/365.25)</f>
        <v>5.3459990960516E-010</v>
      </c>
      <c r="Z193" s="5" t="n">
        <f aca="false">IF(AND(mthbeg&lt;=A193,mthend&gt;=A193),1,0)</f>
        <v>0</v>
      </c>
      <c r="AA193" s="5" t="n">
        <f aca="false">U193*Z193</f>
        <v>0</v>
      </c>
      <c r="AC193" s="115" t="n">
        <f aca="false">IF(G186=2,F193*(S193-Q193),F193*(Q193-S193))</f>
        <v>0</v>
      </c>
      <c r="AE193" s="116" t="n">
        <f aca="false">IF($G$3=1,F193*(R193-Q193),F193*(Q193-R193))</f>
        <v>0</v>
      </c>
      <c r="AG193" s="116" t="n">
        <f aca="false">AC193+AE193</f>
        <v>0</v>
      </c>
    </row>
    <row r="194" customFormat="false" ht="12" hidden="false" customHeight="true" outlineLevel="0" collapsed="false">
      <c r="A194" s="120" t="n">
        <f aca="false">EDATE(A193,1)</f>
        <v>42887</v>
      </c>
      <c r="B194" s="121" t="e">
        <f aca="false">VLOOKUP(A194,'Inputs-Summary'!$A$32:$E$41,4,FALSE())</f>
        <v>#N/A</v>
      </c>
      <c r="C194" s="122"/>
      <c r="D194" s="123" t="e">
        <f aca="false">B194+C194</f>
        <v>#N/A</v>
      </c>
      <c r="E194" s="111" t="n">
        <f aca="false">IF(Z194=0,0,IF(AND(Z194=1,$H$3=1),D194*U194,IF($H$3=2,D194,"N/A")))</f>
        <v>0</v>
      </c>
      <c r="F194" s="111" t="n">
        <f aca="false">E194*Y194</f>
        <v>0</v>
      </c>
      <c r="G194" s="124" t="n">
        <f aca="false">VLOOKUP($A194,Table,MATCH(G$4,Curves,0))</f>
        <v>3</v>
      </c>
      <c r="H194" s="125" t="n">
        <f aca="false">G194+$H$7</f>
        <v>3</v>
      </c>
      <c r="I194" s="124" t="n">
        <f aca="false">H194</f>
        <v>3</v>
      </c>
      <c r="J194" s="124" t="n">
        <f aca="false">VLOOKUP($A194,Table,MATCH(J$4,Curves,0))</f>
        <v>4</v>
      </c>
      <c r="K194" s="125" t="n">
        <f aca="false">J194+$K$7</f>
        <v>4</v>
      </c>
      <c r="L194" s="126" t="n">
        <f aca="false">K194</f>
        <v>4</v>
      </c>
      <c r="M194" s="124" t="n">
        <f aca="false">VLOOKUP($A194,Table,MATCH(M$4,Curves,0))</f>
        <v>4</v>
      </c>
      <c r="N194" s="125" t="n">
        <f aca="false">M194+$N$7</f>
        <v>4</v>
      </c>
      <c r="O194" s="126" t="n">
        <v>0.25</v>
      </c>
      <c r="P194" s="114"/>
      <c r="Q194" s="126" t="n">
        <f aca="false">M194+J194+G194</f>
        <v>11</v>
      </c>
      <c r="R194" s="126" t="n">
        <f aca="false">N194+K194+H194</f>
        <v>11</v>
      </c>
      <c r="S194" s="126" t="n">
        <f aca="false">O194+L194+I194</f>
        <v>7.25</v>
      </c>
      <c r="T194" s="127"/>
      <c r="U194" s="5" t="n">
        <f aca="false">A195-A194</f>
        <v>30</v>
      </c>
      <c r="V194" s="128" t="n">
        <f aca="false">CHOOSE(F$3,A195+24,A194)</f>
        <v>42887</v>
      </c>
      <c r="W194" s="5" t="n">
        <f aca="false">V194-C$3</f>
        <v>5656</v>
      </c>
      <c r="X194" s="124" t="n">
        <f aca="false">VLOOKUP($A194,Table,MATCH(X$4,Curves,0))</f>
        <v>2</v>
      </c>
      <c r="Y194" s="129" t="n">
        <f aca="false">1/(1+CHOOSE(F$3,(X195+($K$3/10000))/2,(X194+($K$3/10000))/2))^(2*W194/365.25)</f>
        <v>4.75258636752088E-010</v>
      </c>
      <c r="Z194" s="5" t="n">
        <f aca="false">IF(AND(mthbeg&lt;=A194,mthend&gt;=A194),1,0)</f>
        <v>0</v>
      </c>
      <c r="AA194" s="5" t="n">
        <f aca="false">U194*Z194</f>
        <v>0</v>
      </c>
      <c r="AC194" s="115" t="n">
        <f aca="false">IF(G187=2,F194*(S194-Q194),F194*(Q194-S194))</f>
        <v>0</v>
      </c>
      <c r="AE194" s="116" t="n">
        <f aca="false">IF($G$3=1,F194*(R194-Q194),F194*(Q194-R194))</f>
        <v>0</v>
      </c>
      <c r="AG194" s="116" t="n">
        <f aca="false">AC194+AE194</f>
        <v>0</v>
      </c>
    </row>
    <row r="195" customFormat="false" ht="12" hidden="false" customHeight="true" outlineLevel="0" collapsed="false">
      <c r="A195" s="120" t="n">
        <f aca="false">EDATE(A194,1)</f>
        <v>42917</v>
      </c>
      <c r="B195" s="121" t="e">
        <f aca="false">VLOOKUP(A195,'Inputs-Summary'!$A$32:$E$41,4,FALSE())</f>
        <v>#N/A</v>
      </c>
      <c r="C195" s="122"/>
      <c r="D195" s="123" t="e">
        <f aca="false">B195+C195</f>
        <v>#N/A</v>
      </c>
      <c r="E195" s="111" t="n">
        <f aca="false">IF(Z195=0,0,IF(AND(Z195=1,$H$3=1),D195*U195,IF($H$3=2,D195,"N/A")))</f>
        <v>0</v>
      </c>
      <c r="F195" s="111" t="n">
        <f aca="false">E195*Y195</f>
        <v>0</v>
      </c>
      <c r="G195" s="124" t="n">
        <f aca="false">VLOOKUP($A195,Table,MATCH(G$4,Curves,0))</f>
        <v>3</v>
      </c>
      <c r="H195" s="125" t="n">
        <f aca="false">G195+$H$7</f>
        <v>3</v>
      </c>
      <c r="I195" s="124" t="n">
        <f aca="false">H195</f>
        <v>3</v>
      </c>
      <c r="J195" s="124" t="n">
        <f aca="false">VLOOKUP($A195,Table,MATCH(J$4,Curves,0))</f>
        <v>4</v>
      </c>
      <c r="K195" s="125" t="n">
        <f aca="false">J195+$K$7</f>
        <v>4</v>
      </c>
      <c r="L195" s="126" t="n">
        <f aca="false">K195</f>
        <v>4</v>
      </c>
      <c r="M195" s="124" t="n">
        <f aca="false">VLOOKUP($A195,Table,MATCH(M$4,Curves,0))</f>
        <v>4</v>
      </c>
      <c r="N195" s="125" t="n">
        <f aca="false">M195+$N$7</f>
        <v>4</v>
      </c>
      <c r="O195" s="126" t="n">
        <v>0.25</v>
      </c>
      <c r="P195" s="114"/>
      <c r="Q195" s="126" t="n">
        <f aca="false">M195+J195+G195</f>
        <v>11</v>
      </c>
      <c r="R195" s="126" t="n">
        <f aca="false">N195+K195+H195</f>
        <v>11</v>
      </c>
      <c r="S195" s="126" t="n">
        <f aca="false">O195+L195+I195</f>
        <v>7.25</v>
      </c>
      <c r="T195" s="127"/>
      <c r="U195" s="5" t="n">
        <f aca="false">A196-A195</f>
        <v>31</v>
      </c>
      <c r="V195" s="128" t="n">
        <f aca="false">CHOOSE(F$3,A196+24,A195)</f>
        <v>42917</v>
      </c>
      <c r="W195" s="5" t="n">
        <f aca="false">V195-C$3</f>
        <v>5686</v>
      </c>
      <c r="X195" s="124" t="n">
        <f aca="false">VLOOKUP($A195,Table,MATCH(X$4,Curves,0))</f>
        <v>2</v>
      </c>
      <c r="Y195" s="129" t="n">
        <f aca="false">1/(1+CHOOSE(F$3,(X196+($K$3/10000))/2,(X195+($K$3/10000))/2))^(2*W195/365.25)</f>
        <v>4.24110969301922E-010</v>
      </c>
      <c r="Z195" s="5" t="n">
        <f aca="false">IF(AND(mthbeg&lt;=A195,mthend&gt;=A195),1,0)</f>
        <v>0</v>
      </c>
      <c r="AA195" s="5" t="n">
        <f aca="false">U195*Z195</f>
        <v>0</v>
      </c>
      <c r="AC195" s="115" t="n">
        <f aca="false">IF(G188=2,F195*(S195-Q195),F195*(Q195-S195))</f>
        <v>0</v>
      </c>
      <c r="AE195" s="116" t="n">
        <f aca="false">IF($G$3=1,F195*(R195-Q195),F195*(Q195-R195))</f>
        <v>0</v>
      </c>
      <c r="AG195" s="116" t="n">
        <f aca="false">AC195+AE195</f>
        <v>0</v>
      </c>
    </row>
    <row r="196" customFormat="false" ht="12" hidden="false" customHeight="true" outlineLevel="0" collapsed="false">
      <c r="A196" s="120" t="n">
        <f aca="false">EDATE(A195,1)</f>
        <v>42948</v>
      </c>
      <c r="B196" s="121" t="e">
        <f aca="false">VLOOKUP(A196,'Inputs-Summary'!$A$32:$E$41,4,FALSE())</f>
        <v>#N/A</v>
      </c>
      <c r="C196" s="122"/>
      <c r="D196" s="123" t="e">
        <f aca="false">B196+C196</f>
        <v>#N/A</v>
      </c>
      <c r="E196" s="111" t="n">
        <f aca="false">IF(Z196=0,0,IF(AND(Z196=1,$H$3=1),D196*U196,IF($H$3=2,D196,"N/A")))</f>
        <v>0</v>
      </c>
      <c r="F196" s="111" t="n">
        <f aca="false">E196*Y196</f>
        <v>0</v>
      </c>
      <c r="G196" s="124" t="n">
        <f aca="false">VLOOKUP($A196,Table,MATCH(G$4,Curves,0))</f>
        <v>3</v>
      </c>
      <c r="H196" s="125" t="n">
        <f aca="false">G196+$H$7</f>
        <v>3</v>
      </c>
      <c r="I196" s="124" t="n">
        <f aca="false">H196</f>
        <v>3</v>
      </c>
      <c r="J196" s="124" t="n">
        <f aca="false">VLOOKUP($A196,Table,MATCH(J$4,Curves,0))</f>
        <v>4</v>
      </c>
      <c r="K196" s="125" t="n">
        <f aca="false">J196+$K$7</f>
        <v>4</v>
      </c>
      <c r="L196" s="126" t="n">
        <f aca="false">K196</f>
        <v>4</v>
      </c>
      <c r="M196" s="124" t="n">
        <f aca="false">VLOOKUP($A196,Table,MATCH(M$4,Curves,0))</f>
        <v>4</v>
      </c>
      <c r="N196" s="125" t="n">
        <f aca="false">M196+$N$7</f>
        <v>4</v>
      </c>
      <c r="O196" s="126" t="n">
        <v>0.25</v>
      </c>
      <c r="P196" s="114"/>
      <c r="Q196" s="126" t="n">
        <f aca="false">M196+J196+G196</f>
        <v>11</v>
      </c>
      <c r="R196" s="126" t="n">
        <f aca="false">N196+K196+H196</f>
        <v>11</v>
      </c>
      <c r="S196" s="126" t="n">
        <f aca="false">O196+L196+I196</f>
        <v>7.25</v>
      </c>
      <c r="T196" s="127"/>
      <c r="U196" s="5" t="n">
        <f aca="false">A197-A196</f>
        <v>31</v>
      </c>
      <c r="V196" s="128" t="n">
        <f aca="false">CHOOSE(F$3,A197+24,A196)</f>
        <v>42948</v>
      </c>
      <c r="W196" s="5" t="n">
        <f aca="false">V196-C$3</f>
        <v>5717</v>
      </c>
      <c r="X196" s="124" t="n">
        <f aca="false">VLOOKUP($A196,Table,MATCH(X$4,Curves,0))</f>
        <v>2</v>
      </c>
      <c r="Y196" s="129" t="n">
        <f aca="false">1/(1+CHOOSE(F$3,(X197+($K$3/10000))/2,(X196+($K$3/10000))/2))^(2*W196/365.25)</f>
        <v>3.77034109958803E-010</v>
      </c>
      <c r="Z196" s="5" t="n">
        <f aca="false">IF(AND(mthbeg&lt;=A196,mthend&gt;=A196),1,0)</f>
        <v>0</v>
      </c>
      <c r="AA196" s="5" t="n">
        <f aca="false">U196*Z196</f>
        <v>0</v>
      </c>
      <c r="AC196" s="115" t="n">
        <f aca="false">IF(G189=2,F196*(S196-Q196),F196*(Q196-S196))</f>
        <v>0</v>
      </c>
      <c r="AE196" s="116" t="n">
        <f aca="false">IF($G$3=1,F196*(R196-Q196),F196*(Q196-R196))</f>
        <v>0</v>
      </c>
      <c r="AG196" s="116" t="n">
        <f aca="false">AC196+AE196</f>
        <v>0</v>
      </c>
    </row>
    <row r="197" customFormat="false" ht="12" hidden="false" customHeight="true" outlineLevel="0" collapsed="false">
      <c r="A197" s="120" t="n">
        <f aca="false">EDATE(A196,1)</f>
        <v>42979</v>
      </c>
      <c r="B197" s="121" t="e">
        <f aca="false">VLOOKUP(A197,'Inputs-Summary'!$A$32:$E$41,4,FALSE())</f>
        <v>#N/A</v>
      </c>
      <c r="C197" s="122"/>
      <c r="D197" s="123" t="e">
        <f aca="false">B197+C197</f>
        <v>#N/A</v>
      </c>
      <c r="E197" s="111" t="n">
        <f aca="false">IF(Z197=0,0,IF(AND(Z197=1,$H$3=1),D197*U197,IF($H$3=2,D197,"N/A")))</f>
        <v>0</v>
      </c>
      <c r="F197" s="111" t="n">
        <f aca="false">E197*Y197</f>
        <v>0</v>
      </c>
      <c r="G197" s="124" t="n">
        <f aca="false">VLOOKUP($A197,Table,MATCH(G$4,Curves,0))</f>
        <v>3</v>
      </c>
      <c r="H197" s="125" t="n">
        <f aca="false">G197+$H$7</f>
        <v>3</v>
      </c>
      <c r="I197" s="124" t="n">
        <f aca="false">H197</f>
        <v>3</v>
      </c>
      <c r="J197" s="124" t="n">
        <f aca="false">VLOOKUP($A197,Table,MATCH(J$4,Curves,0))</f>
        <v>4</v>
      </c>
      <c r="K197" s="125" t="n">
        <f aca="false">J197+$K$7</f>
        <v>4</v>
      </c>
      <c r="L197" s="126" t="n">
        <f aca="false">K197</f>
        <v>4</v>
      </c>
      <c r="M197" s="124" t="n">
        <f aca="false">VLOOKUP($A197,Table,MATCH(M$4,Curves,0))</f>
        <v>4</v>
      </c>
      <c r="N197" s="125" t="n">
        <f aca="false">M197+$N$7</f>
        <v>4</v>
      </c>
      <c r="O197" s="126" t="n">
        <v>0.25</v>
      </c>
      <c r="P197" s="114"/>
      <c r="Q197" s="126" t="n">
        <f aca="false">M197+J197+G197</f>
        <v>11</v>
      </c>
      <c r="R197" s="126" t="n">
        <f aca="false">N197+K197+H197</f>
        <v>11</v>
      </c>
      <c r="S197" s="126" t="n">
        <f aca="false">O197+L197+I197</f>
        <v>7.25</v>
      </c>
      <c r="T197" s="127"/>
      <c r="U197" s="5" t="n">
        <f aca="false">A198-A197</f>
        <v>30</v>
      </c>
      <c r="V197" s="128" t="n">
        <f aca="false">CHOOSE(F$3,A198+24,A197)</f>
        <v>42979</v>
      </c>
      <c r="W197" s="5" t="n">
        <f aca="false">V197-C$3</f>
        <v>5748</v>
      </c>
      <c r="X197" s="124" t="n">
        <f aca="false">VLOOKUP($A197,Table,MATCH(X$4,Curves,0))</f>
        <v>2</v>
      </c>
      <c r="Y197" s="129" t="n">
        <f aca="false">1/(1+CHOOSE(F$3,(X198+($K$3/10000))/2,(X197+($K$3/10000))/2))^(2*W197/365.25)</f>
        <v>3.35182842137779E-010</v>
      </c>
      <c r="Z197" s="5" t="n">
        <f aca="false">IF(AND(mthbeg&lt;=A197,mthend&gt;=A197),1,0)</f>
        <v>0</v>
      </c>
      <c r="AA197" s="5" t="n">
        <f aca="false">U197*Z197</f>
        <v>0</v>
      </c>
      <c r="AC197" s="115" t="n">
        <f aca="false">IF(G190=2,F197*(S197-Q197),F197*(Q197-S197))</f>
        <v>0</v>
      </c>
      <c r="AE197" s="116" t="n">
        <f aca="false">IF($G$3=1,F197*(R197-Q197),F197*(Q197-R197))</f>
        <v>0</v>
      </c>
      <c r="AG197" s="116" t="n">
        <f aca="false">AC197+AE197</f>
        <v>0</v>
      </c>
    </row>
    <row r="198" customFormat="false" ht="12" hidden="false" customHeight="true" outlineLevel="0" collapsed="false">
      <c r="A198" s="120" t="n">
        <f aca="false">EDATE(A197,1)</f>
        <v>43009</v>
      </c>
      <c r="B198" s="121" t="e">
        <f aca="false">VLOOKUP(A198,'Inputs-Summary'!$A$32:$E$41,4,FALSE())</f>
        <v>#N/A</v>
      </c>
      <c r="C198" s="122"/>
      <c r="D198" s="123" t="e">
        <f aca="false">B198+C198</f>
        <v>#N/A</v>
      </c>
      <c r="E198" s="111" t="n">
        <f aca="false">IF(Z198=0,0,IF(AND(Z198=1,$H$3=1),D198*U198,IF($H$3=2,D198,"N/A")))</f>
        <v>0</v>
      </c>
      <c r="F198" s="111" t="n">
        <f aca="false">E198*Y198</f>
        <v>0</v>
      </c>
      <c r="G198" s="124" t="n">
        <f aca="false">VLOOKUP($A198,Table,MATCH(G$4,Curves,0))</f>
        <v>3</v>
      </c>
      <c r="H198" s="125" t="n">
        <f aca="false">G198+$H$7</f>
        <v>3</v>
      </c>
      <c r="I198" s="124" t="n">
        <f aca="false">H198</f>
        <v>3</v>
      </c>
      <c r="J198" s="124" t="n">
        <f aca="false">VLOOKUP($A198,Table,MATCH(J$4,Curves,0))</f>
        <v>4</v>
      </c>
      <c r="K198" s="125" t="n">
        <f aca="false">J198+$K$7</f>
        <v>4</v>
      </c>
      <c r="L198" s="126" t="n">
        <f aca="false">K198</f>
        <v>4</v>
      </c>
      <c r="M198" s="124" t="n">
        <f aca="false">VLOOKUP($A198,Table,MATCH(M$4,Curves,0))</f>
        <v>4</v>
      </c>
      <c r="N198" s="125" t="n">
        <f aca="false">M198+$N$7</f>
        <v>4</v>
      </c>
      <c r="O198" s="126" t="n">
        <v>0.25</v>
      </c>
      <c r="P198" s="114"/>
      <c r="Q198" s="126" t="n">
        <f aca="false">M198+J198+G198</f>
        <v>11</v>
      </c>
      <c r="R198" s="126" t="n">
        <f aca="false">N198+K198+H198</f>
        <v>11</v>
      </c>
      <c r="S198" s="126" t="n">
        <f aca="false">O198+L198+I198</f>
        <v>7.25</v>
      </c>
      <c r="T198" s="127"/>
      <c r="U198" s="5" t="n">
        <f aca="false">A199-A198</f>
        <v>31</v>
      </c>
      <c r="V198" s="128" t="n">
        <f aca="false">CHOOSE(F$3,A199+24,A198)</f>
        <v>43009</v>
      </c>
      <c r="W198" s="5" t="n">
        <f aca="false">V198-C$3</f>
        <v>5778</v>
      </c>
      <c r="X198" s="124" t="n">
        <f aca="false">VLOOKUP($A198,Table,MATCH(X$4,Curves,0))</f>
        <v>2</v>
      </c>
      <c r="Y198" s="129" t="n">
        <f aca="false">1/(1+CHOOSE(F$3,(X199+($K$3/10000))/2,(X198+($K$3/10000))/2))^(2*W198/365.25)</f>
        <v>2.99110229840136E-010</v>
      </c>
      <c r="Z198" s="5" t="n">
        <f aca="false">IF(AND(mthbeg&lt;=A198,mthend&gt;=A198),1,0)</f>
        <v>0</v>
      </c>
      <c r="AA198" s="5" t="n">
        <f aca="false">U198*Z198</f>
        <v>0</v>
      </c>
      <c r="AC198" s="115" t="n">
        <f aca="false">IF(G191=2,F198*(S198-Q198),F198*(Q198-S198))</f>
        <v>0</v>
      </c>
      <c r="AE198" s="116" t="n">
        <f aca="false">IF($G$3=1,F198*(R198-Q198),F198*(Q198-R198))</f>
        <v>0</v>
      </c>
      <c r="AG198" s="116" t="n">
        <f aca="false">AC198+AE198</f>
        <v>0</v>
      </c>
    </row>
    <row r="199" customFormat="false" ht="12" hidden="false" customHeight="true" outlineLevel="0" collapsed="false">
      <c r="A199" s="120" t="n">
        <f aca="false">EDATE(A198,1)</f>
        <v>43040</v>
      </c>
      <c r="B199" s="121" t="e">
        <f aca="false">VLOOKUP(A199,'Inputs-Summary'!$A$32:$E$41,4,FALSE())</f>
        <v>#N/A</v>
      </c>
      <c r="C199" s="122"/>
      <c r="D199" s="123" t="e">
        <f aca="false">B199+C199</f>
        <v>#N/A</v>
      </c>
      <c r="E199" s="111" t="n">
        <f aca="false">IF(Z199=0,0,IF(AND(Z199=1,$H$3=1),D199*U199,IF($H$3=2,D199,"N/A")))</f>
        <v>0</v>
      </c>
      <c r="F199" s="111" t="n">
        <f aca="false">E199*Y199</f>
        <v>0</v>
      </c>
      <c r="G199" s="124" t="n">
        <f aca="false">VLOOKUP($A199,Table,MATCH(G$4,Curves,0))</f>
        <v>3</v>
      </c>
      <c r="H199" s="125" t="n">
        <f aca="false">G199+$H$7</f>
        <v>3</v>
      </c>
      <c r="I199" s="124" t="n">
        <f aca="false">H199</f>
        <v>3</v>
      </c>
      <c r="J199" s="124" t="n">
        <f aca="false">VLOOKUP($A199,Table,MATCH(J$4,Curves,0))</f>
        <v>4</v>
      </c>
      <c r="K199" s="125" t="n">
        <f aca="false">J199+$K$7</f>
        <v>4</v>
      </c>
      <c r="L199" s="126" t="n">
        <f aca="false">K199</f>
        <v>4</v>
      </c>
      <c r="M199" s="124" t="n">
        <f aca="false">VLOOKUP($A199,Table,MATCH(M$4,Curves,0))</f>
        <v>4</v>
      </c>
      <c r="N199" s="125" t="n">
        <f aca="false">M199+$N$7</f>
        <v>4</v>
      </c>
      <c r="O199" s="126" t="n">
        <v>0.25</v>
      </c>
      <c r="P199" s="114"/>
      <c r="Q199" s="126" t="n">
        <f aca="false">M199+J199+G199</f>
        <v>11</v>
      </c>
      <c r="R199" s="126" t="n">
        <f aca="false">N199+K199+H199</f>
        <v>11</v>
      </c>
      <c r="S199" s="126" t="n">
        <f aca="false">O199+L199+I199</f>
        <v>7.25</v>
      </c>
      <c r="T199" s="127"/>
      <c r="U199" s="5" t="n">
        <f aca="false">A200-A199</f>
        <v>30</v>
      </c>
      <c r="V199" s="128" t="n">
        <f aca="false">CHOOSE(F$3,A200+24,A199)</f>
        <v>43040</v>
      </c>
      <c r="W199" s="5" t="n">
        <f aca="false">V199-C$3</f>
        <v>5809</v>
      </c>
      <c r="X199" s="124" t="n">
        <f aca="false">VLOOKUP($A199,Table,MATCH(X$4,Curves,0))</f>
        <v>2</v>
      </c>
      <c r="Y199" s="129" t="n">
        <f aca="false">1/(1+CHOOSE(F$3,(X200+($K$3/10000))/2,(X199+($K$3/10000))/2))^(2*W199/365.25)</f>
        <v>2.65908612250642E-010</v>
      </c>
      <c r="Z199" s="5" t="n">
        <f aca="false">IF(AND(mthbeg&lt;=A199,mthend&gt;=A199),1,0)</f>
        <v>0</v>
      </c>
      <c r="AA199" s="5" t="n">
        <f aca="false">U199*Z199</f>
        <v>0</v>
      </c>
      <c r="AC199" s="115" t="n">
        <f aca="false">IF(G192=2,F199*(S199-Q199),F199*(Q199-S199))</f>
        <v>0</v>
      </c>
      <c r="AE199" s="116" t="n">
        <f aca="false">IF($G$3=1,F199*(R199-Q199),F199*(Q199-R199))</f>
        <v>0</v>
      </c>
      <c r="AG199" s="116" t="n">
        <f aca="false">AC199+AE199</f>
        <v>0</v>
      </c>
    </row>
    <row r="200" customFormat="false" ht="12" hidden="false" customHeight="true" outlineLevel="0" collapsed="false">
      <c r="A200" s="120" t="n">
        <f aca="false">EDATE(A199,1)</f>
        <v>43070</v>
      </c>
      <c r="B200" s="121" t="e">
        <f aca="false">VLOOKUP(A200,'Inputs-Summary'!$A$32:$E$41,4,FALSE())</f>
        <v>#N/A</v>
      </c>
      <c r="C200" s="122"/>
      <c r="D200" s="123" t="e">
        <f aca="false">B200+C200</f>
        <v>#N/A</v>
      </c>
      <c r="E200" s="111" t="n">
        <f aca="false">IF(Z200=0,0,IF(AND(Z200=1,$H$3=1),D200*U200,IF($H$3=2,D200,"N/A")))</f>
        <v>0</v>
      </c>
      <c r="F200" s="111" t="n">
        <f aca="false">E200*Y200</f>
        <v>0</v>
      </c>
      <c r="G200" s="124" t="n">
        <f aca="false">VLOOKUP($A200,Table,MATCH(G$4,Curves,0))</f>
        <v>3</v>
      </c>
      <c r="H200" s="125" t="n">
        <f aca="false">G200+$H$7</f>
        <v>3</v>
      </c>
      <c r="I200" s="124" t="n">
        <f aca="false">H200</f>
        <v>3</v>
      </c>
      <c r="J200" s="124" t="n">
        <f aca="false">VLOOKUP($A200,Table,MATCH(J$4,Curves,0))</f>
        <v>4</v>
      </c>
      <c r="K200" s="125" t="n">
        <f aca="false">J200+$K$7</f>
        <v>4</v>
      </c>
      <c r="L200" s="126" t="n">
        <f aca="false">K200</f>
        <v>4</v>
      </c>
      <c r="M200" s="124" t="n">
        <f aca="false">VLOOKUP($A200,Table,MATCH(M$4,Curves,0))</f>
        <v>4</v>
      </c>
      <c r="N200" s="125" t="n">
        <f aca="false">M200+$N$7</f>
        <v>4</v>
      </c>
      <c r="O200" s="126" t="n">
        <v>0.25</v>
      </c>
      <c r="P200" s="114"/>
      <c r="Q200" s="126" t="n">
        <f aca="false">M200+J200+G200</f>
        <v>11</v>
      </c>
      <c r="R200" s="126" t="n">
        <f aca="false">N200+K200+H200</f>
        <v>11</v>
      </c>
      <c r="S200" s="126" t="n">
        <f aca="false">O200+L200+I200</f>
        <v>7.25</v>
      </c>
      <c r="T200" s="127"/>
      <c r="U200" s="5" t="n">
        <f aca="false">A201-A200</f>
        <v>31</v>
      </c>
      <c r="V200" s="128" t="n">
        <f aca="false">CHOOSE(F$3,A201+24,A200)</f>
        <v>43070</v>
      </c>
      <c r="W200" s="5" t="n">
        <f aca="false">V200-C$3</f>
        <v>5839</v>
      </c>
      <c r="X200" s="124" t="n">
        <f aca="false">VLOOKUP($A200,Table,MATCH(X$4,Curves,0))</f>
        <v>2</v>
      </c>
      <c r="Y200" s="129" t="n">
        <f aca="false">1/(1+CHOOSE(F$3,(X201+($K$3/10000))/2,(X200+($K$3/10000))/2))^(2*W200/365.25)</f>
        <v>2.37291341106498E-010</v>
      </c>
      <c r="Z200" s="5" t="n">
        <f aca="false">IF(AND(mthbeg&lt;=A200,mthend&gt;=A200),1,0)</f>
        <v>0</v>
      </c>
      <c r="AA200" s="5" t="n">
        <f aca="false">U200*Z200</f>
        <v>0</v>
      </c>
      <c r="AC200" s="115" t="n">
        <f aca="false">IF(G193=2,F200*(S200-Q200),F200*(Q200-S200))</f>
        <v>0</v>
      </c>
      <c r="AE200" s="116" t="n">
        <f aca="false">IF($G$3=1,F200*(R200-Q200),F200*(Q200-R200))</f>
        <v>0</v>
      </c>
      <c r="AG200" s="116" t="n">
        <f aca="false">AC200+AE200</f>
        <v>0</v>
      </c>
    </row>
    <row r="201" customFormat="false" ht="12" hidden="false" customHeight="true" outlineLevel="0" collapsed="false">
      <c r="A201" s="120" t="n">
        <f aca="false">EDATE(A200,1)</f>
        <v>43101</v>
      </c>
      <c r="B201" s="121" t="e">
        <f aca="false">VLOOKUP(A201,'Inputs-Summary'!$A$32:$E$41,4,FALSE())</f>
        <v>#N/A</v>
      </c>
      <c r="C201" s="122"/>
      <c r="D201" s="123" t="e">
        <f aca="false">B201+C201</f>
        <v>#N/A</v>
      </c>
      <c r="E201" s="111" t="n">
        <f aca="false">IF(Z201=0,0,IF(AND(Z201=1,$H$3=1),D201*U201,IF($H$3=2,D201,"N/A")))</f>
        <v>0</v>
      </c>
      <c r="F201" s="111" t="n">
        <f aca="false">E201*Y201</f>
        <v>0</v>
      </c>
      <c r="G201" s="124" t="n">
        <f aca="false">VLOOKUP($A201,Table,MATCH(G$4,Curves,0))</f>
        <v>3</v>
      </c>
      <c r="H201" s="125" t="n">
        <f aca="false">G201+$H$7</f>
        <v>3</v>
      </c>
      <c r="I201" s="124" t="n">
        <f aca="false">H201</f>
        <v>3</v>
      </c>
      <c r="J201" s="124" t="n">
        <f aca="false">VLOOKUP($A201,Table,MATCH(J$4,Curves,0))</f>
        <v>4</v>
      </c>
      <c r="K201" s="125" t="n">
        <f aca="false">J201+$K$7</f>
        <v>4</v>
      </c>
      <c r="L201" s="126" t="n">
        <f aca="false">K201</f>
        <v>4</v>
      </c>
      <c r="M201" s="124" t="n">
        <f aca="false">VLOOKUP($A201,Table,MATCH(M$4,Curves,0))</f>
        <v>4</v>
      </c>
      <c r="N201" s="125" t="n">
        <f aca="false">M201+$N$7</f>
        <v>4</v>
      </c>
      <c r="O201" s="126" t="n">
        <v>0.25</v>
      </c>
      <c r="P201" s="114"/>
      <c r="Q201" s="126" t="n">
        <f aca="false">M201+J201+G201</f>
        <v>11</v>
      </c>
      <c r="R201" s="126" t="n">
        <f aca="false">N201+K201+H201</f>
        <v>11</v>
      </c>
      <c r="S201" s="126" t="n">
        <f aca="false">O201+L201+I201</f>
        <v>7.25</v>
      </c>
      <c r="T201" s="127"/>
      <c r="U201" s="5" t="n">
        <f aca="false">A202-A201</f>
        <v>31</v>
      </c>
      <c r="V201" s="128" t="n">
        <f aca="false">CHOOSE(F$3,A202+24,A201)</f>
        <v>43101</v>
      </c>
      <c r="W201" s="5" t="n">
        <f aca="false">V201-C$3</f>
        <v>5870</v>
      </c>
      <c r="X201" s="124" t="n">
        <f aca="false">VLOOKUP($A201,Table,MATCH(X$4,Curves,0))</f>
        <v>2</v>
      </c>
      <c r="Y201" s="129" t="n">
        <f aca="false">1/(1+CHOOSE(F$3,(X202+($K$3/10000))/2,(X201+($K$3/10000))/2))^(2*W201/365.25)</f>
        <v>2.10951699132611E-010</v>
      </c>
      <c r="Z201" s="5" t="n">
        <f aca="false">IF(AND(mthbeg&lt;=A201,mthend&gt;=A201),1,0)</f>
        <v>0</v>
      </c>
      <c r="AA201" s="5" t="n">
        <f aca="false">U201*Z201</f>
        <v>0</v>
      </c>
      <c r="AC201" s="115" t="n">
        <f aca="false">IF(G194=2,F201*(S201-Q201),F201*(Q201-S201))</f>
        <v>0</v>
      </c>
      <c r="AE201" s="116" t="n">
        <f aca="false">IF($G$3=1,F201*(R201-Q201),F201*(Q201-R201))</f>
        <v>0</v>
      </c>
      <c r="AG201" s="116" t="n">
        <f aca="false">AC201+AE201</f>
        <v>0</v>
      </c>
    </row>
    <row r="202" customFormat="false" ht="12" hidden="false" customHeight="true" outlineLevel="0" collapsed="false">
      <c r="A202" s="120" t="n">
        <f aca="false">EDATE(A201,1)</f>
        <v>43132</v>
      </c>
      <c r="B202" s="121" t="e">
        <f aca="false">VLOOKUP(A202,'Inputs-Summary'!$A$32:$E$41,4,FALSE())</f>
        <v>#N/A</v>
      </c>
      <c r="C202" s="122"/>
      <c r="D202" s="123" t="e">
        <f aca="false">B202+C202</f>
        <v>#N/A</v>
      </c>
      <c r="E202" s="111" t="n">
        <f aca="false">IF(Z202=0,0,IF(AND(Z202=1,$H$3=1),D202*U202,IF($H$3=2,D202,"N/A")))</f>
        <v>0</v>
      </c>
      <c r="F202" s="111" t="n">
        <f aca="false">E202*Y202</f>
        <v>0</v>
      </c>
      <c r="G202" s="124" t="n">
        <f aca="false">VLOOKUP($A202,Table,MATCH(G$4,Curves,0))</f>
        <v>3</v>
      </c>
      <c r="H202" s="125" t="n">
        <f aca="false">G202+$H$7</f>
        <v>3</v>
      </c>
      <c r="I202" s="124" t="n">
        <f aca="false">H202</f>
        <v>3</v>
      </c>
      <c r="J202" s="124" t="n">
        <f aca="false">VLOOKUP($A202,Table,MATCH(J$4,Curves,0))</f>
        <v>4</v>
      </c>
      <c r="K202" s="125" t="n">
        <f aca="false">J202+$K$7</f>
        <v>4</v>
      </c>
      <c r="L202" s="126" t="n">
        <f aca="false">K202</f>
        <v>4</v>
      </c>
      <c r="M202" s="124" t="n">
        <f aca="false">VLOOKUP($A202,Table,MATCH(M$4,Curves,0))</f>
        <v>4</v>
      </c>
      <c r="N202" s="125" t="n">
        <f aca="false">M202+$N$7</f>
        <v>4</v>
      </c>
      <c r="O202" s="126" t="n">
        <v>0.25</v>
      </c>
      <c r="P202" s="114"/>
      <c r="Q202" s="126" t="n">
        <f aca="false">M202+J202+G202</f>
        <v>11</v>
      </c>
      <c r="R202" s="126" t="n">
        <f aca="false">N202+K202+H202</f>
        <v>11</v>
      </c>
      <c r="S202" s="126" t="n">
        <f aca="false">O202+L202+I202</f>
        <v>7.25</v>
      </c>
      <c r="T202" s="127"/>
      <c r="U202" s="5" t="n">
        <f aca="false">A203-A202</f>
        <v>28</v>
      </c>
      <c r="V202" s="128" t="n">
        <f aca="false">CHOOSE(F$3,A203+24,A202)</f>
        <v>43132</v>
      </c>
      <c r="W202" s="5" t="n">
        <f aca="false">V202-C$3</f>
        <v>5901</v>
      </c>
      <c r="X202" s="124" t="n">
        <f aca="false">VLOOKUP($A202,Table,MATCH(X$4,Curves,0))</f>
        <v>2</v>
      </c>
      <c r="Y202" s="129" t="n">
        <f aca="false">1/(1+CHOOSE(F$3,(X203+($K$3/10000))/2,(X202+($K$3/10000))/2))^(2*W202/365.25)</f>
        <v>1.87535791063541E-010</v>
      </c>
      <c r="Z202" s="5" t="n">
        <f aca="false">IF(AND(mthbeg&lt;=A202,mthend&gt;=A202),1,0)</f>
        <v>0</v>
      </c>
      <c r="AA202" s="5" t="n">
        <f aca="false">U202*Z202</f>
        <v>0</v>
      </c>
      <c r="AC202" s="115" t="n">
        <f aca="false">IF(G195=2,F202*(S202-Q202),F202*(Q202-S202))</f>
        <v>0</v>
      </c>
      <c r="AE202" s="116" t="n">
        <f aca="false">IF($G$3=1,F202*(R202-Q202),F202*(Q202-R202))</f>
        <v>0</v>
      </c>
      <c r="AG202" s="116" t="n">
        <f aca="false">AC202+AE202</f>
        <v>0</v>
      </c>
    </row>
    <row r="203" customFormat="false" ht="12" hidden="false" customHeight="true" outlineLevel="0" collapsed="false">
      <c r="A203" s="120" t="n">
        <f aca="false">EDATE(A202,1)</f>
        <v>43160</v>
      </c>
      <c r="B203" s="121" t="e">
        <f aca="false">VLOOKUP(A203,'Inputs-Summary'!$A$32:$E$41,4,FALSE())</f>
        <v>#N/A</v>
      </c>
      <c r="C203" s="122"/>
      <c r="D203" s="123" t="e">
        <f aca="false">B203+C203</f>
        <v>#N/A</v>
      </c>
      <c r="E203" s="111" t="n">
        <f aca="false">IF(Z203=0,0,IF(AND(Z203=1,$H$3=1),D203*U203,IF($H$3=2,D203,"N/A")))</f>
        <v>0</v>
      </c>
      <c r="F203" s="111" t="n">
        <f aca="false">E203*Y203</f>
        <v>0</v>
      </c>
      <c r="G203" s="124" t="n">
        <f aca="false">VLOOKUP($A203,Table,MATCH(G$4,Curves,0))</f>
        <v>3</v>
      </c>
      <c r="H203" s="125" t="n">
        <f aca="false">G203+$H$7</f>
        <v>3</v>
      </c>
      <c r="I203" s="124" t="n">
        <f aca="false">H203</f>
        <v>3</v>
      </c>
      <c r="J203" s="124" t="n">
        <f aca="false">VLOOKUP($A203,Table,MATCH(J$4,Curves,0))</f>
        <v>4</v>
      </c>
      <c r="K203" s="125" t="n">
        <f aca="false">J203+$K$7</f>
        <v>4</v>
      </c>
      <c r="L203" s="126" t="n">
        <f aca="false">K203</f>
        <v>4</v>
      </c>
      <c r="M203" s="124" t="n">
        <f aca="false">VLOOKUP($A203,Table,MATCH(M$4,Curves,0))</f>
        <v>4</v>
      </c>
      <c r="N203" s="125" t="n">
        <f aca="false">M203+$N$7</f>
        <v>4</v>
      </c>
      <c r="O203" s="126" t="n">
        <v>0.25</v>
      </c>
      <c r="P203" s="114"/>
      <c r="Q203" s="126" t="n">
        <f aca="false">M203+J203+G203</f>
        <v>11</v>
      </c>
      <c r="R203" s="126" t="n">
        <f aca="false">N203+K203+H203</f>
        <v>11</v>
      </c>
      <c r="S203" s="126" t="n">
        <f aca="false">O203+L203+I203</f>
        <v>7.25</v>
      </c>
      <c r="T203" s="127"/>
      <c r="U203" s="5" t="n">
        <f aca="false">A204-A203</f>
        <v>31</v>
      </c>
      <c r="V203" s="128" t="n">
        <f aca="false">CHOOSE(F$3,A204+24,A203)</f>
        <v>43160</v>
      </c>
      <c r="W203" s="5" t="n">
        <f aca="false">V203-C$3</f>
        <v>5929</v>
      </c>
      <c r="X203" s="124" t="n">
        <f aca="false">VLOOKUP($A203,Table,MATCH(X$4,Curves,0))</f>
        <v>2</v>
      </c>
      <c r="Y203" s="129" t="n">
        <f aca="false">1/(1+CHOOSE(F$3,(X204+($K$3/10000))/2,(X203+($K$3/10000))/2))^(2*W203/365.25)</f>
        <v>1.68628257751858E-010</v>
      </c>
      <c r="Z203" s="5" t="n">
        <f aca="false">IF(AND(mthbeg&lt;=A203,mthend&gt;=A203),1,0)</f>
        <v>0</v>
      </c>
      <c r="AA203" s="5" t="n">
        <f aca="false">U203*Z203</f>
        <v>0</v>
      </c>
      <c r="AC203" s="115" t="n">
        <f aca="false">IF(G196=2,F203*(S203-Q203),F203*(Q203-S203))</f>
        <v>0</v>
      </c>
      <c r="AE203" s="116" t="n">
        <f aca="false">IF($G$3=1,F203*(R203-Q203),F203*(Q203-R203))</f>
        <v>0</v>
      </c>
      <c r="AG203" s="116" t="n">
        <f aca="false">AC203+AE203</f>
        <v>0</v>
      </c>
    </row>
    <row r="204" customFormat="false" ht="12" hidden="false" customHeight="true" outlineLevel="0" collapsed="false">
      <c r="A204" s="120" t="n">
        <f aca="false">EDATE(A203,1)</f>
        <v>43191</v>
      </c>
      <c r="B204" s="121" t="e">
        <f aca="false">VLOOKUP(A204,'Inputs-Summary'!$A$32:$E$41,4,FALSE())</f>
        <v>#N/A</v>
      </c>
      <c r="C204" s="122"/>
      <c r="D204" s="123" t="e">
        <f aca="false">B204+C204</f>
        <v>#N/A</v>
      </c>
      <c r="E204" s="111" t="n">
        <f aca="false">IF(Z204=0,0,IF(AND(Z204=1,$H$3=1),D204*U204,IF($H$3=2,D204,"N/A")))</f>
        <v>0</v>
      </c>
      <c r="F204" s="111" t="n">
        <f aca="false">E204*Y204</f>
        <v>0</v>
      </c>
      <c r="G204" s="124" t="n">
        <f aca="false">VLOOKUP($A204,Table,MATCH(G$4,Curves,0))</f>
        <v>3</v>
      </c>
      <c r="H204" s="125" t="n">
        <f aca="false">G204+$H$7</f>
        <v>3</v>
      </c>
      <c r="I204" s="124" t="n">
        <f aca="false">H204</f>
        <v>3</v>
      </c>
      <c r="J204" s="124" t="n">
        <f aca="false">VLOOKUP($A204,Table,MATCH(J$4,Curves,0))</f>
        <v>4</v>
      </c>
      <c r="K204" s="125" t="n">
        <f aca="false">J204+$K$7</f>
        <v>4</v>
      </c>
      <c r="L204" s="126" t="n">
        <f aca="false">K204</f>
        <v>4</v>
      </c>
      <c r="M204" s="124" t="n">
        <f aca="false">VLOOKUP($A204,Table,MATCH(M$4,Curves,0))</f>
        <v>4</v>
      </c>
      <c r="N204" s="125" t="n">
        <f aca="false">M204+$N$7</f>
        <v>4</v>
      </c>
      <c r="O204" s="126" t="n">
        <v>0.25</v>
      </c>
      <c r="P204" s="114"/>
      <c r="Q204" s="126" t="n">
        <f aca="false">M204+J204+G204</f>
        <v>11</v>
      </c>
      <c r="R204" s="126" t="n">
        <f aca="false">N204+K204+H204</f>
        <v>11</v>
      </c>
      <c r="S204" s="126" t="n">
        <f aca="false">O204+L204+I204</f>
        <v>7.25</v>
      </c>
      <c r="T204" s="127"/>
      <c r="U204" s="5" t="n">
        <f aca="false">A205-A204</f>
        <v>30</v>
      </c>
      <c r="V204" s="128" t="n">
        <f aca="false">CHOOSE(F$3,A205+24,A204)</f>
        <v>43191</v>
      </c>
      <c r="W204" s="5" t="n">
        <f aca="false">V204-C$3</f>
        <v>5960</v>
      </c>
      <c r="X204" s="124" t="n">
        <f aca="false">VLOOKUP($A204,Table,MATCH(X$4,Curves,0))</f>
        <v>2</v>
      </c>
      <c r="Y204" s="129" t="n">
        <f aca="false">1/(1+CHOOSE(F$3,(X205+($K$3/10000))/2,(X204+($K$3/10000))/2))^(2*W204/365.25)</f>
        <v>1.49910305739143E-010</v>
      </c>
      <c r="Z204" s="5" t="n">
        <f aca="false">IF(AND(mthbeg&lt;=A204,mthend&gt;=A204),1,0)</f>
        <v>0</v>
      </c>
      <c r="AA204" s="5" t="n">
        <f aca="false">U204*Z204</f>
        <v>0</v>
      </c>
      <c r="AC204" s="115" t="n">
        <f aca="false">IF(G197=2,F204*(S204-Q204),F204*(Q204-S204))</f>
        <v>0</v>
      </c>
      <c r="AE204" s="116" t="n">
        <f aca="false">IF($G$3=1,F204*(R204-Q204),F204*(Q204-R204))</f>
        <v>0</v>
      </c>
      <c r="AG204" s="116" t="n">
        <f aca="false">AC204+AE204</f>
        <v>0</v>
      </c>
    </row>
    <row r="205" customFormat="false" ht="12" hidden="false" customHeight="true" outlineLevel="0" collapsed="false">
      <c r="A205" s="120" t="n">
        <f aca="false">EDATE(A204,1)</f>
        <v>43221</v>
      </c>
      <c r="B205" s="121" t="e">
        <f aca="false">VLOOKUP(A205,'Inputs-Summary'!$A$32:$E$41,4,FALSE())</f>
        <v>#N/A</v>
      </c>
      <c r="C205" s="122"/>
      <c r="D205" s="123" t="e">
        <f aca="false">B205+C205</f>
        <v>#N/A</v>
      </c>
      <c r="E205" s="111" t="n">
        <f aca="false">IF(Z205=0,0,IF(AND(Z205=1,$H$3=1),D205*U205,IF($H$3=2,D205,"N/A")))</f>
        <v>0</v>
      </c>
      <c r="F205" s="111" t="n">
        <f aca="false">E205*Y205</f>
        <v>0</v>
      </c>
      <c r="G205" s="124" t="n">
        <f aca="false">VLOOKUP($A205,Table,MATCH(G$4,Curves,0))</f>
        <v>3</v>
      </c>
      <c r="H205" s="125" t="n">
        <f aca="false">G205+$H$7</f>
        <v>3</v>
      </c>
      <c r="I205" s="124" t="n">
        <f aca="false">H205</f>
        <v>3</v>
      </c>
      <c r="J205" s="124" t="n">
        <f aca="false">VLOOKUP($A205,Table,MATCH(J$4,Curves,0))</f>
        <v>4</v>
      </c>
      <c r="K205" s="125" t="n">
        <f aca="false">J205+$K$7</f>
        <v>4</v>
      </c>
      <c r="L205" s="126" t="n">
        <f aca="false">K205</f>
        <v>4</v>
      </c>
      <c r="M205" s="124" t="n">
        <f aca="false">VLOOKUP($A205,Table,MATCH(M$4,Curves,0))</f>
        <v>4</v>
      </c>
      <c r="N205" s="125" t="n">
        <f aca="false">M205+$N$7</f>
        <v>4</v>
      </c>
      <c r="O205" s="126" t="n">
        <v>0.25</v>
      </c>
      <c r="P205" s="114"/>
      <c r="Q205" s="126" t="n">
        <f aca="false">M205+J205+G205</f>
        <v>11</v>
      </c>
      <c r="R205" s="126" t="n">
        <f aca="false">N205+K205+H205</f>
        <v>11</v>
      </c>
      <c r="S205" s="126" t="n">
        <f aca="false">O205+L205+I205</f>
        <v>7.25</v>
      </c>
      <c r="T205" s="127"/>
      <c r="U205" s="5" t="n">
        <f aca="false">A206-A205</f>
        <v>31</v>
      </c>
      <c r="V205" s="128" t="n">
        <f aca="false">CHOOSE(F$3,A206+24,A205)</f>
        <v>43221</v>
      </c>
      <c r="W205" s="5" t="n">
        <f aca="false">V205-C$3</f>
        <v>5990</v>
      </c>
      <c r="X205" s="124" t="n">
        <f aca="false">VLOOKUP($A205,Table,MATCH(X$4,Curves,0))</f>
        <v>2</v>
      </c>
      <c r="Y205" s="129" t="n">
        <f aca="false">1/(1+CHOOSE(F$3,(X206+($K$3/10000))/2,(X205+($K$3/10000))/2))^(2*W205/365.25)</f>
        <v>1.33776853609376E-010</v>
      </c>
      <c r="Z205" s="5" t="n">
        <f aca="false">IF(AND(mthbeg&lt;=A205,mthend&gt;=A205),1,0)</f>
        <v>0</v>
      </c>
      <c r="AA205" s="5" t="n">
        <f aca="false">U205*Z205</f>
        <v>0</v>
      </c>
      <c r="AC205" s="115" t="n">
        <f aca="false">IF(G198=2,F205*(S205-Q205),F205*(Q205-S205))</f>
        <v>0</v>
      </c>
      <c r="AE205" s="116" t="n">
        <f aca="false">IF($G$3=1,F205*(R205-Q205),F205*(Q205-R205))</f>
        <v>0</v>
      </c>
      <c r="AG205" s="116" t="n">
        <f aca="false">AC205+AE205</f>
        <v>0</v>
      </c>
    </row>
    <row r="206" customFormat="false" ht="12" hidden="false" customHeight="true" outlineLevel="0" collapsed="false">
      <c r="A206" s="120" t="n">
        <f aca="false">EDATE(A205,1)</f>
        <v>43252</v>
      </c>
      <c r="B206" s="121" t="e">
        <f aca="false">VLOOKUP(A206,'Inputs-Summary'!$A$32:$E$41,4,FALSE())</f>
        <v>#N/A</v>
      </c>
      <c r="C206" s="122"/>
      <c r="D206" s="123" t="e">
        <f aca="false">B206+C206</f>
        <v>#N/A</v>
      </c>
      <c r="E206" s="111" t="n">
        <f aca="false">IF(Z206=0,0,IF(AND(Z206=1,$H$3=1),D206*U206,IF($H$3=2,D206,"N/A")))</f>
        <v>0</v>
      </c>
      <c r="F206" s="111" t="n">
        <f aca="false">E206*Y206</f>
        <v>0</v>
      </c>
      <c r="G206" s="124" t="n">
        <f aca="false">VLOOKUP($A206,Table,MATCH(G$4,Curves,0))</f>
        <v>3</v>
      </c>
      <c r="H206" s="125" t="n">
        <f aca="false">G206+$H$7</f>
        <v>3</v>
      </c>
      <c r="I206" s="124" t="n">
        <f aca="false">H206</f>
        <v>3</v>
      </c>
      <c r="J206" s="124" t="n">
        <f aca="false">VLOOKUP($A206,Table,MATCH(J$4,Curves,0))</f>
        <v>4</v>
      </c>
      <c r="K206" s="125" t="n">
        <f aca="false">J206+$K$7</f>
        <v>4</v>
      </c>
      <c r="L206" s="126" t="n">
        <f aca="false">K206</f>
        <v>4</v>
      </c>
      <c r="M206" s="124" t="n">
        <f aca="false">VLOOKUP($A206,Table,MATCH(M$4,Curves,0))</f>
        <v>4</v>
      </c>
      <c r="N206" s="125" t="n">
        <f aca="false">M206+$N$7</f>
        <v>4</v>
      </c>
      <c r="O206" s="126" t="n">
        <v>0.25</v>
      </c>
      <c r="P206" s="114"/>
      <c r="Q206" s="126" t="n">
        <f aca="false">M206+J206+G206</f>
        <v>11</v>
      </c>
      <c r="R206" s="126" t="n">
        <f aca="false">N206+K206+H206</f>
        <v>11</v>
      </c>
      <c r="S206" s="126" t="n">
        <f aca="false">O206+L206+I206</f>
        <v>7.25</v>
      </c>
      <c r="T206" s="127"/>
      <c r="U206" s="5" t="n">
        <f aca="false">A207-A206</f>
        <v>30</v>
      </c>
      <c r="V206" s="128" t="n">
        <f aca="false">CHOOSE(F$3,A207+24,A206)</f>
        <v>43252</v>
      </c>
      <c r="W206" s="5" t="n">
        <f aca="false">V206-C$3</f>
        <v>6021</v>
      </c>
      <c r="X206" s="124" t="n">
        <f aca="false">VLOOKUP($A206,Table,MATCH(X$4,Curves,0))</f>
        <v>2</v>
      </c>
      <c r="Y206" s="129" t="n">
        <f aca="false">1/(1+CHOOSE(F$3,(X207+($K$3/10000))/2,(X206+($K$3/10000))/2))^(2*W206/365.25)</f>
        <v>1.18927451974941E-010</v>
      </c>
      <c r="Z206" s="5" t="n">
        <f aca="false">IF(AND(mthbeg&lt;=A206,mthend&gt;=A206),1,0)</f>
        <v>0</v>
      </c>
      <c r="AA206" s="5" t="n">
        <f aca="false">U206*Z206</f>
        <v>0</v>
      </c>
      <c r="AC206" s="115" t="n">
        <f aca="false">IF(G199=2,F206*(S206-Q206),F206*(Q206-S206))</f>
        <v>0</v>
      </c>
      <c r="AE206" s="116" t="n">
        <f aca="false">IF($G$3=1,F206*(R206-Q206),F206*(Q206-R206))</f>
        <v>0</v>
      </c>
      <c r="AG206" s="116" t="n">
        <f aca="false">AC206+AE206</f>
        <v>0</v>
      </c>
    </row>
    <row r="207" customFormat="false" ht="12" hidden="false" customHeight="true" outlineLevel="0" collapsed="false">
      <c r="A207" s="120" t="n">
        <f aca="false">EDATE(A206,1)</f>
        <v>43282</v>
      </c>
      <c r="B207" s="121" t="e">
        <f aca="false">VLOOKUP(A207,'Inputs-Summary'!$A$32:$E$41,4,FALSE())</f>
        <v>#N/A</v>
      </c>
      <c r="C207" s="122"/>
      <c r="D207" s="123" t="e">
        <f aca="false">B207+C207</f>
        <v>#N/A</v>
      </c>
      <c r="E207" s="111" t="n">
        <f aca="false">IF(Z207=0,0,IF(AND(Z207=1,$H$3=1),D207*U207,IF($H$3=2,D207,"N/A")))</f>
        <v>0</v>
      </c>
      <c r="F207" s="111" t="n">
        <f aca="false">E207*Y207</f>
        <v>0</v>
      </c>
      <c r="G207" s="124" t="n">
        <f aca="false">VLOOKUP($A207,Table,MATCH(G$4,Curves,0))</f>
        <v>3</v>
      </c>
      <c r="H207" s="125" t="n">
        <f aca="false">G207+$H$7</f>
        <v>3</v>
      </c>
      <c r="I207" s="124" t="n">
        <f aca="false">H207</f>
        <v>3</v>
      </c>
      <c r="J207" s="124" t="n">
        <f aca="false">VLOOKUP($A207,Table,MATCH(J$4,Curves,0))</f>
        <v>4</v>
      </c>
      <c r="K207" s="125" t="n">
        <f aca="false">J207+$K$7</f>
        <v>4</v>
      </c>
      <c r="L207" s="126" t="n">
        <f aca="false">K207</f>
        <v>4</v>
      </c>
      <c r="M207" s="124" t="n">
        <f aca="false">VLOOKUP($A207,Table,MATCH(M$4,Curves,0))</f>
        <v>4</v>
      </c>
      <c r="N207" s="125" t="n">
        <f aca="false">M207+$N$7</f>
        <v>4</v>
      </c>
      <c r="O207" s="126" t="n">
        <v>0.25</v>
      </c>
      <c r="P207" s="114"/>
      <c r="Q207" s="126" t="n">
        <f aca="false">M207+J207+G207</f>
        <v>11</v>
      </c>
      <c r="R207" s="126" t="n">
        <f aca="false">N207+K207+H207</f>
        <v>11</v>
      </c>
      <c r="S207" s="126" t="n">
        <f aca="false">O207+L207+I207</f>
        <v>7.25</v>
      </c>
      <c r="T207" s="127"/>
      <c r="U207" s="5" t="n">
        <f aca="false">A208-A207</f>
        <v>31</v>
      </c>
      <c r="V207" s="128" t="n">
        <f aca="false">CHOOSE(F$3,A208+24,A207)</f>
        <v>43282</v>
      </c>
      <c r="W207" s="5" t="n">
        <f aca="false">V207-C$3</f>
        <v>6051</v>
      </c>
      <c r="X207" s="124" t="n">
        <f aca="false">VLOOKUP($A207,Table,MATCH(X$4,Curves,0))</f>
        <v>2</v>
      </c>
      <c r="Y207" s="129" t="n">
        <f aca="false">1/(1+CHOOSE(F$3,(X208+($K$3/10000))/2,(X207+($K$3/10000))/2))^(2*W207/365.25)</f>
        <v>1.06128396273649E-010</v>
      </c>
      <c r="Z207" s="5" t="n">
        <f aca="false">IF(AND(mthbeg&lt;=A207,mthend&gt;=A207),1,0)</f>
        <v>0</v>
      </c>
      <c r="AA207" s="5" t="n">
        <f aca="false">U207*Z207</f>
        <v>0</v>
      </c>
      <c r="AC207" s="115" t="n">
        <f aca="false">IF(G200=2,F207*(S207-Q207),F207*(Q207-S207))</f>
        <v>0</v>
      </c>
      <c r="AE207" s="116" t="n">
        <f aca="false">IF($G$3=1,F207*(R207-Q207),F207*(Q207-R207))</f>
        <v>0</v>
      </c>
      <c r="AG207" s="116" t="n">
        <f aca="false">AC207+AE207</f>
        <v>0</v>
      </c>
    </row>
    <row r="208" customFormat="false" ht="12" hidden="false" customHeight="true" outlineLevel="0" collapsed="false">
      <c r="A208" s="120" t="n">
        <f aca="false">EDATE(A207,1)</f>
        <v>43313</v>
      </c>
      <c r="B208" s="121" t="e">
        <f aca="false">VLOOKUP(A208,'Inputs-Summary'!$A$32:$E$41,4,FALSE())</f>
        <v>#N/A</v>
      </c>
      <c r="C208" s="122"/>
      <c r="D208" s="123" t="e">
        <f aca="false">B208+C208</f>
        <v>#N/A</v>
      </c>
      <c r="E208" s="111" t="n">
        <f aca="false">IF(Z208=0,0,IF(AND(Z208=1,$H$3=1),D208*U208,IF($H$3=2,D208,"N/A")))</f>
        <v>0</v>
      </c>
      <c r="F208" s="111" t="n">
        <f aca="false">E208*Y208</f>
        <v>0</v>
      </c>
      <c r="G208" s="124" t="n">
        <f aca="false">VLOOKUP($A208,Table,MATCH(G$4,Curves,0))</f>
        <v>3</v>
      </c>
      <c r="H208" s="125" t="n">
        <f aca="false">G208+$H$7</f>
        <v>3</v>
      </c>
      <c r="I208" s="124" t="n">
        <f aca="false">H208</f>
        <v>3</v>
      </c>
      <c r="J208" s="124" t="n">
        <f aca="false">VLOOKUP($A208,Table,MATCH(J$4,Curves,0))</f>
        <v>4</v>
      </c>
      <c r="K208" s="125" t="n">
        <f aca="false">J208+$K$7</f>
        <v>4</v>
      </c>
      <c r="L208" s="126" t="n">
        <f aca="false">K208</f>
        <v>4</v>
      </c>
      <c r="M208" s="124" t="n">
        <f aca="false">VLOOKUP($A208,Table,MATCH(M$4,Curves,0))</f>
        <v>4</v>
      </c>
      <c r="N208" s="125" t="n">
        <f aca="false">M208+$N$7</f>
        <v>4</v>
      </c>
      <c r="O208" s="126" t="n">
        <v>0.25</v>
      </c>
      <c r="P208" s="114"/>
      <c r="Q208" s="126" t="n">
        <f aca="false">M208+J208+G208</f>
        <v>11</v>
      </c>
      <c r="R208" s="126" t="n">
        <f aca="false">N208+K208+H208</f>
        <v>11</v>
      </c>
      <c r="S208" s="126" t="n">
        <f aca="false">O208+L208+I208</f>
        <v>7.25</v>
      </c>
      <c r="T208" s="127"/>
      <c r="U208" s="5" t="n">
        <f aca="false">A209-A208</f>
        <v>31</v>
      </c>
      <c r="V208" s="128" t="n">
        <f aca="false">CHOOSE(F$3,A209+24,A208)</f>
        <v>43313</v>
      </c>
      <c r="W208" s="5" t="n">
        <f aca="false">V208-C$3</f>
        <v>6082</v>
      </c>
      <c r="X208" s="124" t="n">
        <f aca="false">VLOOKUP($A208,Table,MATCH(X$4,Curves,0))</f>
        <v>2</v>
      </c>
      <c r="Y208" s="129" t="n">
        <f aca="false">1/(1+CHOOSE(F$3,(X209+($K$3/10000))/2,(X208+($K$3/10000))/2))^(2*W208/365.25)</f>
        <v>9.43480087210496E-011</v>
      </c>
      <c r="Z208" s="5" t="n">
        <f aca="false">IF(AND(mthbeg&lt;=A208,mthend&gt;=A208),1,0)</f>
        <v>0</v>
      </c>
      <c r="AA208" s="5" t="n">
        <f aca="false">U208*Z208</f>
        <v>0</v>
      </c>
      <c r="AC208" s="115" t="n">
        <f aca="false">IF(G201=2,F208*(S208-Q208),F208*(Q208-S208))</f>
        <v>0</v>
      </c>
      <c r="AE208" s="116" t="n">
        <f aca="false">IF($G$3=1,F208*(R208-Q208),F208*(Q208-R208))</f>
        <v>0</v>
      </c>
      <c r="AG208" s="116" t="n">
        <f aca="false">AC208+AE208</f>
        <v>0</v>
      </c>
    </row>
    <row r="209" customFormat="false" ht="12" hidden="false" customHeight="true" outlineLevel="0" collapsed="false">
      <c r="A209" s="120" t="n">
        <f aca="false">EDATE(A208,1)</f>
        <v>43344</v>
      </c>
      <c r="B209" s="121" t="e">
        <f aca="false">VLOOKUP(A209,'Inputs-Summary'!$A$32:$E$41,4,FALSE())</f>
        <v>#N/A</v>
      </c>
      <c r="C209" s="122"/>
      <c r="D209" s="123" t="e">
        <f aca="false">B209+C209</f>
        <v>#N/A</v>
      </c>
      <c r="E209" s="111" t="n">
        <f aca="false">IF(Z209=0,0,IF(AND(Z209=1,$H$3=1),D209*U209,IF($H$3=2,D209,"N/A")))</f>
        <v>0</v>
      </c>
      <c r="F209" s="111" t="n">
        <f aca="false">E209*Y209</f>
        <v>0</v>
      </c>
      <c r="G209" s="124" t="n">
        <f aca="false">VLOOKUP($A209,Table,MATCH(G$4,Curves,0))</f>
        <v>3</v>
      </c>
      <c r="H209" s="125" t="n">
        <f aca="false">G209+$H$7</f>
        <v>3</v>
      </c>
      <c r="I209" s="124" t="n">
        <f aca="false">H209</f>
        <v>3</v>
      </c>
      <c r="J209" s="124" t="n">
        <f aca="false">VLOOKUP($A209,Table,MATCH(J$4,Curves,0))</f>
        <v>4</v>
      </c>
      <c r="K209" s="125" t="n">
        <f aca="false">J209+$K$7</f>
        <v>4</v>
      </c>
      <c r="L209" s="126" t="n">
        <f aca="false">K209</f>
        <v>4</v>
      </c>
      <c r="M209" s="124" t="n">
        <f aca="false">VLOOKUP($A209,Table,MATCH(M$4,Curves,0))</f>
        <v>4</v>
      </c>
      <c r="N209" s="125" t="n">
        <f aca="false">M209+$N$7</f>
        <v>4</v>
      </c>
      <c r="O209" s="126" t="n">
        <v>0.25</v>
      </c>
      <c r="P209" s="114"/>
      <c r="Q209" s="126" t="n">
        <f aca="false">M209+J209+G209</f>
        <v>11</v>
      </c>
      <c r="R209" s="126" t="n">
        <f aca="false">N209+K209+H209</f>
        <v>11</v>
      </c>
      <c r="S209" s="126" t="n">
        <f aca="false">O209+L209+I209</f>
        <v>7.25</v>
      </c>
      <c r="T209" s="127"/>
      <c r="U209" s="5" t="n">
        <f aca="false">A210-A209</f>
        <v>30</v>
      </c>
      <c r="V209" s="128" t="n">
        <f aca="false">CHOOSE(F$3,A210+24,A209)</f>
        <v>43344</v>
      </c>
      <c r="W209" s="5" t="n">
        <f aca="false">V209-C$3</f>
        <v>6113</v>
      </c>
      <c r="X209" s="124" t="n">
        <f aca="false">VLOOKUP($A209,Table,MATCH(X$4,Curves,0))</f>
        <v>2</v>
      </c>
      <c r="Y209" s="129" t="n">
        <f aca="false">1/(1+CHOOSE(F$3,(X210+($K$3/10000))/2,(X209+($K$3/10000))/2))^(2*W209/365.25)</f>
        <v>8.38752592348125E-011</v>
      </c>
      <c r="Z209" s="5" t="n">
        <f aca="false">IF(AND(mthbeg&lt;=A209,mthend&gt;=A209),1,0)</f>
        <v>0</v>
      </c>
      <c r="AA209" s="5" t="n">
        <f aca="false">U209*Z209</f>
        <v>0</v>
      </c>
      <c r="AC209" s="115" t="n">
        <f aca="false">IF(G202=2,F209*(S209-Q209),F209*(Q209-S209))</f>
        <v>0</v>
      </c>
      <c r="AE209" s="116" t="n">
        <f aca="false">IF($G$3=1,F209*(R209-Q209),F209*(Q209-R209))</f>
        <v>0</v>
      </c>
      <c r="AG209" s="116" t="n">
        <f aca="false">AC209+AE209</f>
        <v>0</v>
      </c>
    </row>
    <row r="210" customFormat="false" ht="12" hidden="false" customHeight="true" outlineLevel="0" collapsed="false">
      <c r="A210" s="120" t="n">
        <f aca="false">EDATE(A209,1)</f>
        <v>43374</v>
      </c>
      <c r="B210" s="121" t="e">
        <f aca="false">VLOOKUP(A210,'Inputs-Summary'!$A$32:$E$41,4,FALSE())</f>
        <v>#N/A</v>
      </c>
      <c r="C210" s="122"/>
      <c r="D210" s="123" t="e">
        <f aca="false">B210+C210</f>
        <v>#N/A</v>
      </c>
      <c r="E210" s="111" t="n">
        <f aca="false">IF(Z210=0,0,IF(AND(Z210=1,$H$3=1),D210*U210,IF($H$3=2,D210,"N/A")))</f>
        <v>0</v>
      </c>
      <c r="F210" s="111" t="n">
        <f aca="false">E210*Y210</f>
        <v>0</v>
      </c>
      <c r="G210" s="124" t="n">
        <f aca="false">VLOOKUP($A210,Table,MATCH(G$4,Curves,0))</f>
        <v>3</v>
      </c>
      <c r="H210" s="125" t="n">
        <f aca="false">G210+$H$7</f>
        <v>3</v>
      </c>
      <c r="I210" s="124" t="n">
        <f aca="false">H210</f>
        <v>3</v>
      </c>
      <c r="J210" s="124" t="n">
        <f aca="false">VLOOKUP($A210,Table,MATCH(J$4,Curves,0))</f>
        <v>4</v>
      </c>
      <c r="K210" s="125" t="n">
        <f aca="false">J210+$K$7</f>
        <v>4</v>
      </c>
      <c r="L210" s="126" t="n">
        <f aca="false">K210</f>
        <v>4</v>
      </c>
      <c r="M210" s="124" t="n">
        <f aca="false">VLOOKUP($A210,Table,MATCH(M$4,Curves,0))</f>
        <v>4</v>
      </c>
      <c r="N210" s="125" t="n">
        <f aca="false">M210+$N$7</f>
        <v>4</v>
      </c>
      <c r="O210" s="126" t="n">
        <v>0.25</v>
      </c>
      <c r="P210" s="114"/>
      <c r="Q210" s="126" t="n">
        <f aca="false">M210+J210+G210</f>
        <v>11</v>
      </c>
      <c r="R210" s="126" t="n">
        <f aca="false">N210+K210+H210</f>
        <v>11</v>
      </c>
      <c r="S210" s="126" t="n">
        <f aca="false">O210+L210+I210</f>
        <v>7.25</v>
      </c>
      <c r="T210" s="127"/>
      <c r="U210" s="5" t="n">
        <f aca="false">A211-A210</f>
        <v>31</v>
      </c>
      <c r="V210" s="128" t="n">
        <f aca="false">CHOOSE(F$3,A211+24,A210)</f>
        <v>43374</v>
      </c>
      <c r="W210" s="5" t="n">
        <f aca="false">V210-C$3</f>
        <v>6143</v>
      </c>
      <c r="X210" s="124" t="n">
        <f aca="false">VLOOKUP($A210,Table,MATCH(X$4,Curves,0))</f>
        <v>2</v>
      </c>
      <c r="Y210" s="129" t="n">
        <f aca="false">1/(1+CHOOSE(F$3,(X211+($K$3/10000))/2,(X210+($K$3/10000))/2))^(2*W210/365.25)</f>
        <v>7.48485450735368E-011</v>
      </c>
      <c r="Z210" s="5" t="n">
        <f aca="false">IF(AND(mthbeg&lt;=A210,mthend&gt;=A210),1,0)</f>
        <v>0</v>
      </c>
      <c r="AA210" s="5" t="n">
        <f aca="false">U210*Z210</f>
        <v>0</v>
      </c>
      <c r="AC210" s="115" t="n">
        <f aca="false">IF(G203=2,F210*(S210-Q210),F210*(Q210-S210))</f>
        <v>0</v>
      </c>
      <c r="AE210" s="116" t="n">
        <f aca="false">IF($G$3=1,F210*(R210-Q210),F210*(Q210-R210))</f>
        <v>0</v>
      </c>
      <c r="AG210" s="116" t="n">
        <f aca="false">AC210+AE210</f>
        <v>0</v>
      </c>
    </row>
    <row r="211" customFormat="false" ht="12" hidden="false" customHeight="true" outlineLevel="0" collapsed="false">
      <c r="A211" s="120" t="n">
        <f aca="false">EDATE(A210,1)</f>
        <v>43405</v>
      </c>
      <c r="B211" s="121" t="e">
        <f aca="false">VLOOKUP(A211,'Inputs-Summary'!$A$32:$E$41,4,FALSE())</f>
        <v>#N/A</v>
      </c>
      <c r="C211" s="122"/>
      <c r="D211" s="123" t="e">
        <f aca="false">B211+C211</f>
        <v>#N/A</v>
      </c>
      <c r="E211" s="111" t="n">
        <f aca="false">IF(Z211=0,0,IF(AND(Z211=1,$H$3=1),D211*U211,IF($H$3=2,D211,"N/A")))</f>
        <v>0</v>
      </c>
      <c r="F211" s="111" t="n">
        <f aca="false">E211*Y211</f>
        <v>0</v>
      </c>
      <c r="G211" s="124" t="n">
        <f aca="false">VLOOKUP($A211,Table,MATCH(G$4,Curves,0))</f>
        <v>3</v>
      </c>
      <c r="H211" s="125" t="n">
        <f aca="false">G211+$H$7</f>
        <v>3</v>
      </c>
      <c r="I211" s="124" t="n">
        <f aca="false">H211</f>
        <v>3</v>
      </c>
      <c r="J211" s="124" t="n">
        <f aca="false">VLOOKUP($A211,Table,MATCH(J$4,Curves,0))</f>
        <v>4</v>
      </c>
      <c r="K211" s="125" t="n">
        <f aca="false">J211+$K$7</f>
        <v>4</v>
      </c>
      <c r="L211" s="126" t="n">
        <f aca="false">K211</f>
        <v>4</v>
      </c>
      <c r="M211" s="124" t="n">
        <f aca="false">VLOOKUP($A211,Table,MATCH(M$4,Curves,0))</f>
        <v>4</v>
      </c>
      <c r="N211" s="125" t="n">
        <f aca="false">M211+$N$7</f>
        <v>4</v>
      </c>
      <c r="O211" s="126" t="n">
        <v>0.25</v>
      </c>
      <c r="P211" s="114"/>
      <c r="Q211" s="126" t="n">
        <f aca="false">M211+J211+G211</f>
        <v>11</v>
      </c>
      <c r="R211" s="126" t="n">
        <f aca="false">N211+K211+H211</f>
        <v>11</v>
      </c>
      <c r="S211" s="126" t="n">
        <f aca="false">O211+L211+I211</f>
        <v>7.25</v>
      </c>
      <c r="T211" s="127"/>
      <c r="U211" s="5" t="n">
        <f aca="false">A212-A211</f>
        <v>30</v>
      </c>
      <c r="V211" s="128" t="n">
        <f aca="false">CHOOSE(F$3,A212+24,A211)</f>
        <v>43405</v>
      </c>
      <c r="W211" s="5" t="n">
        <f aca="false">V211-C$3</f>
        <v>6174</v>
      </c>
      <c r="X211" s="124" t="n">
        <f aca="false">VLOOKUP($A211,Table,MATCH(X$4,Curves,0))</f>
        <v>2</v>
      </c>
      <c r="Y211" s="129" t="n">
        <f aca="false">1/(1+CHOOSE(F$3,(X212+($K$3/10000))/2,(X211+($K$3/10000))/2))^(2*W211/365.25)</f>
        <v>6.65402609603863E-011</v>
      </c>
      <c r="Z211" s="5" t="n">
        <f aca="false">IF(AND(mthbeg&lt;=A211,mthend&gt;=A211),1,0)</f>
        <v>0</v>
      </c>
      <c r="AA211" s="5" t="n">
        <f aca="false">U211*Z211</f>
        <v>0</v>
      </c>
      <c r="AC211" s="115" t="n">
        <f aca="false">IF(G204=2,F211*(S211-Q211),F211*(Q211-S211))</f>
        <v>0</v>
      </c>
      <c r="AE211" s="116" t="n">
        <f aca="false">IF($G$3=1,F211*(R211-Q211),F211*(Q211-R211))</f>
        <v>0</v>
      </c>
      <c r="AG211" s="116" t="n">
        <f aca="false">AC211+AE211</f>
        <v>0</v>
      </c>
    </row>
    <row r="212" customFormat="false" ht="12" hidden="false" customHeight="true" outlineLevel="0" collapsed="false">
      <c r="A212" s="120" t="n">
        <f aca="false">EDATE(A211,1)</f>
        <v>43435</v>
      </c>
      <c r="B212" s="121" t="e">
        <f aca="false">VLOOKUP(A212,'Inputs-Summary'!$A$32:$E$41,4,FALSE())</f>
        <v>#N/A</v>
      </c>
      <c r="C212" s="122"/>
      <c r="D212" s="123" t="e">
        <f aca="false">B212+C212</f>
        <v>#N/A</v>
      </c>
      <c r="E212" s="111" t="n">
        <f aca="false">IF(Z212=0,0,IF(AND(Z212=1,$H$3=1),D212*U212,IF($H$3=2,D212,"N/A")))</f>
        <v>0</v>
      </c>
      <c r="F212" s="111" t="n">
        <f aca="false">E212*Y212</f>
        <v>0</v>
      </c>
      <c r="G212" s="124" t="n">
        <f aca="false">VLOOKUP($A212,Table,MATCH(G$4,Curves,0))</f>
        <v>3</v>
      </c>
      <c r="H212" s="125" t="n">
        <f aca="false">G212+$H$7</f>
        <v>3</v>
      </c>
      <c r="I212" s="124" t="n">
        <f aca="false">H212</f>
        <v>3</v>
      </c>
      <c r="J212" s="124" t="n">
        <f aca="false">VLOOKUP($A212,Table,MATCH(J$4,Curves,0))</f>
        <v>4</v>
      </c>
      <c r="K212" s="125" t="n">
        <f aca="false">J212+$K$7</f>
        <v>4</v>
      </c>
      <c r="L212" s="126" t="n">
        <f aca="false">K212</f>
        <v>4</v>
      </c>
      <c r="M212" s="124" t="n">
        <f aca="false">VLOOKUP($A212,Table,MATCH(M$4,Curves,0))</f>
        <v>4</v>
      </c>
      <c r="N212" s="125" t="n">
        <f aca="false">M212+$N$7</f>
        <v>4</v>
      </c>
      <c r="O212" s="126" t="n">
        <v>0.25</v>
      </c>
      <c r="P212" s="114"/>
      <c r="Q212" s="126" t="n">
        <f aca="false">M212+J212+G212</f>
        <v>11</v>
      </c>
      <c r="R212" s="126" t="n">
        <f aca="false">N212+K212+H212</f>
        <v>11</v>
      </c>
      <c r="S212" s="126" t="n">
        <f aca="false">O212+L212+I212</f>
        <v>7.25</v>
      </c>
      <c r="T212" s="127"/>
      <c r="U212" s="5" t="n">
        <f aca="false">A213-A212</f>
        <v>31</v>
      </c>
      <c r="V212" s="128" t="n">
        <f aca="false">CHOOSE(F$3,A213+24,A212)</f>
        <v>43435</v>
      </c>
      <c r="W212" s="5" t="n">
        <f aca="false">V212-C$3</f>
        <v>6204</v>
      </c>
      <c r="X212" s="124" t="n">
        <f aca="false">VLOOKUP($A212,Table,MATCH(X$4,Curves,0))</f>
        <v>2</v>
      </c>
      <c r="Y212" s="129" t="n">
        <f aca="false">1/(1+CHOOSE(F$3,(X213+($K$3/10000))/2,(X212+($K$3/10000))/2))^(2*W212/365.25)</f>
        <v>5.93791514581843E-011</v>
      </c>
      <c r="Z212" s="5" t="n">
        <f aca="false">IF(AND(mthbeg&lt;=A212,mthend&gt;=A212),1,0)</f>
        <v>0</v>
      </c>
      <c r="AA212" s="5" t="n">
        <f aca="false">U212*Z212</f>
        <v>0</v>
      </c>
      <c r="AC212" s="115" t="n">
        <f aca="false">IF(G205=2,F212*(S212-Q212),F212*(Q212-S212))</f>
        <v>0</v>
      </c>
      <c r="AE212" s="116" t="n">
        <f aca="false">IF($G$3=1,F212*(R212-Q212),F212*(Q212-R212))</f>
        <v>0</v>
      </c>
      <c r="AG212" s="116" t="n">
        <f aca="false">AC212+AE212</f>
        <v>0</v>
      </c>
    </row>
    <row r="213" customFormat="false" ht="12" hidden="false" customHeight="true" outlineLevel="0" collapsed="false">
      <c r="A213" s="120" t="n">
        <f aca="false">EDATE(A212,1)</f>
        <v>43466</v>
      </c>
      <c r="B213" s="121" t="e">
        <f aca="false">VLOOKUP(A213,'Inputs-Summary'!$A$32:$E$41,4,FALSE())</f>
        <v>#N/A</v>
      </c>
      <c r="C213" s="122"/>
      <c r="D213" s="123" t="e">
        <f aca="false">B213+C213</f>
        <v>#N/A</v>
      </c>
      <c r="E213" s="111" t="n">
        <f aca="false">IF(Z213=0,0,IF(AND(Z213=1,$H$3=1),D213*U213,IF($H$3=2,D213,"N/A")))</f>
        <v>0</v>
      </c>
      <c r="F213" s="111" t="n">
        <f aca="false">E213*Y213</f>
        <v>0</v>
      </c>
      <c r="G213" s="124" t="n">
        <f aca="false">VLOOKUP($A213,Table,MATCH(G$4,Curves,0))</f>
        <v>3</v>
      </c>
      <c r="H213" s="125" t="n">
        <f aca="false">G213+$H$7</f>
        <v>3</v>
      </c>
      <c r="I213" s="124" t="n">
        <f aca="false">H213</f>
        <v>3</v>
      </c>
      <c r="J213" s="124" t="n">
        <f aca="false">VLOOKUP($A213,Table,MATCH(J$4,Curves,0))</f>
        <v>4</v>
      </c>
      <c r="K213" s="125" t="n">
        <f aca="false">J213+$K$7</f>
        <v>4</v>
      </c>
      <c r="L213" s="126" t="n">
        <f aca="false">K213</f>
        <v>4</v>
      </c>
      <c r="M213" s="124" t="n">
        <f aca="false">VLOOKUP($A213,Table,MATCH(M$4,Curves,0))</f>
        <v>4</v>
      </c>
      <c r="N213" s="125" t="n">
        <f aca="false">M213+$N$7</f>
        <v>4</v>
      </c>
      <c r="O213" s="126" t="n">
        <v>0.25</v>
      </c>
      <c r="P213" s="114"/>
      <c r="Q213" s="126" t="n">
        <f aca="false">M213+J213+G213</f>
        <v>11</v>
      </c>
      <c r="R213" s="126" t="n">
        <f aca="false">N213+K213+H213</f>
        <v>11</v>
      </c>
      <c r="S213" s="126" t="n">
        <f aca="false">O213+L213+I213</f>
        <v>7.25</v>
      </c>
      <c r="T213" s="127"/>
      <c r="U213" s="5" t="n">
        <f aca="false">A214-A213</f>
        <v>31</v>
      </c>
      <c r="V213" s="128" t="n">
        <f aca="false">CHOOSE(F$3,A214+24,A213)</f>
        <v>43466</v>
      </c>
      <c r="W213" s="5" t="n">
        <f aca="false">V213-C$3</f>
        <v>6235</v>
      </c>
      <c r="X213" s="124" t="n">
        <f aca="false">VLOOKUP($A213,Table,MATCH(X$4,Curves,0))</f>
        <v>2</v>
      </c>
      <c r="Y213" s="129" t="n">
        <f aca="false">1/(1+CHOOSE(F$3,(X214+($K$3/10000))/2,(X213+($K$3/10000))/2))^(2*W213/365.25)</f>
        <v>5.27879897966224E-011</v>
      </c>
      <c r="Z213" s="5" t="n">
        <f aca="false">IF(AND(mthbeg&lt;=A213,mthend&gt;=A213),1,0)</f>
        <v>0</v>
      </c>
      <c r="AA213" s="5" t="n">
        <f aca="false">U213*Z213</f>
        <v>0</v>
      </c>
      <c r="AC213" s="115" t="n">
        <f aca="false">IF(G206=2,F213*(S213-Q213),F213*(Q213-S213))</f>
        <v>0</v>
      </c>
      <c r="AE213" s="116" t="n">
        <f aca="false">IF($G$3=1,F213*(R213-Q213),F213*(Q213-R213))</f>
        <v>0</v>
      </c>
      <c r="AG213" s="116" t="n">
        <f aca="false">AC213+AE213</f>
        <v>0</v>
      </c>
    </row>
    <row r="214" customFormat="false" ht="12" hidden="false" customHeight="true" outlineLevel="0" collapsed="false">
      <c r="A214" s="120" t="n">
        <f aca="false">EDATE(A213,1)</f>
        <v>43497</v>
      </c>
      <c r="B214" s="121" t="e">
        <f aca="false">VLOOKUP(A214,'Inputs-Summary'!$A$32:$E$41,4,FALSE())</f>
        <v>#N/A</v>
      </c>
      <c r="C214" s="122"/>
      <c r="D214" s="123" t="e">
        <f aca="false">B214+C214</f>
        <v>#N/A</v>
      </c>
      <c r="E214" s="111" t="n">
        <f aca="false">IF(Z214=0,0,IF(AND(Z214=1,$H$3=1),D214*U214,IF($H$3=2,D214,"N/A")))</f>
        <v>0</v>
      </c>
      <c r="F214" s="111" t="n">
        <f aca="false">E214*Y214</f>
        <v>0</v>
      </c>
      <c r="G214" s="124" t="n">
        <f aca="false">VLOOKUP($A214,Table,MATCH(G$4,Curves,0))</f>
        <v>3</v>
      </c>
      <c r="H214" s="125" t="n">
        <f aca="false">G214+$H$7</f>
        <v>3</v>
      </c>
      <c r="I214" s="124" t="n">
        <f aca="false">H214</f>
        <v>3</v>
      </c>
      <c r="J214" s="124" t="n">
        <f aca="false">VLOOKUP($A214,Table,MATCH(J$4,Curves,0))</f>
        <v>4</v>
      </c>
      <c r="K214" s="125" t="n">
        <f aca="false">J214+$K$7</f>
        <v>4</v>
      </c>
      <c r="L214" s="126" t="n">
        <f aca="false">K214</f>
        <v>4</v>
      </c>
      <c r="M214" s="124" t="n">
        <f aca="false">VLOOKUP($A214,Table,MATCH(M$4,Curves,0))</f>
        <v>4</v>
      </c>
      <c r="N214" s="125" t="n">
        <f aca="false">M214+$N$7</f>
        <v>4</v>
      </c>
      <c r="O214" s="126" t="n">
        <v>0.25</v>
      </c>
      <c r="P214" s="114"/>
      <c r="Q214" s="126" t="n">
        <f aca="false">M214+J214+G214</f>
        <v>11</v>
      </c>
      <c r="R214" s="126" t="n">
        <f aca="false">N214+K214+H214</f>
        <v>11</v>
      </c>
      <c r="S214" s="126" t="n">
        <f aca="false">O214+L214+I214</f>
        <v>7.25</v>
      </c>
      <c r="T214" s="127"/>
      <c r="U214" s="5" t="n">
        <f aca="false">A215-A214</f>
        <v>28</v>
      </c>
      <c r="V214" s="128" t="n">
        <f aca="false">CHOOSE(F$3,A215+24,A214)</f>
        <v>43497</v>
      </c>
      <c r="W214" s="5" t="n">
        <f aca="false">V214-C$3</f>
        <v>6266</v>
      </c>
      <c r="X214" s="124" t="n">
        <f aca="false">VLOOKUP($A214,Table,MATCH(X$4,Curves,0))</f>
        <v>2</v>
      </c>
      <c r="Y214" s="129" t="n">
        <f aca="false">1/(1+CHOOSE(F$3,(X215+($K$3/10000))/2,(X214+($K$3/10000))/2))^(2*W214/365.25)</f>
        <v>4.69284554989077E-011</v>
      </c>
      <c r="Z214" s="5" t="n">
        <f aca="false">IF(AND(mthbeg&lt;=A214,mthend&gt;=A214),1,0)</f>
        <v>0</v>
      </c>
      <c r="AA214" s="5" t="n">
        <f aca="false">U214*Z214</f>
        <v>0</v>
      </c>
      <c r="AC214" s="115" t="n">
        <f aca="false">IF(G207=2,F214*(S214-Q214),F214*(Q214-S214))</f>
        <v>0</v>
      </c>
      <c r="AE214" s="116" t="n">
        <f aca="false">IF($G$3=1,F214*(R214-Q214),F214*(Q214-R214))</f>
        <v>0</v>
      </c>
      <c r="AG214" s="116" t="n">
        <f aca="false">AC214+AE214</f>
        <v>0</v>
      </c>
    </row>
    <row r="215" customFormat="false" ht="12" hidden="false" customHeight="true" outlineLevel="0" collapsed="false">
      <c r="A215" s="120" t="n">
        <f aca="false">EDATE(A214,1)</f>
        <v>43525</v>
      </c>
      <c r="B215" s="121" t="e">
        <f aca="false">VLOOKUP(A215,'Inputs-Summary'!$A$32:$E$41,4,FALSE())</f>
        <v>#N/A</v>
      </c>
      <c r="C215" s="122"/>
      <c r="D215" s="123" t="e">
        <f aca="false">B215+C215</f>
        <v>#N/A</v>
      </c>
      <c r="E215" s="111" t="n">
        <f aca="false">IF(Z215=0,0,IF(AND(Z215=1,$H$3=1),D215*U215,IF($H$3=2,D215,"N/A")))</f>
        <v>0</v>
      </c>
      <c r="F215" s="111" t="n">
        <f aca="false">E215*Y215</f>
        <v>0</v>
      </c>
      <c r="G215" s="124" t="n">
        <f aca="false">VLOOKUP($A215,Table,MATCH(G$4,Curves,0))</f>
        <v>3</v>
      </c>
      <c r="H215" s="125" t="n">
        <f aca="false">G215+$H$7</f>
        <v>3</v>
      </c>
      <c r="I215" s="124" t="n">
        <f aca="false">H215</f>
        <v>3</v>
      </c>
      <c r="J215" s="124" t="n">
        <f aca="false">VLOOKUP($A215,Table,MATCH(J$4,Curves,0))</f>
        <v>4</v>
      </c>
      <c r="K215" s="125" t="n">
        <f aca="false">J215+$K$7</f>
        <v>4</v>
      </c>
      <c r="L215" s="126" t="n">
        <f aca="false">K215</f>
        <v>4</v>
      </c>
      <c r="M215" s="124" t="n">
        <f aca="false">VLOOKUP($A215,Table,MATCH(M$4,Curves,0))</f>
        <v>4</v>
      </c>
      <c r="N215" s="125" t="n">
        <f aca="false">M215+$N$7</f>
        <v>4</v>
      </c>
      <c r="O215" s="126" t="n">
        <v>0.25</v>
      </c>
      <c r="P215" s="114"/>
      <c r="Q215" s="126" t="n">
        <f aca="false">M215+J215+G215</f>
        <v>11</v>
      </c>
      <c r="R215" s="126" t="n">
        <f aca="false">N215+K215+H215</f>
        <v>11</v>
      </c>
      <c r="S215" s="126" t="n">
        <f aca="false">O215+L215+I215</f>
        <v>7.25</v>
      </c>
      <c r="T215" s="127"/>
      <c r="U215" s="5" t="n">
        <f aca="false">A216-A215</f>
        <v>31</v>
      </c>
      <c r="V215" s="128" t="n">
        <f aca="false">CHOOSE(F$3,A216+24,A215)</f>
        <v>43525</v>
      </c>
      <c r="W215" s="5" t="n">
        <f aca="false">V215-C$3</f>
        <v>6294</v>
      </c>
      <c r="X215" s="124" t="n">
        <f aca="false">VLOOKUP($A215,Table,MATCH(X$4,Curves,0))</f>
        <v>2</v>
      </c>
      <c r="Y215" s="129" t="n">
        <f aca="false">1/(1+CHOOSE(F$3,(X216+($K$3/10000))/2,(X215+($K$3/10000))/2))^(2*W215/365.25)</f>
        <v>4.2197084859845E-011</v>
      </c>
      <c r="Z215" s="5" t="n">
        <f aca="false">IF(AND(mthbeg&lt;=A215,mthend&gt;=A215),1,0)</f>
        <v>0</v>
      </c>
      <c r="AA215" s="5" t="n">
        <f aca="false">U215*Z215</f>
        <v>0</v>
      </c>
      <c r="AC215" s="115" t="n">
        <f aca="false">IF(G208=2,F215*(S215-Q215),F215*(Q215-S215))</f>
        <v>0</v>
      </c>
      <c r="AE215" s="116" t="n">
        <f aca="false">IF($G$3=1,F215*(R215-Q215),F215*(Q215-R215))</f>
        <v>0</v>
      </c>
      <c r="AG215" s="116" t="n">
        <f aca="false">AC215+AE215</f>
        <v>0</v>
      </c>
    </row>
    <row r="216" customFormat="false" ht="12" hidden="false" customHeight="true" outlineLevel="0" collapsed="false">
      <c r="A216" s="120" t="n">
        <f aca="false">EDATE(A215,1)</f>
        <v>43556</v>
      </c>
      <c r="B216" s="121" t="e">
        <f aca="false">VLOOKUP(A216,'Inputs-Summary'!$A$32:$E$41,4,FALSE())</f>
        <v>#N/A</v>
      </c>
      <c r="C216" s="122"/>
      <c r="D216" s="123" t="e">
        <f aca="false">B216+C216</f>
        <v>#N/A</v>
      </c>
      <c r="E216" s="111" t="n">
        <f aca="false">IF(Z216=0,0,IF(AND(Z216=1,$H$3=1),D216*U216,IF($H$3=2,D216,"N/A")))</f>
        <v>0</v>
      </c>
      <c r="F216" s="111" t="n">
        <f aca="false">E216*Y216</f>
        <v>0</v>
      </c>
      <c r="G216" s="124" t="n">
        <f aca="false">VLOOKUP($A216,Table,MATCH(G$4,Curves,0))</f>
        <v>3</v>
      </c>
      <c r="H216" s="125" t="n">
        <f aca="false">G216+$H$7</f>
        <v>3</v>
      </c>
      <c r="I216" s="124" t="n">
        <f aca="false">H216</f>
        <v>3</v>
      </c>
      <c r="J216" s="124" t="n">
        <f aca="false">VLOOKUP($A216,Table,MATCH(J$4,Curves,0))</f>
        <v>4</v>
      </c>
      <c r="K216" s="125" t="n">
        <f aca="false">J216+$K$7</f>
        <v>4</v>
      </c>
      <c r="L216" s="126" t="n">
        <f aca="false">K216</f>
        <v>4</v>
      </c>
      <c r="M216" s="124" t="n">
        <f aca="false">VLOOKUP($A216,Table,MATCH(M$4,Curves,0))</f>
        <v>4</v>
      </c>
      <c r="N216" s="125" t="n">
        <f aca="false">M216+$N$7</f>
        <v>4</v>
      </c>
      <c r="O216" s="126" t="n">
        <v>0.25</v>
      </c>
      <c r="P216" s="114"/>
      <c r="Q216" s="126" t="n">
        <f aca="false">M216+J216+G216</f>
        <v>11</v>
      </c>
      <c r="R216" s="126" t="n">
        <f aca="false">N216+K216+H216</f>
        <v>11</v>
      </c>
      <c r="S216" s="126" t="n">
        <f aca="false">O216+L216+I216</f>
        <v>7.25</v>
      </c>
      <c r="T216" s="127"/>
      <c r="U216" s="5" t="n">
        <f aca="false">A217-A216</f>
        <v>30</v>
      </c>
      <c r="V216" s="128" t="n">
        <f aca="false">CHOOSE(F$3,A217+24,A216)</f>
        <v>43556</v>
      </c>
      <c r="W216" s="5" t="n">
        <f aca="false">V216-C$3</f>
        <v>6325</v>
      </c>
      <c r="X216" s="124" t="n">
        <f aca="false">VLOOKUP($A216,Table,MATCH(X$4,Curves,0))</f>
        <v>2</v>
      </c>
      <c r="Y216" s="129" t="n">
        <f aca="false">1/(1+CHOOSE(F$3,(X217+($K$3/10000))/2,(X216+($K$3/10000))/2))^(2*W216/365.25)</f>
        <v>3.75131545387162E-011</v>
      </c>
      <c r="Z216" s="5" t="n">
        <f aca="false">IF(AND(mthbeg&lt;=A216,mthend&gt;=A216),1,0)</f>
        <v>0</v>
      </c>
      <c r="AA216" s="5" t="n">
        <f aca="false">U216*Z216</f>
        <v>0</v>
      </c>
      <c r="AC216" s="115" t="n">
        <f aca="false">IF(G209=2,F216*(S216-Q216),F216*(Q216-S216))</f>
        <v>0</v>
      </c>
      <c r="AE216" s="116" t="n">
        <f aca="false">IF($G$3=1,F216*(R216-Q216),F216*(Q216-R216))</f>
        <v>0</v>
      </c>
      <c r="AG216" s="116" t="n">
        <f aca="false">AC216+AE216</f>
        <v>0</v>
      </c>
    </row>
    <row r="217" customFormat="false" ht="12" hidden="false" customHeight="true" outlineLevel="0" collapsed="false">
      <c r="A217" s="120" t="n">
        <f aca="false">EDATE(A216,1)</f>
        <v>43586</v>
      </c>
      <c r="B217" s="121" t="e">
        <f aca="false">VLOOKUP(A217,'Inputs-Summary'!$A$32:$E$41,4,FALSE())</f>
        <v>#N/A</v>
      </c>
      <c r="C217" s="122"/>
      <c r="D217" s="123" t="e">
        <f aca="false">B217+C217</f>
        <v>#N/A</v>
      </c>
      <c r="E217" s="111" t="n">
        <f aca="false">IF(Z217=0,0,IF(AND(Z217=1,$H$3=1),D217*U217,IF($H$3=2,D217,"N/A")))</f>
        <v>0</v>
      </c>
      <c r="F217" s="111" t="n">
        <f aca="false">E217*Y217</f>
        <v>0</v>
      </c>
      <c r="G217" s="124" t="n">
        <f aca="false">VLOOKUP($A217,Table,MATCH(G$4,Curves,0))</f>
        <v>3</v>
      </c>
      <c r="H217" s="125" t="n">
        <f aca="false">G217+$H$7</f>
        <v>3</v>
      </c>
      <c r="I217" s="124" t="n">
        <f aca="false">H217</f>
        <v>3</v>
      </c>
      <c r="J217" s="124" t="n">
        <f aca="false">VLOOKUP($A217,Table,MATCH(J$4,Curves,0))</f>
        <v>4</v>
      </c>
      <c r="K217" s="125" t="n">
        <f aca="false">J217+$K$7</f>
        <v>4</v>
      </c>
      <c r="L217" s="126" t="n">
        <f aca="false">K217</f>
        <v>4</v>
      </c>
      <c r="M217" s="124" t="n">
        <f aca="false">VLOOKUP($A217,Table,MATCH(M$4,Curves,0))</f>
        <v>4</v>
      </c>
      <c r="N217" s="125" t="n">
        <f aca="false">M217+$N$7</f>
        <v>4</v>
      </c>
      <c r="O217" s="126" t="n">
        <v>0.25</v>
      </c>
      <c r="P217" s="114"/>
      <c r="Q217" s="126" t="n">
        <f aca="false">M217+J217+G217</f>
        <v>11</v>
      </c>
      <c r="R217" s="126" t="n">
        <f aca="false">N217+K217+H217</f>
        <v>11</v>
      </c>
      <c r="S217" s="126" t="n">
        <f aca="false">O217+L217+I217</f>
        <v>7.25</v>
      </c>
      <c r="T217" s="127"/>
      <c r="U217" s="5" t="n">
        <f aca="false">A218-A217</f>
        <v>31</v>
      </c>
      <c r="V217" s="128" t="n">
        <f aca="false">CHOOSE(F$3,A218+24,A217)</f>
        <v>43586</v>
      </c>
      <c r="W217" s="5" t="n">
        <f aca="false">V217-C$3</f>
        <v>6355</v>
      </c>
      <c r="X217" s="124" t="n">
        <f aca="false">VLOOKUP($A217,Table,MATCH(X$4,Curves,0))</f>
        <v>2</v>
      </c>
      <c r="Y217" s="129" t="n">
        <f aca="false">1/(1+CHOOSE(F$3,(X218+($K$3/10000))/2,(X217+($K$3/10000))/2))^(2*W217/365.25)</f>
        <v>3.34759625658036E-011</v>
      </c>
      <c r="Z217" s="5" t="n">
        <f aca="false">IF(AND(mthbeg&lt;=A217,mthend&gt;=A217),1,0)</f>
        <v>0</v>
      </c>
      <c r="AA217" s="5" t="n">
        <f aca="false">U217*Z217</f>
        <v>0</v>
      </c>
      <c r="AC217" s="115" t="n">
        <f aca="false">IF(G210=2,F217*(S217-Q217),F217*(Q217-S217))</f>
        <v>0</v>
      </c>
      <c r="AE217" s="116" t="n">
        <f aca="false">IF($G$3=1,F217*(R217-Q217),F217*(Q217-R217))</f>
        <v>0</v>
      </c>
      <c r="AG217" s="116" t="n">
        <f aca="false">AC217+AE217</f>
        <v>0</v>
      </c>
    </row>
    <row r="218" customFormat="false" ht="12" hidden="false" customHeight="true" outlineLevel="0" collapsed="false">
      <c r="A218" s="120" t="n">
        <f aca="false">EDATE(A217,1)</f>
        <v>43617</v>
      </c>
      <c r="B218" s="121" t="e">
        <f aca="false">VLOOKUP(A218,'Inputs-Summary'!$A$32:$E$41,4,FALSE())</f>
        <v>#N/A</v>
      </c>
      <c r="C218" s="122"/>
      <c r="D218" s="123" t="e">
        <f aca="false">B218+C218</f>
        <v>#N/A</v>
      </c>
      <c r="E218" s="111" t="n">
        <f aca="false">IF(Z218=0,0,IF(AND(Z218=1,$H$3=1),D218*U218,IF($H$3=2,D218,"N/A")))</f>
        <v>0</v>
      </c>
      <c r="F218" s="111" t="n">
        <f aca="false">E218*Y218</f>
        <v>0</v>
      </c>
      <c r="G218" s="124" t="n">
        <f aca="false">VLOOKUP($A218,Table,MATCH(G$4,Curves,0))</f>
        <v>3</v>
      </c>
      <c r="H218" s="125" t="n">
        <f aca="false">G218+$H$7</f>
        <v>3</v>
      </c>
      <c r="I218" s="124" t="n">
        <f aca="false">H218</f>
        <v>3</v>
      </c>
      <c r="J218" s="124" t="n">
        <f aca="false">VLOOKUP($A218,Table,MATCH(J$4,Curves,0))</f>
        <v>4</v>
      </c>
      <c r="K218" s="125" t="n">
        <f aca="false">J218+$K$7</f>
        <v>4</v>
      </c>
      <c r="L218" s="126" t="n">
        <f aca="false">K218</f>
        <v>4</v>
      </c>
      <c r="M218" s="124" t="n">
        <f aca="false">VLOOKUP($A218,Table,MATCH(M$4,Curves,0))</f>
        <v>4</v>
      </c>
      <c r="N218" s="125" t="n">
        <f aca="false">M218+$N$7</f>
        <v>4</v>
      </c>
      <c r="O218" s="126" t="n">
        <v>0.25</v>
      </c>
      <c r="P218" s="114"/>
      <c r="Q218" s="126" t="n">
        <f aca="false">M218+J218+G218</f>
        <v>11</v>
      </c>
      <c r="R218" s="126" t="n">
        <f aca="false">N218+K218+H218</f>
        <v>11</v>
      </c>
      <c r="S218" s="126" t="n">
        <f aca="false">O218+L218+I218</f>
        <v>7.25</v>
      </c>
      <c r="T218" s="127"/>
      <c r="U218" s="5" t="n">
        <f aca="false">A219-A218</f>
        <v>30</v>
      </c>
      <c r="V218" s="128" t="n">
        <f aca="false">CHOOSE(F$3,A219+24,A218)</f>
        <v>43617</v>
      </c>
      <c r="W218" s="5" t="n">
        <f aca="false">V218-C$3</f>
        <v>6386</v>
      </c>
      <c r="X218" s="124" t="n">
        <f aca="false">VLOOKUP($A218,Table,MATCH(X$4,Curves,0))</f>
        <v>2</v>
      </c>
      <c r="Y218" s="129" t="n">
        <f aca="false">1/(1+CHOOSE(F$3,(X219+($K$3/10000))/2,(X218+($K$3/10000))/2))^(2*W218/365.25)</f>
        <v>2.97600879594951E-011</v>
      </c>
      <c r="Z218" s="5" t="n">
        <f aca="false">IF(AND(mthbeg&lt;=A218,mthend&gt;=A218),1,0)</f>
        <v>0</v>
      </c>
      <c r="AA218" s="5" t="n">
        <f aca="false">U218*Z218</f>
        <v>0</v>
      </c>
      <c r="AC218" s="115" t="n">
        <f aca="false">IF(G211=2,F218*(S218-Q218),F218*(Q218-S218))</f>
        <v>0</v>
      </c>
      <c r="AE218" s="116" t="n">
        <f aca="false">IF($G$3=1,F218*(R218-Q218),F218*(Q218-R218))</f>
        <v>0</v>
      </c>
      <c r="AG218" s="116" t="n">
        <f aca="false">AC218+AE218</f>
        <v>0</v>
      </c>
    </row>
    <row r="219" customFormat="false" ht="12" hidden="false" customHeight="true" outlineLevel="0" collapsed="false">
      <c r="A219" s="120" t="n">
        <f aca="false">EDATE(A218,1)</f>
        <v>43647</v>
      </c>
      <c r="B219" s="121" t="e">
        <f aca="false">VLOOKUP(A219,'Inputs-Summary'!$A$32:$E$41,4,FALSE())</f>
        <v>#N/A</v>
      </c>
      <c r="C219" s="122"/>
      <c r="D219" s="123" t="e">
        <f aca="false">B219+C219</f>
        <v>#N/A</v>
      </c>
      <c r="E219" s="111" t="n">
        <f aca="false">IF(Z219=0,0,IF(AND(Z219=1,$H$3=1),D219*U219,IF($H$3=2,D219,"N/A")))</f>
        <v>0</v>
      </c>
      <c r="F219" s="111" t="n">
        <f aca="false">E219*Y219</f>
        <v>0</v>
      </c>
      <c r="G219" s="124" t="n">
        <f aca="false">VLOOKUP($A219,Table,MATCH(G$4,Curves,0))</f>
        <v>3</v>
      </c>
      <c r="H219" s="125" t="n">
        <f aca="false">G219+$H$7</f>
        <v>3</v>
      </c>
      <c r="I219" s="124" t="n">
        <f aca="false">H219</f>
        <v>3</v>
      </c>
      <c r="J219" s="124" t="n">
        <f aca="false">VLOOKUP($A219,Table,MATCH(J$4,Curves,0))</f>
        <v>4</v>
      </c>
      <c r="K219" s="125" t="n">
        <f aca="false">J219+$K$7</f>
        <v>4</v>
      </c>
      <c r="L219" s="126" t="n">
        <f aca="false">K219</f>
        <v>4</v>
      </c>
      <c r="M219" s="124" t="n">
        <f aca="false">VLOOKUP($A219,Table,MATCH(M$4,Curves,0))</f>
        <v>4</v>
      </c>
      <c r="N219" s="125" t="n">
        <f aca="false">M219+$N$7</f>
        <v>4</v>
      </c>
      <c r="O219" s="126" t="n">
        <v>0.25</v>
      </c>
      <c r="P219" s="114"/>
      <c r="Q219" s="126" t="n">
        <f aca="false">M219+J219+G219</f>
        <v>11</v>
      </c>
      <c r="R219" s="126" t="n">
        <f aca="false">N219+K219+H219</f>
        <v>11</v>
      </c>
      <c r="S219" s="126" t="n">
        <f aca="false">O219+L219+I219</f>
        <v>7.25</v>
      </c>
      <c r="T219" s="127"/>
      <c r="U219" s="5" t="n">
        <f aca="false">A220-A219</f>
        <v>31</v>
      </c>
      <c r="V219" s="128" t="n">
        <f aca="false">CHOOSE(F$3,A220+24,A219)</f>
        <v>43647</v>
      </c>
      <c r="W219" s="5" t="n">
        <f aca="false">V219-C$3</f>
        <v>6416</v>
      </c>
      <c r="X219" s="124" t="n">
        <f aca="false">VLOOKUP($A219,Table,MATCH(X$4,Curves,0))</f>
        <v>2</v>
      </c>
      <c r="Y219" s="129" t="n">
        <f aca="false">1/(1+CHOOSE(F$3,(X220+($K$3/10000))/2,(X219+($K$3/10000))/2))^(2*W219/365.25)</f>
        <v>2.65572864435831E-011</v>
      </c>
      <c r="Z219" s="5" t="n">
        <f aca="false">IF(AND(mthbeg&lt;=A219,mthend&gt;=A219),1,0)</f>
        <v>0</v>
      </c>
      <c r="AA219" s="5" t="n">
        <f aca="false">U219*Z219</f>
        <v>0</v>
      </c>
      <c r="AC219" s="115" t="n">
        <f aca="false">IF(G212=2,F219*(S219-Q219),F219*(Q219-S219))</f>
        <v>0</v>
      </c>
      <c r="AE219" s="116" t="n">
        <f aca="false">IF($G$3=1,F219*(R219-Q219),F219*(Q219-R219))</f>
        <v>0</v>
      </c>
      <c r="AG219" s="116" t="n">
        <f aca="false">AC219+AE219</f>
        <v>0</v>
      </c>
    </row>
    <row r="220" customFormat="false" ht="12" hidden="false" customHeight="true" outlineLevel="0" collapsed="false">
      <c r="A220" s="120" t="n">
        <f aca="false">EDATE(A219,1)</f>
        <v>43678</v>
      </c>
      <c r="B220" s="121" t="e">
        <f aca="false">VLOOKUP(A220,'Inputs-Summary'!$A$32:$E$41,4,FALSE())</f>
        <v>#N/A</v>
      </c>
      <c r="C220" s="122"/>
      <c r="D220" s="123" t="e">
        <f aca="false">B220+C220</f>
        <v>#N/A</v>
      </c>
      <c r="E220" s="111" t="n">
        <f aca="false">IF(Z220=0,0,IF(AND(Z220=1,$H$3=1),D220*U220,IF($H$3=2,D220,"N/A")))</f>
        <v>0</v>
      </c>
      <c r="F220" s="111" t="n">
        <f aca="false">E220*Y220</f>
        <v>0</v>
      </c>
      <c r="G220" s="124" t="n">
        <f aca="false">VLOOKUP($A220,Table,MATCH(G$4,Curves,0))</f>
        <v>3</v>
      </c>
      <c r="H220" s="125" t="n">
        <f aca="false">G220+$H$7</f>
        <v>3</v>
      </c>
      <c r="I220" s="124" t="n">
        <f aca="false">H220</f>
        <v>3</v>
      </c>
      <c r="J220" s="124" t="n">
        <f aca="false">VLOOKUP($A220,Table,MATCH(J$4,Curves,0))</f>
        <v>4</v>
      </c>
      <c r="K220" s="125" t="n">
        <f aca="false">J220+$K$7</f>
        <v>4</v>
      </c>
      <c r="L220" s="126" t="n">
        <f aca="false">K220</f>
        <v>4</v>
      </c>
      <c r="M220" s="124" t="n">
        <f aca="false">VLOOKUP($A220,Table,MATCH(M$4,Curves,0))</f>
        <v>4</v>
      </c>
      <c r="N220" s="125" t="n">
        <f aca="false">M220+$N$7</f>
        <v>4</v>
      </c>
      <c r="O220" s="126" t="n">
        <v>0.25</v>
      </c>
      <c r="P220" s="114"/>
      <c r="Q220" s="126" t="n">
        <f aca="false">M220+J220+G220</f>
        <v>11</v>
      </c>
      <c r="R220" s="126" t="n">
        <f aca="false">N220+K220+H220</f>
        <v>11</v>
      </c>
      <c r="S220" s="126" t="n">
        <f aca="false">O220+L220+I220</f>
        <v>7.25</v>
      </c>
      <c r="T220" s="127"/>
      <c r="U220" s="5" t="n">
        <f aca="false">A221-A220</f>
        <v>31</v>
      </c>
      <c r="V220" s="128" t="n">
        <f aca="false">CHOOSE(F$3,A221+24,A220)</f>
        <v>43678</v>
      </c>
      <c r="W220" s="5" t="n">
        <f aca="false">V220-C$3</f>
        <v>6447</v>
      </c>
      <c r="X220" s="124" t="n">
        <f aca="false">VLOOKUP($A220,Table,MATCH(X$4,Curves,0))</f>
        <v>2</v>
      </c>
      <c r="Y220" s="129" t="n">
        <f aca="false">1/(1+CHOOSE(F$3,(X221+($K$3/10000))/2,(X220+($K$3/10000))/2))^(2*W220/365.25)</f>
        <v>2.36093937246154E-011</v>
      </c>
      <c r="Z220" s="5" t="n">
        <f aca="false">IF(AND(mthbeg&lt;=A220,mthend&gt;=A220),1,0)</f>
        <v>0</v>
      </c>
      <c r="AA220" s="5" t="n">
        <f aca="false">U220*Z220</f>
        <v>0</v>
      </c>
      <c r="AC220" s="115" t="n">
        <f aca="false">IF(G213=2,F220*(S220-Q220),F220*(Q220-S220))</f>
        <v>0</v>
      </c>
      <c r="AE220" s="116" t="n">
        <f aca="false">IF($G$3=1,F220*(R220-Q220),F220*(Q220-R220))</f>
        <v>0</v>
      </c>
      <c r="AG220" s="116" t="n">
        <f aca="false">AC220+AE220</f>
        <v>0</v>
      </c>
    </row>
    <row r="221" customFormat="false" ht="12" hidden="false" customHeight="true" outlineLevel="0" collapsed="false">
      <c r="A221" s="120" t="n">
        <f aca="false">EDATE(A220,1)</f>
        <v>43709</v>
      </c>
      <c r="B221" s="121" t="e">
        <f aca="false">VLOOKUP(A221,'Inputs-Summary'!$A$32:$E$41,4,FALSE())</f>
        <v>#N/A</v>
      </c>
      <c r="C221" s="122"/>
      <c r="D221" s="123" t="e">
        <f aca="false">B221+C221</f>
        <v>#N/A</v>
      </c>
      <c r="E221" s="111" t="n">
        <f aca="false">IF(Z221=0,0,IF(AND(Z221=1,$H$3=1),D221*U221,IF($H$3=2,D221,"N/A")))</f>
        <v>0</v>
      </c>
      <c r="F221" s="111" t="n">
        <f aca="false">E221*Y221</f>
        <v>0</v>
      </c>
      <c r="G221" s="124" t="n">
        <f aca="false">VLOOKUP($A221,Table,MATCH(G$4,Curves,0))</f>
        <v>3</v>
      </c>
      <c r="H221" s="125" t="n">
        <f aca="false">G221+$H$7</f>
        <v>3</v>
      </c>
      <c r="I221" s="124" t="n">
        <f aca="false">H221</f>
        <v>3</v>
      </c>
      <c r="J221" s="124" t="n">
        <f aca="false">VLOOKUP($A221,Table,MATCH(J$4,Curves,0))</f>
        <v>4</v>
      </c>
      <c r="K221" s="125" t="n">
        <f aca="false">J221+$K$7</f>
        <v>4</v>
      </c>
      <c r="L221" s="126" t="n">
        <f aca="false">K221</f>
        <v>4</v>
      </c>
      <c r="M221" s="124" t="n">
        <f aca="false">VLOOKUP($A221,Table,MATCH(M$4,Curves,0))</f>
        <v>4</v>
      </c>
      <c r="N221" s="125" t="n">
        <f aca="false">M221+$N$7</f>
        <v>4</v>
      </c>
      <c r="O221" s="126" t="n">
        <v>0.25</v>
      </c>
      <c r="P221" s="114"/>
      <c r="Q221" s="126" t="n">
        <f aca="false">M221+J221+G221</f>
        <v>11</v>
      </c>
      <c r="R221" s="126" t="n">
        <f aca="false">N221+K221+H221</f>
        <v>11</v>
      </c>
      <c r="S221" s="126" t="n">
        <f aca="false">O221+L221+I221</f>
        <v>7.25</v>
      </c>
      <c r="T221" s="127"/>
      <c r="U221" s="5" t="n">
        <f aca="false">A222-A221</f>
        <v>30</v>
      </c>
      <c r="V221" s="128" t="n">
        <f aca="false">CHOOSE(F$3,A222+24,A221)</f>
        <v>43709</v>
      </c>
      <c r="W221" s="5" t="n">
        <f aca="false">V221-C$3</f>
        <v>6478</v>
      </c>
      <c r="X221" s="124" t="n">
        <f aca="false">VLOOKUP($A221,Table,MATCH(X$4,Curves,0))</f>
        <v>2</v>
      </c>
      <c r="Y221" s="129" t="n">
        <f aca="false">1/(1+CHOOSE(F$3,(X222+($K$3/10000))/2,(X221+($K$3/10000))/2))^(2*W221/365.25)</f>
        <v>2.09887208630304E-011</v>
      </c>
      <c r="Z221" s="5" t="n">
        <f aca="false">IF(AND(mthbeg&lt;=A221,mthend&gt;=A221),1,0)</f>
        <v>0</v>
      </c>
      <c r="AA221" s="5" t="n">
        <f aca="false">U221*Z221</f>
        <v>0</v>
      </c>
      <c r="AC221" s="115" t="n">
        <f aca="false">IF(G214=2,F221*(S221-Q221),F221*(Q221-S221))</f>
        <v>0</v>
      </c>
      <c r="AE221" s="116" t="n">
        <f aca="false">IF($G$3=1,F221*(R221-Q221),F221*(Q221-R221))</f>
        <v>0</v>
      </c>
      <c r="AG221" s="116" t="n">
        <f aca="false">AC221+AE221</f>
        <v>0</v>
      </c>
    </row>
    <row r="222" customFormat="false" ht="12" hidden="false" customHeight="true" outlineLevel="0" collapsed="false">
      <c r="A222" s="120" t="n">
        <f aca="false">EDATE(A221,1)</f>
        <v>43739</v>
      </c>
      <c r="B222" s="121" t="e">
        <f aca="false">VLOOKUP(A222,'Inputs-Summary'!$A$32:$E$41,4,FALSE())</f>
        <v>#N/A</v>
      </c>
      <c r="C222" s="122"/>
      <c r="D222" s="123" t="e">
        <f aca="false">B222+C222</f>
        <v>#N/A</v>
      </c>
      <c r="E222" s="111" t="n">
        <f aca="false">IF(Z222=0,0,IF(AND(Z222=1,$H$3=1),D222*U222,IF($H$3=2,D222,"N/A")))</f>
        <v>0</v>
      </c>
      <c r="F222" s="111" t="n">
        <f aca="false">E222*Y222</f>
        <v>0</v>
      </c>
      <c r="G222" s="124" t="n">
        <f aca="false">VLOOKUP($A222,Table,MATCH(G$4,Curves,0))</f>
        <v>3</v>
      </c>
      <c r="H222" s="125" t="n">
        <f aca="false">G222+$H$7</f>
        <v>3</v>
      </c>
      <c r="I222" s="124" t="n">
        <f aca="false">H222</f>
        <v>3</v>
      </c>
      <c r="J222" s="124" t="n">
        <f aca="false">VLOOKUP($A222,Table,MATCH(J$4,Curves,0))</f>
        <v>4</v>
      </c>
      <c r="K222" s="125" t="n">
        <f aca="false">J222+$K$7</f>
        <v>4</v>
      </c>
      <c r="L222" s="126" t="n">
        <f aca="false">K222</f>
        <v>4</v>
      </c>
      <c r="M222" s="124" t="n">
        <f aca="false">VLOOKUP($A222,Table,MATCH(M$4,Curves,0))</f>
        <v>4</v>
      </c>
      <c r="N222" s="125" t="n">
        <f aca="false">M222+$N$7</f>
        <v>4</v>
      </c>
      <c r="O222" s="126" t="n">
        <v>0.25</v>
      </c>
      <c r="P222" s="114"/>
      <c r="Q222" s="126" t="n">
        <f aca="false">M222+J222+G222</f>
        <v>11</v>
      </c>
      <c r="R222" s="126" t="n">
        <f aca="false">N222+K222+H222</f>
        <v>11</v>
      </c>
      <c r="S222" s="126" t="n">
        <f aca="false">O222+L222+I222</f>
        <v>7.25</v>
      </c>
      <c r="T222" s="127"/>
      <c r="U222" s="5" t="n">
        <f aca="false">A223-A222</f>
        <v>31</v>
      </c>
      <c r="V222" s="128" t="n">
        <f aca="false">CHOOSE(F$3,A223+24,A222)</f>
        <v>43739</v>
      </c>
      <c r="W222" s="5" t="n">
        <f aca="false">V222-C$3</f>
        <v>6508</v>
      </c>
      <c r="X222" s="124" t="n">
        <f aca="false">VLOOKUP($A222,Table,MATCH(X$4,Curves,0))</f>
        <v>2</v>
      </c>
      <c r="Y222" s="129" t="n">
        <f aca="false">1/(1+CHOOSE(F$3,(X223+($K$3/10000))/2,(X222+($K$3/10000))/2))^(2*W222/365.25)</f>
        <v>1.87299000191987E-011</v>
      </c>
      <c r="Z222" s="5" t="n">
        <f aca="false">IF(AND(mthbeg&lt;=A222,mthend&gt;=A222),1,0)</f>
        <v>0</v>
      </c>
      <c r="AA222" s="5" t="n">
        <f aca="false">U222*Z222</f>
        <v>0</v>
      </c>
      <c r="AC222" s="115" t="n">
        <f aca="false">IF(G215=2,F222*(S222-Q222),F222*(Q222-S222))</f>
        <v>0</v>
      </c>
      <c r="AE222" s="116" t="n">
        <f aca="false">IF($G$3=1,F222*(R222-Q222),F222*(Q222-R222))</f>
        <v>0</v>
      </c>
      <c r="AG222" s="116" t="n">
        <f aca="false">AC222+AE222</f>
        <v>0</v>
      </c>
    </row>
    <row r="223" customFormat="false" ht="12" hidden="false" customHeight="true" outlineLevel="0" collapsed="false">
      <c r="A223" s="120" t="n">
        <f aca="false">EDATE(A222,1)</f>
        <v>43770</v>
      </c>
      <c r="B223" s="121" t="e">
        <f aca="false">VLOOKUP(A223,'Inputs-Summary'!$A$32:$E$41,4,FALSE())</f>
        <v>#N/A</v>
      </c>
      <c r="C223" s="122"/>
      <c r="D223" s="123" t="e">
        <f aca="false">B223+C223</f>
        <v>#N/A</v>
      </c>
      <c r="E223" s="111" t="n">
        <f aca="false">IF(Z223=0,0,IF(AND(Z223=1,$H$3=1),D223*U223,IF($H$3=2,D223,"N/A")))</f>
        <v>0</v>
      </c>
      <c r="F223" s="111" t="n">
        <f aca="false">E223*Y223</f>
        <v>0</v>
      </c>
      <c r="G223" s="124" t="n">
        <f aca="false">VLOOKUP($A223,Table,MATCH(G$4,Curves,0))</f>
        <v>3</v>
      </c>
      <c r="H223" s="125" t="n">
        <f aca="false">G223+$H$7</f>
        <v>3</v>
      </c>
      <c r="I223" s="124" t="n">
        <f aca="false">H223</f>
        <v>3</v>
      </c>
      <c r="J223" s="124" t="n">
        <f aca="false">VLOOKUP($A223,Table,MATCH(J$4,Curves,0))</f>
        <v>4</v>
      </c>
      <c r="K223" s="125" t="n">
        <f aca="false">J223+$K$7</f>
        <v>4</v>
      </c>
      <c r="L223" s="126" t="n">
        <f aca="false">K223</f>
        <v>4</v>
      </c>
      <c r="M223" s="124" t="n">
        <f aca="false">VLOOKUP($A223,Table,MATCH(M$4,Curves,0))</f>
        <v>4</v>
      </c>
      <c r="N223" s="125" t="n">
        <f aca="false">M223+$N$7</f>
        <v>4</v>
      </c>
      <c r="O223" s="126" t="n">
        <v>0.25</v>
      </c>
      <c r="P223" s="114"/>
      <c r="Q223" s="126" t="n">
        <f aca="false">M223+J223+G223</f>
        <v>11</v>
      </c>
      <c r="R223" s="126" t="n">
        <f aca="false">N223+K223+H223</f>
        <v>11</v>
      </c>
      <c r="S223" s="126" t="n">
        <f aca="false">O223+L223+I223</f>
        <v>7.25</v>
      </c>
      <c r="T223" s="127"/>
      <c r="U223" s="5" t="n">
        <f aca="false">A224-A223</f>
        <v>30</v>
      </c>
      <c r="V223" s="128" t="n">
        <f aca="false">CHOOSE(F$3,A224+24,A223)</f>
        <v>43770</v>
      </c>
      <c r="W223" s="5" t="n">
        <f aca="false">V223-C$3</f>
        <v>6539</v>
      </c>
      <c r="X223" s="124" t="n">
        <f aca="false">VLOOKUP($A223,Table,MATCH(X$4,Curves,0))</f>
        <v>2</v>
      </c>
      <c r="Y223" s="129" t="n">
        <f aca="false">1/(1+CHOOSE(F$3,(X224+($K$3/10000))/2,(X223+($K$3/10000))/2))^(2*W223/365.25)</f>
        <v>1.66508571918797E-011</v>
      </c>
      <c r="Z223" s="5" t="n">
        <f aca="false">IF(AND(mthbeg&lt;=A223,mthend&gt;=A223),1,0)</f>
        <v>0</v>
      </c>
      <c r="AA223" s="5" t="n">
        <f aca="false">U223*Z223</f>
        <v>0</v>
      </c>
      <c r="AC223" s="115" t="n">
        <f aca="false">IF(G216=2,F223*(S223-Q223),F223*(Q223-S223))</f>
        <v>0</v>
      </c>
      <c r="AE223" s="116" t="n">
        <f aca="false">IF($G$3=1,F223*(R223-Q223),F223*(Q223-R223))</f>
        <v>0</v>
      </c>
      <c r="AG223" s="116" t="n">
        <f aca="false">AC223+AE223</f>
        <v>0</v>
      </c>
    </row>
    <row r="224" customFormat="false" ht="12" hidden="false" customHeight="true" outlineLevel="0" collapsed="false">
      <c r="A224" s="120" t="n">
        <f aca="false">EDATE(A223,1)</f>
        <v>43800</v>
      </c>
      <c r="B224" s="121" t="e">
        <f aca="false">VLOOKUP(A224,'Inputs-Summary'!$A$32:$E$41,4,FALSE())</f>
        <v>#N/A</v>
      </c>
      <c r="C224" s="122"/>
      <c r="D224" s="123" t="e">
        <f aca="false">B224+C224</f>
        <v>#N/A</v>
      </c>
      <c r="E224" s="111" t="n">
        <f aca="false">IF(Z224=0,0,IF(AND(Z224=1,$H$3=1),D224*U224,IF($H$3=2,D224,"N/A")))</f>
        <v>0</v>
      </c>
      <c r="F224" s="111" t="n">
        <f aca="false">E224*Y224</f>
        <v>0</v>
      </c>
      <c r="G224" s="124" t="n">
        <f aca="false">VLOOKUP($A224,Table,MATCH(G$4,Curves,0))</f>
        <v>3</v>
      </c>
      <c r="H224" s="125" t="n">
        <f aca="false">G224+$H$7</f>
        <v>3</v>
      </c>
      <c r="I224" s="124" t="n">
        <f aca="false">H224</f>
        <v>3</v>
      </c>
      <c r="J224" s="124" t="n">
        <f aca="false">VLOOKUP($A224,Table,MATCH(J$4,Curves,0))</f>
        <v>4</v>
      </c>
      <c r="K224" s="125" t="n">
        <f aca="false">J224+$K$7</f>
        <v>4</v>
      </c>
      <c r="L224" s="126" t="n">
        <f aca="false">K224</f>
        <v>4</v>
      </c>
      <c r="M224" s="124" t="n">
        <f aca="false">VLOOKUP($A224,Table,MATCH(M$4,Curves,0))</f>
        <v>4</v>
      </c>
      <c r="N224" s="125" t="n">
        <f aca="false">M224+$N$7</f>
        <v>4</v>
      </c>
      <c r="O224" s="126" t="n">
        <v>0.25</v>
      </c>
      <c r="P224" s="114"/>
      <c r="Q224" s="126" t="n">
        <f aca="false">M224+J224+G224</f>
        <v>11</v>
      </c>
      <c r="R224" s="126" t="n">
        <f aca="false">N224+K224+H224</f>
        <v>11</v>
      </c>
      <c r="S224" s="126" t="n">
        <f aca="false">O224+L224+I224</f>
        <v>7.25</v>
      </c>
      <c r="T224" s="127"/>
      <c r="U224" s="5" t="n">
        <f aca="false">A225-A224</f>
        <v>31</v>
      </c>
      <c r="V224" s="128" t="n">
        <f aca="false">CHOOSE(F$3,A225+24,A224)</f>
        <v>43800</v>
      </c>
      <c r="W224" s="5" t="n">
        <f aca="false">V224-C$3</f>
        <v>6569</v>
      </c>
      <c r="X224" s="124" t="n">
        <f aca="false">VLOOKUP($A224,Table,MATCH(X$4,Curves,0))</f>
        <v>2</v>
      </c>
      <c r="Y224" s="129" t="n">
        <f aca="false">1/(1+CHOOSE(F$3,(X225+($K$3/10000))/2,(X224+($K$3/10000))/2))^(2*W224/365.25)</f>
        <v>1.48588802754145E-011</v>
      </c>
      <c r="Z224" s="5" t="n">
        <f aca="false">IF(AND(mthbeg&lt;=A224,mthend&gt;=A224),1,0)</f>
        <v>0</v>
      </c>
      <c r="AA224" s="5" t="n">
        <f aca="false">U224*Z224</f>
        <v>0</v>
      </c>
      <c r="AC224" s="115" t="n">
        <f aca="false">IF(G217=2,F224*(S224-Q224),F224*(Q224-S224))</f>
        <v>0</v>
      </c>
      <c r="AE224" s="116" t="n">
        <f aca="false">IF($G$3=1,F224*(R224-Q224),F224*(Q224-R224))</f>
        <v>0</v>
      </c>
      <c r="AG224" s="116" t="n">
        <f aca="false">AC224+AE224</f>
        <v>0</v>
      </c>
    </row>
    <row r="225" customFormat="false" ht="12" hidden="false" customHeight="true" outlineLevel="0" collapsed="false">
      <c r="A225" s="120" t="n">
        <f aca="false">EDATE(A224,1)</f>
        <v>43831</v>
      </c>
      <c r="B225" s="121" t="e">
        <f aca="false">VLOOKUP(A225,'Inputs-Summary'!$A$32:$E$41,4,FALSE())</f>
        <v>#N/A</v>
      </c>
      <c r="C225" s="122"/>
      <c r="D225" s="123" t="e">
        <f aca="false">B225+C225</f>
        <v>#N/A</v>
      </c>
      <c r="E225" s="111" t="n">
        <f aca="false">IF(Z225=0,0,IF(AND(Z225=1,$H$3=1),D225*U225,IF($H$3=2,D225,"N/A")))</f>
        <v>0</v>
      </c>
      <c r="F225" s="111" t="n">
        <f aca="false">E225*Y225</f>
        <v>0</v>
      </c>
      <c r="G225" s="124" t="n">
        <f aca="false">VLOOKUP($A225,Table,MATCH(G$4,Curves,0))</f>
        <v>3</v>
      </c>
      <c r="H225" s="125" t="n">
        <f aca="false">G225+$H$7</f>
        <v>3</v>
      </c>
      <c r="I225" s="124" t="n">
        <f aca="false">H225</f>
        <v>3</v>
      </c>
      <c r="J225" s="124" t="n">
        <f aca="false">VLOOKUP($A225,Table,MATCH(J$4,Curves,0))</f>
        <v>4</v>
      </c>
      <c r="K225" s="125" t="n">
        <f aca="false">J225+$K$7</f>
        <v>4</v>
      </c>
      <c r="L225" s="126" t="n">
        <f aca="false">K225</f>
        <v>4</v>
      </c>
      <c r="M225" s="124" t="n">
        <f aca="false">VLOOKUP($A225,Table,MATCH(M$4,Curves,0))</f>
        <v>4</v>
      </c>
      <c r="N225" s="125" t="n">
        <f aca="false">M225+$N$7</f>
        <v>4</v>
      </c>
      <c r="O225" s="126" t="n">
        <v>0.25</v>
      </c>
      <c r="P225" s="114"/>
      <c r="Q225" s="126" t="n">
        <f aca="false">M225+J225+G225</f>
        <v>11</v>
      </c>
      <c r="R225" s="126" t="n">
        <f aca="false">N225+K225+H225</f>
        <v>11</v>
      </c>
      <c r="S225" s="126" t="n">
        <f aca="false">O225+L225+I225</f>
        <v>7.25</v>
      </c>
      <c r="T225" s="127"/>
      <c r="U225" s="5" t="n">
        <f aca="false">A226-A225</f>
        <v>31</v>
      </c>
      <c r="V225" s="128" t="n">
        <f aca="false">CHOOSE(F$3,A226+24,A225)</f>
        <v>43831</v>
      </c>
      <c r="W225" s="5" t="n">
        <f aca="false">V225-C$3</f>
        <v>6600</v>
      </c>
      <c r="X225" s="124" t="n">
        <f aca="false">VLOOKUP($A225,Table,MATCH(X$4,Curves,0))</f>
        <v>2</v>
      </c>
      <c r="Y225" s="129" t="n">
        <f aca="false">1/(1+CHOOSE(F$3,(X226+($K$3/10000))/2,(X225+($K$3/10000))/2))^(2*W225/365.25)</f>
        <v>1.32095255844162E-011</v>
      </c>
      <c r="Z225" s="5" t="n">
        <f aca="false">IF(AND(mthbeg&lt;=A225,mthend&gt;=A225),1,0)</f>
        <v>0</v>
      </c>
      <c r="AA225" s="5" t="n">
        <f aca="false">U225*Z225</f>
        <v>0</v>
      </c>
      <c r="AC225" s="115" t="n">
        <f aca="false">IF(G218=2,F225*(S225-Q225),F225*(Q225-S225))</f>
        <v>0</v>
      </c>
      <c r="AE225" s="116" t="n">
        <f aca="false">IF($G$3=1,F225*(R225-Q225),F225*(Q225-R225))</f>
        <v>0</v>
      </c>
      <c r="AG225" s="116" t="n">
        <f aca="false">AC225+AE225</f>
        <v>0</v>
      </c>
    </row>
    <row r="226" customFormat="false" ht="12" hidden="false" customHeight="true" outlineLevel="0" collapsed="false">
      <c r="A226" s="120" t="n">
        <f aca="false">EDATE(A225,1)</f>
        <v>43862</v>
      </c>
      <c r="B226" s="121" t="e">
        <f aca="false">VLOOKUP(A226,'Inputs-Summary'!$A$32:$E$41,4,FALSE())</f>
        <v>#N/A</v>
      </c>
      <c r="C226" s="122"/>
      <c r="D226" s="123" t="e">
        <f aca="false">B226+C226</f>
        <v>#N/A</v>
      </c>
      <c r="E226" s="111" t="n">
        <f aca="false">IF(Z226=0,0,IF(AND(Z226=1,$H$3=1),D226*U226,IF($H$3=2,D226,"N/A")))</f>
        <v>0</v>
      </c>
      <c r="F226" s="111" t="n">
        <f aca="false">E226*Y226</f>
        <v>0</v>
      </c>
      <c r="G226" s="124" t="n">
        <f aca="false">VLOOKUP($A226,Table,MATCH(G$4,Curves,0))</f>
        <v>3</v>
      </c>
      <c r="H226" s="125" t="n">
        <f aca="false">G226+$H$7</f>
        <v>3</v>
      </c>
      <c r="I226" s="124" t="n">
        <f aca="false">H226</f>
        <v>3</v>
      </c>
      <c r="J226" s="124" t="n">
        <f aca="false">VLOOKUP($A226,Table,MATCH(J$4,Curves,0))</f>
        <v>4</v>
      </c>
      <c r="K226" s="125" t="n">
        <f aca="false">J226+$K$7</f>
        <v>4</v>
      </c>
      <c r="L226" s="126" t="n">
        <f aca="false">K226</f>
        <v>4</v>
      </c>
      <c r="M226" s="124" t="n">
        <f aca="false">VLOOKUP($A226,Table,MATCH(M$4,Curves,0))</f>
        <v>4</v>
      </c>
      <c r="N226" s="125" t="n">
        <f aca="false">M226+$N$7</f>
        <v>4</v>
      </c>
      <c r="O226" s="126" t="n">
        <v>0.25</v>
      </c>
      <c r="P226" s="114"/>
      <c r="Q226" s="126" t="n">
        <f aca="false">M226+J226+G226</f>
        <v>11</v>
      </c>
      <c r="R226" s="126" t="n">
        <f aca="false">N226+K226+H226</f>
        <v>11</v>
      </c>
      <c r="S226" s="126" t="n">
        <f aca="false">O226+L226+I226</f>
        <v>7.25</v>
      </c>
      <c r="T226" s="127"/>
      <c r="U226" s="5" t="n">
        <f aca="false">A227-A226</f>
        <v>29</v>
      </c>
      <c r="V226" s="128" t="n">
        <f aca="false">CHOOSE(F$3,A227+24,A226)</f>
        <v>43862</v>
      </c>
      <c r="W226" s="5" t="n">
        <f aca="false">V226-C$3</f>
        <v>6631</v>
      </c>
      <c r="X226" s="124" t="n">
        <f aca="false">VLOOKUP($A226,Table,MATCH(X$4,Curves,0))</f>
        <v>2</v>
      </c>
      <c r="Y226" s="129" t="n">
        <f aca="false">1/(1+CHOOSE(F$3,(X227+($K$3/10000))/2,(X226+($K$3/10000))/2))^(2*W226/365.25)</f>
        <v>1.17432513709705E-011</v>
      </c>
      <c r="Z226" s="5" t="n">
        <f aca="false">IF(AND(mthbeg&lt;=A226,mthend&gt;=A226),1,0)</f>
        <v>0</v>
      </c>
      <c r="AA226" s="5" t="n">
        <f aca="false">U226*Z226</f>
        <v>0</v>
      </c>
      <c r="AC226" s="115" t="n">
        <f aca="false">IF(G219=2,F226*(S226-Q226),F226*(Q226-S226))</f>
        <v>0</v>
      </c>
      <c r="AE226" s="116" t="n">
        <f aca="false">IF($G$3=1,F226*(R226-Q226),F226*(Q226-R226))</f>
        <v>0</v>
      </c>
      <c r="AG226" s="116" t="n">
        <f aca="false">AC226+AE226</f>
        <v>0</v>
      </c>
    </row>
    <row r="227" customFormat="false" ht="12" hidden="false" customHeight="true" outlineLevel="0" collapsed="false">
      <c r="A227" s="120" t="n">
        <f aca="false">EDATE(A226,1)</f>
        <v>43891</v>
      </c>
      <c r="B227" s="121" t="e">
        <f aca="false">VLOOKUP(A227,'Inputs-Summary'!$A$32:$E$41,4,FALSE())</f>
        <v>#N/A</v>
      </c>
      <c r="C227" s="122"/>
      <c r="D227" s="123" t="e">
        <f aca="false">B227+C227</f>
        <v>#N/A</v>
      </c>
      <c r="E227" s="111" t="n">
        <f aca="false">IF(Z227=0,0,IF(AND(Z227=1,$H$3=1),D227*U227,IF($H$3=2,D227,"N/A")))</f>
        <v>0</v>
      </c>
      <c r="F227" s="111" t="n">
        <f aca="false">E227*Y227</f>
        <v>0</v>
      </c>
      <c r="G227" s="124" t="n">
        <f aca="false">VLOOKUP($A227,Table,MATCH(G$4,Curves,0))</f>
        <v>3</v>
      </c>
      <c r="H227" s="125" t="n">
        <f aca="false">G227+$H$7</f>
        <v>3</v>
      </c>
      <c r="I227" s="124" t="n">
        <f aca="false">H227</f>
        <v>3</v>
      </c>
      <c r="J227" s="124" t="n">
        <f aca="false">VLOOKUP($A227,Table,MATCH(J$4,Curves,0))</f>
        <v>4</v>
      </c>
      <c r="K227" s="125" t="n">
        <f aca="false">J227+$K$7</f>
        <v>4</v>
      </c>
      <c r="L227" s="126" t="n">
        <f aca="false">K227</f>
        <v>4</v>
      </c>
      <c r="M227" s="124" t="n">
        <f aca="false">VLOOKUP($A227,Table,MATCH(M$4,Curves,0))</f>
        <v>4</v>
      </c>
      <c r="N227" s="125" t="n">
        <f aca="false">M227+$N$7</f>
        <v>4</v>
      </c>
      <c r="O227" s="126" t="n">
        <v>0.25</v>
      </c>
      <c r="P227" s="114"/>
      <c r="Q227" s="126" t="n">
        <f aca="false">M227+J227+G227</f>
        <v>11</v>
      </c>
      <c r="R227" s="126" t="n">
        <f aca="false">N227+K227+H227</f>
        <v>11</v>
      </c>
      <c r="S227" s="126" t="n">
        <f aca="false">O227+L227+I227</f>
        <v>7.25</v>
      </c>
      <c r="T227" s="127"/>
      <c r="U227" s="5" t="n">
        <f aca="false">A228-A227</f>
        <v>31</v>
      </c>
      <c r="V227" s="128" t="n">
        <f aca="false">CHOOSE(F$3,A228+24,A227)</f>
        <v>43891</v>
      </c>
      <c r="W227" s="5" t="n">
        <f aca="false">V227-C$3</f>
        <v>6660</v>
      </c>
      <c r="X227" s="124" t="n">
        <f aca="false">VLOOKUP($A227,Table,MATCH(X$4,Curves,0))</f>
        <v>2</v>
      </c>
      <c r="Y227" s="129" t="n">
        <f aca="false">1/(1+CHOOSE(F$3,(X228+($K$3/10000))/2,(X227+($K$3/10000))/2))^(2*W227/365.25)</f>
        <v>1.051928435658E-011</v>
      </c>
      <c r="Z227" s="5" t="n">
        <f aca="false">IF(AND(mthbeg&lt;=A227,mthend&gt;=A227),1,0)</f>
        <v>0</v>
      </c>
      <c r="AA227" s="5" t="n">
        <f aca="false">U227*Z227</f>
        <v>0</v>
      </c>
      <c r="AC227" s="115" t="n">
        <f aca="false">IF(G220=2,F227*(S227-Q227),F227*(Q227-S227))</f>
        <v>0</v>
      </c>
      <c r="AE227" s="116" t="n">
        <f aca="false">IF($G$3=1,F227*(R227-Q227),F227*(Q227-R227))</f>
        <v>0</v>
      </c>
      <c r="AG227" s="116" t="n">
        <f aca="false">AC227+AE227</f>
        <v>0</v>
      </c>
    </row>
    <row r="228" customFormat="false" ht="12" hidden="false" customHeight="true" outlineLevel="0" collapsed="false">
      <c r="A228" s="120" t="n">
        <f aca="false">EDATE(A227,1)</f>
        <v>43922</v>
      </c>
      <c r="B228" s="121" t="e">
        <f aca="false">VLOOKUP(A228,'Inputs-Summary'!$A$32:$E$41,4,FALSE())</f>
        <v>#N/A</v>
      </c>
      <c r="C228" s="122"/>
      <c r="D228" s="123" t="e">
        <f aca="false">B228+C228</f>
        <v>#N/A</v>
      </c>
      <c r="E228" s="111" t="n">
        <f aca="false">IF(Z228=0,0,IF(AND(Z228=1,$H$3=1),D228*U228,IF($H$3=2,D228,"N/A")))</f>
        <v>0</v>
      </c>
      <c r="F228" s="111" t="n">
        <f aca="false">E228*Y228</f>
        <v>0</v>
      </c>
      <c r="G228" s="124" t="n">
        <f aca="false">VLOOKUP($A228,Table,MATCH(G$4,Curves,0))</f>
        <v>3</v>
      </c>
      <c r="H228" s="125" t="n">
        <f aca="false">G228+$H$7</f>
        <v>3</v>
      </c>
      <c r="I228" s="124" t="n">
        <f aca="false">H228</f>
        <v>3</v>
      </c>
      <c r="J228" s="124" t="n">
        <f aca="false">VLOOKUP($A228,Table,MATCH(J$4,Curves,0))</f>
        <v>4</v>
      </c>
      <c r="K228" s="125" t="n">
        <f aca="false">J228+$K$7</f>
        <v>4</v>
      </c>
      <c r="L228" s="126" t="n">
        <f aca="false">K228</f>
        <v>4</v>
      </c>
      <c r="M228" s="124" t="n">
        <f aca="false">VLOOKUP($A228,Table,MATCH(M$4,Curves,0))</f>
        <v>4</v>
      </c>
      <c r="N228" s="125" t="n">
        <f aca="false">M228+$N$7</f>
        <v>4</v>
      </c>
      <c r="O228" s="126" t="n">
        <v>0.25</v>
      </c>
      <c r="P228" s="114"/>
      <c r="Q228" s="126" t="n">
        <f aca="false">M228+J228+G228</f>
        <v>11</v>
      </c>
      <c r="R228" s="126" t="n">
        <f aca="false">N228+K228+H228</f>
        <v>11</v>
      </c>
      <c r="S228" s="126" t="n">
        <f aca="false">O228+L228+I228</f>
        <v>7.25</v>
      </c>
      <c r="T228" s="127"/>
      <c r="U228" s="5" t="n">
        <f aca="false">A229-A228</f>
        <v>30</v>
      </c>
      <c r="V228" s="128" t="n">
        <f aca="false">CHOOSE(F$3,A229+24,A228)</f>
        <v>43922</v>
      </c>
      <c r="W228" s="5" t="n">
        <f aca="false">V228-C$3</f>
        <v>6691</v>
      </c>
      <c r="X228" s="124" t="n">
        <f aca="false">VLOOKUP($A228,Table,MATCH(X$4,Curves,0))</f>
        <v>2</v>
      </c>
      <c r="Y228" s="129" t="n">
        <f aca="false">1/(1+CHOOSE(F$3,(X229+($K$3/10000))/2,(X228+($K$3/10000))/2))^(2*W228/365.25)</f>
        <v>9.35163035588276E-012</v>
      </c>
      <c r="Z228" s="5" t="n">
        <f aca="false">IF(AND(mthbeg&lt;=A228,mthend&gt;=A228),1,0)</f>
        <v>0</v>
      </c>
      <c r="AA228" s="5" t="n">
        <f aca="false">U228*Z228</f>
        <v>0</v>
      </c>
      <c r="AC228" s="115" t="n">
        <f aca="false">IF(G221=2,F228*(S228-Q228),F228*(Q228-S228))</f>
        <v>0</v>
      </c>
      <c r="AE228" s="116" t="n">
        <f aca="false">IF($G$3=1,F228*(R228-Q228),F228*(Q228-R228))</f>
        <v>0</v>
      </c>
      <c r="AG228" s="116" t="n">
        <f aca="false">AC228+AE228</f>
        <v>0</v>
      </c>
    </row>
    <row r="229" customFormat="false" ht="12" hidden="false" customHeight="true" outlineLevel="0" collapsed="false">
      <c r="A229" s="120" t="n">
        <f aca="false">EDATE(A228,1)</f>
        <v>43952</v>
      </c>
      <c r="B229" s="121" t="e">
        <f aca="false">VLOOKUP(A229,'Inputs-Summary'!$A$32:$E$41,4,FALSE())</f>
        <v>#N/A</v>
      </c>
      <c r="C229" s="122"/>
      <c r="D229" s="123" t="e">
        <f aca="false">B229+C229</f>
        <v>#N/A</v>
      </c>
      <c r="E229" s="111" t="n">
        <f aca="false">IF(Z229=0,0,IF(AND(Z229=1,$H$3=1),D229*U229,IF($H$3=2,D229,"N/A")))</f>
        <v>0</v>
      </c>
      <c r="F229" s="111" t="n">
        <f aca="false">E229*Y229</f>
        <v>0</v>
      </c>
      <c r="G229" s="124" t="n">
        <f aca="false">VLOOKUP($A229,Table,MATCH(G$4,Curves,0))</f>
        <v>3</v>
      </c>
      <c r="H229" s="125" t="n">
        <f aca="false">G229+$H$7</f>
        <v>3</v>
      </c>
      <c r="I229" s="124" t="n">
        <f aca="false">H229</f>
        <v>3</v>
      </c>
      <c r="J229" s="124" t="n">
        <f aca="false">VLOOKUP($A229,Table,MATCH(J$4,Curves,0))</f>
        <v>4</v>
      </c>
      <c r="K229" s="125" t="n">
        <f aca="false">J229+$K$7</f>
        <v>4</v>
      </c>
      <c r="L229" s="126" t="n">
        <f aca="false">K229</f>
        <v>4</v>
      </c>
      <c r="M229" s="124" t="n">
        <f aca="false">VLOOKUP($A229,Table,MATCH(M$4,Curves,0))</f>
        <v>4</v>
      </c>
      <c r="N229" s="125" t="n">
        <f aca="false">M229+$N$7</f>
        <v>4</v>
      </c>
      <c r="O229" s="126" t="n">
        <v>0.25</v>
      </c>
      <c r="P229" s="114"/>
      <c r="Q229" s="126" t="n">
        <f aca="false">M229+J229+G229</f>
        <v>11</v>
      </c>
      <c r="R229" s="126" t="n">
        <f aca="false">N229+K229+H229</f>
        <v>11</v>
      </c>
      <c r="S229" s="126" t="n">
        <f aca="false">O229+L229+I229</f>
        <v>7.25</v>
      </c>
      <c r="T229" s="127"/>
      <c r="U229" s="5" t="n">
        <f aca="false">A230-A229</f>
        <v>31</v>
      </c>
      <c r="V229" s="128" t="n">
        <f aca="false">CHOOSE(F$3,A230+24,A229)</f>
        <v>43952</v>
      </c>
      <c r="W229" s="5" t="n">
        <f aca="false">V229-C$3</f>
        <v>6721</v>
      </c>
      <c r="X229" s="124" t="n">
        <f aca="false">VLOOKUP($A229,Table,MATCH(X$4,Curves,0))</f>
        <v>2</v>
      </c>
      <c r="Y229" s="129" t="n">
        <f aca="false">1/(1+CHOOSE(F$3,(X230+($K$3/10000))/2,(X229+($K$3/10000))/2))^(2*W229/365.25)</f>
        <v>8.34520134529526E-012</v>
      </c>
      <c r="Z229" s="5" t="n">
        <f aca="false">IF(AND(mthbeg&lt;=A229,mthend&gt;=A229),1,0)</f>
        <v>0</v>
      </c>
      <c r="AA229" s="5" t="n">
        <f aca="false">U229*Z229</f>
        <v>0</v>
      </c>
      <c r="AC229" s="115" t="n">
        <f aca="false">IF(G222=2,F229*(S229-Q229),F229*(Q229-S229))</f>
        <v>0</v>
      </c>
      <c r="AE229" s="116" t="n">
        <f aca="false">IF($G$3=1,F229*(R229-Q229),F229*(Q229-R229))</f>
        <v>0</v>
      </c>
      <c r="AG229" s="116" t="n">
        <f aca="false">AC229+AE229</f>
        <v>0</v>
      </c>
    </row>
    <row r="230" customFormat="false" ht="12" hidden="false" customHeight="true" outlineLevel="0" collapsed="false">
      <c r="A230" s="120" t="n">
        <f aca="false">EDATE(A229,1)</f>
        <v>43983</v>
      </c>
      <c r="B230" s="121" t="e">
        <f aca="false">VLOOKUP(A230,'Inputs-Summary'!$A$32:$E$41,4,FALSE())</f>
        <v>#N/A</v>
      </c>
      <c r="C230" s="122"/>
      <c r="D230" s="123" t="e">
        <f aca="false">B230+C230</f>
        <v>#N/A</v>
      </c>
      <c r="E230" s="111" t="n">
        <f aca="false">IF(Z230=0,0,IF(AND(Z230=1,$H$3=1),D230*U230,IF($H$3=2,D230,"N/A")))</f>
        <v>0</v>
      </c>
      <c r="F230" s="111" t="n">
        <f aca="false">E230*Y230</f>
        <v>0</v>
      </c>
      <c r="G230" s="124" t="n">
        <f aca="false">VLOOKUP($A230,Table,MATCH(G$4,Curves,0))</f>
        <v>3</v>
      </c>
      <c r="H230" s="125" t="n">
        <f aca="false">G230+$H$7</f>
        <v>3</v>
      </c>
      <c r="I230" s="124" t="n">
        <f aca="false">H230</f>
        <v>3</v>
      </c>
      <c r="J230" s="124" t="n">
        <f aca="false">VLOOKUP($A230,Table,MATCH(J$4,Curves,0))</f>
        <v>4</v>
      </c>
      <c r="K230" s="125" t="n">
        <f aca="false">J230+$K$7</f>
        <v>4</v>
      </c>
      <c r="L230" s="126" t="n">
        <f aca="false">K230</f>
        <v>4</v>
      </c>
      <c r="M230" s="124" t="n">
        <f aca="false">VLOOKUP($A230,Table,MATCH(M$4,Curves,0))</f>
        <v>4</v>
      </c>
      <c r="N230" s="125" t="n">
        <f aca="false">M230+$N$7</f>
        <v>4</v>
      </c>
      <c r="O230" s="126" t="n">
        <v>0.25</v>
      </c>
      <c r="P230" s="114"/>
      <c r="Q230" s="126" t="n">
        <f aca="false">M230+J230+G230</f>
        <v>11</v>
      </c>
      <c r="R230" s="126" t="n">
        <f aca="false">N230+K230+H230</f>
        <v>11</v>
      </c>
      <c r="S230" s="126" t="n">
        <f aca="false">O230+L230+I230</f>
        <v>7.25</v>
      </c>
      <c r="T230" s="127"/>
      <c r="U230" s="5" t="n">
        <f aca="false">A231-A230</f>
        <v>30</v>
      </c>
      <c r="V230" s="128" t="n">
        <f aca="false">CHOOSE(F$3,A231+24,A230)</f>
        <v>43983</v>
      </c>
      <c r="W230" s="5" t="n">
        <f aca="false">V230-C$3</f>
        <v>6752</v>
      </c>
      <c r="X230" s="124" t="n">
        <f aca="false">VLOOKUP($A230,Table,MATCH(X$4,Curves,0))</f>
        <v>2</v>
      </c>
      <c r="Y230" s="129" t="n">
        <f aca="false">1/(1+CHOOSE(F$3,(X231+($K$3/10000))/2,(X230+($K$3/10000))/2))^(2*W230/365.25)</f>
        <v>7.41887333597939E-012</v>
      </c>
      <c r="Z230" s="5" t="n">
        <f aca="false">IF(AND(mthbeg&lt;=A230,mthend&gt;=A230),1,0)</f>
        <v>0</v>
      </c>
      <c r="AA230" s="5" t="n">
        <f aca="false">U230*Z230</f>
        <v>0</v>
      </c>
      <c r="AC230" s="115" t="n">
        <f aca="false">IF(G223=2,F230*(S230-Q230),F230*(Q230-S230))</f>
        <v>0</v>
      </c>
      <c r="AE230" s="116" t="n">
        <f aca="false">IF($G$3=1,F230*(R230-Q230),F230*(Q230-R230))</f>
        <v>0</v>
      </c>
      <c r="AG230" s="116" t="n">
        <f aca="false">AC230+AE230</f>
        <v>0</v>
      </c>
    </row>
    <row r="231" customFormat="false" ht="12" hidden="false" customHeight="true" outlineLevel="0" collapsed="false">
      <c r="A231" s="120" t="n">
        <f aca="false">EDATE(A230,1)</f>
        <v>44013</v>
      </c>
      <c r="B231" s="121" t="e">
        <f aca="false">VLOOKUP(A231,'Inputs-Summary'!$A$32:$E$41,4,FALSE())</f>
        <v>#N/A</v>
      </c>
      <c r="C231" s="122"/>
      <c r="D231" s="123" t="e">
        <f aca="false">B231+C231</f>
        <v>#N/A</v>
      </c>
      <c r="E231" s="111" t="n">
        <f aca="false">IF(Z231=0,0,IF(AND(Z231=1,$H$3=1),D231*U231,IF($H$3=2,D231,"N/A")))</f>
        <v>0</v>
      </c>
      <c r="F231" s="111" t="n">
        <f aca="false">E231*Y231</f>
        <v>0</v>
      </c>
      <c r="G231" s="124" t="n">
        <f aca="false">VLOOKUP($A231,Table,MATCH(G$4,Curves,0))</f>
        <v>3</v>
      </c>
      <c r="H231" s="125" t="n">
        <f aca="false">G231+$H$7</f>
        <v>3</v>
      </c>
      <c r="I231" s="124" t="n">
        <f aca="false">H231</f>
        <v>3</v>
      </c>
      <c r="J231" s="124" t="n">
        <f aca="false">VLOOKUP($A231,Table,MATCH(J$4,Curves,0))</f>
        <v>4</v>
      </c>
      <c r="K231" s="125" t="n">
        <f aca="false">J231+$K$7</f>
        <v>4</v>
      </c>
      <c r="L231" s="126" t="n">
        <f aca="false">K231</f>
        <v>4</v>
      </c>
      <c r="M231" s="124" t="n">
        <f aca="false">VLOOKUP($A231,Table,MATCH(M$4,Curves,0))</f>
        <v>4</v>
      </c>
      <c r="N231" s="125" t="n">
        <f aca="false">M231+$N$7</f>
        <v>4</v>
      </c>
      <c r="O231" s="126" t="n">
        <v>0.25</v>
      </c>
      <c r="P231" s="114"/>
      <c r="Q231" s="126" t="n">
        <f aca="false">M231+J231+G231</f>
        <v>11</v>
      </c>
      <c r="R231" s="126" t="n">
        <f aca="false">N231+K231+H231</f>
        <v>11</v>
      </c>
      <c r="S231" s="126" t="n">
        <f aca="false">O231+L231+I231</f>
        <v>7.25</v>
      </c>
      <c r="T231" s="127"/>
      <c r="U231" s="5" t="n">
        <f aca="false">A232-A231</f>
        <v>31</v>
      </c>
      <c r="V231" s="128" t="n">
        <f aca="false">CHOOSE(F$3,A232+24,A231)</f>
        <v>44013</v>
      </c>
      <c r="W231" s="5" t="n">
        <f aca="false">V231-C$3</f>
        <v>6782</v>
      </c>
      <c r="X231" s="124" t="n">
        <f aca="false">VLOOKUP($A231,Table,MATCH(X$4,Curves,0))</f>
        <v>2</v>
      </c>
      <c r="Y231" s="129" t="n">
        <f aca="false">1/(1+CHOOSE(F$3,(X232+($K$3/10000))/2,(X231+($K$3/10000))/2))^(2*W231/365.25)</f>
        <v>6.62044898995009E-012</v>
      </c>
      <c r="Z231" s="5" t="n">
        <f aca="false">IF(AND(mthbeg&lt;=A231,mthend&gt;=A231),1,0)</f>
        <v>0</v>
      </c>
      <c r="AA231" s="5" t="n">
        <f aca="false">U231*Z231</f>
        <v>0</v>
      </c>
      <c r="AC231" s="115" t="n">
        <f aca="false">IF(G224=2,F231*(S231-Q231),F231*(Q231-S231))</f>
        <v>0</v>
      </c>
      <c r="AE231" s="116" t="n">
        <f aca="false">IF($G$3=1,F231*(R231-Q231),F231*(Q231-R231))</f>
        <v>0</v>
      </c>
      <c r="AG231" s="116" t="n">
        <f aca="false">AC231+AE231</f>
        <v>0</v>
      </c>
    </row>
    <row r="232" customFormat="false" ht="12" hidden="false" customHeight="true" outlineLevel="0" collapsed="false">
      <c r="A232" s="120" t="n">
        <f aca="false">EDATE(A231,1)</f>
        <v>44044</v>
      </c>
      <c r="B232" s="121" t="e">
        <f aca="false">VLOOKUP(A232,'Inputs-Summary'!$A$32:$E$41,4,FALSE())</f>
        <v>#N/A</v>
      </c>
      <c r="C232" s="122"/>
      <c r="D232" s="123" t="e">
        <f aca="false">B232+C232</f>
        <v>#N/A</v>
      </c>
      <c r="E232" s="111" t="n">
        <f aca="false">IF(Z232=0,0,IF(AND(Z232=1,$H$3=1),D232*U232,IF($H$3=2,D232,"N/A")))</f>
        <v>0</v>
      </c>
      <c r="F232" s="111" t="n">
        <f aca="false">E232*Y232</f>
        <v>0</v>
      </c>
      <c r="G232" s="124" t="n">
        <f aca="false">VLOOKUP($A232,Table,MATCH(G$4,Curves,0))</f>
        <v>3</v>
      </c>
      <c r="H232" s="125" t="n">
        <f aca="false">G232+$H$7</f>
        <v>3</v>
      </c>
      <c r="I232" s="124" t="n">
        <f aca="false">H232</f>
        <v>3</v>
      </c>
      <c r="J232" s="124" t="n">
        <f aca="false">VLOOKUP($A232,Table,MATCH(J$4,Curves,0))</f>
        <v>4</v>
      </c>
      <c r="K232" s="125" t="n">
        <f aca="false">J232+$K$7</f>
        <v>4</v>
      </c>
      <c r="L232" s="126" t="n">
        <f aca="false">K232</f>
        <v>4</v>
      </c>
      <c r="M232" s="124" t="n">
        <f aca="false">VLOOKUP($A232,Table,MATCH(M$4,Curves,0))</f>
        <v>4</v>
      </c>
      <c r="N232" s="125" t="n">
        <f aca="false">M232+$N$7</f>
        <v>4</v>
      </c>
      <c r="O232" s="126" t="n">
        <v>0.25</v>
      </c>
      <c r="P232" s="114"/>
      <c r="Q232" s="126" t="n">
        <f aca="false">M232+J232+G232</f>
        <v>11</v>
      </c>
      <c r="R232" s="126" t="n">
        <f aca="false">N232+K232+H232</f>
        <v>11</v>
      </c>
      <c r="S232" s="126" t="n">
        <f aca="false">O232+L232+I232</f>
        <v>7.25</v>
      </c>
      <c r="T232" s="127"/>
      <c r="U232" s="5" t="n">
        <f aca="false">A233-A232</f>
        <v>31</v>
      </c>
      <c r="V232" s="128" t="n">
        <f aca="false">CHOOSE(F$3,A233+24,A232)</f>
        <v>44044</v>
      </c>
      <c r="W232" s="5" t="n">
        <f aca="false">V232-C$3</f>
        <v>6813</v>
      </c>
      <c r="X232" s="124" t="n">
        <f aca="false">VLOOKUP($A232,Table,MATCH(X$4,Curves,0))</f>
        <v>2</v>
      </c>
      <c r="Y232" s="129" t="n">
        <f aca="false">1/(1+CHOOSE(F$3,(X233+($K$3/10000))/2,(X232+($K$3/10000))/2))^(2*W232/365.25)</f>
        <v>5.88557069524062E-012</v>
      </c>
      <c r="Z232" s="5" t="n">
        <f aca="false">IF(AND(mthbeg&lt;=A232,mthend&gt;=A232),1,0)</f>
        <v>0</v>
      </c>
      <c r="AA232" s="5" t="n">
        <f aca="false">U232*Z232</f>
        <v>0</v>
      </c>
      <c r="AC232" s="115" t="n">
        <f aca="false">IF(G225=2,F232*(S232-Q232),F232*(Q232-S232))</f>
        <v>0</v>
      </c>
      <c r="AE232" s="116" t="n">
        <f aca="false">IF($G$3=1,F232*(R232-Q232),F232*(Q232-R232))</f>
        <v>0</v>
      </c>
      <c r="AG232" s="116" t="n">
        <f aca="false">AC232+AE232</f>
        <v>0</v>
      </c>
    </row>
    <row r="233" customFormat="false" ht="12" hidden="false" customHeight="true" outlineLevel="0" collapsed="false">
      <c r="A233" s="120" t="n">
        <f aca="false">EDATE(A232,1)</f>
        <v>44075</v>
      </c>
      <c r="B233" s="121" t="e">
        <f aca="false">VLOOKUP(A233,'Inputs-Summary'!$A$32:$E$41,4,FALSE())</f>
        <v>#N/A</v>
      </c>
      <c r="C233" s="122"/>
      <c r="D233" s="123" t="e">
        <f aca="false">B233+C233</f>
        <v>#N/A</v>
      </c>
      <c r="E233" s="111" t="n">
        <f aca="false">IF(Z233=0,0,IF(AND(Z233=1,$H$3=1),D233*U233,IF($H$3=2,D233,"N/A")))</f>
        <v>0</v>
      </c>
      <c r="F233" s="111" t="n">
        <f aca="false">E233*Y233</f>
        <v>0</v>
      </c>
      <c r="G233" s="124" t="n">
        <f aca="false">VLOOKUP($A233,Table,MATCH(G$4,Curves,0))</f>
        <v>3</v>
      </c>
      <c r="H233" s="125" t="n">
        <f aca="false">G233+$H$7</f>
        <v>3</v>
      </c>
      <c r="I233" s="124" t="n">
        <f aca="false">H233</f>
        <v>3</v>
      </c>
      <c r="J233" s="124" t="n">
        <f aca="false">VLOOKUP($A233,Table,MATCH(J$4,Curves,0))</f>
        <v>4</v>
      </c>
      <c r="K233" s="125" t="n">
        <f aca="false">J233+$K$7</f>
        <v>4</v>
      </c>
      <c r="L233" s="126" t="n">
        <f aca="false">K233</f>
        <v>4</v>
      </c>
      <c r="M233" s="124" t="n">
        <f aca="false">VLOOKUP($A233,Table,MATCH(M$4,Curves,0))</f>
        <v>4</v>
      </c>
      <c r="N233" s="125" t="n">
        <f aca="false">M233+$N$7</f>
        <v>4</v>
      </c>
      <c r="O233" s="126" t="n">
        <v>0.25</v>
      </c>
      <c r="P233" s="114"/>
      <c r="Q233" s="126" t="n">
        <f aca="false">M233+J233+G233</f>
        <v>11</v>
      </c>
      <c r="R233" s="126" t="n">
        <f aca="false">N233+K233+H233</f>
        <v>11</v>
      </c>
      <c r="S233" s="126" t="n">
        <f aca="false">O233+L233+I233</f>
        <v>7.25</v>
      </c>
      <c r="T233" s="127"/>
      <c r="U233" s="5" t="n">
        <f aca="false">A234-A233</f>
        <v>30</v>
      </c>
      <c r="V233" s="128" t="n">
        <f aca="false">CHOOSE(F$3,A234+24,A233)</f>
        <v>44075</v>
      </c>
      <c r="W233" s="5" t="n">
        <f aca="false">V233-C$3</f>
        <v>6844</v>
      </c>
      <c r="X233" s="124" t="n">
        <f aca="false">VLOOKUP($A233,Table,MATCH(X$4,Curves,0))</f>
        <v>2</v>
      </c>
      <c r="Y233" s="129" t="n">
        <f aca="false">1/(1+CHOOSE(F$3,(X234+($K$3/10000))/2,(X233+($K$3/10000))/2))^(2*W233/365.25)</f>
        <v>5.23226482996228E-012</v>
      </c>
      <c r="Z233" s="5" t="n">
        <f aca="false">IF(AND(mthbeg&lt;=A233,mthend&gt;=A233),1,0)</f>
        <v>0</v>
      </c>
      <c r="AA233" s="5" t="n">
        <f aca="false">U233*Z233</f>
        <v>0</v>
      </c>
      <c r="AC233" s="115" t="n">
        <f aca="false">IF(G226=2,F233*(S233-Q233),F233*(Q233-S233))</f>
        <v>0</v>
      </c>
      <c r="AE233" s="116" t="n">
        <f aca="false">IF($G$3=1,F233*(R233-Q233),F233*(Q233-R233))</f>
        <v>0</v>
      </c>
      <c r="AG233" s="116" t="n">
        <f aca="false">AC233+AE233</f>
        <v>0</v>
      </c>
    </row>
    <row r="234" customFormat="false" ht="12" hidden="false" customHeight="true" outlineLevel="0" collapsed="false">
      <c r="A234" s="120" t="n">
        <f aca="false">EDATE(A233,1)</f>
        <v>44105</v>
      </c>
      <c r="B234" s="121" t="e">
        <f aca="false">VLOOKUP(A234,'Inputs-Summary'!$A$32:$E$41,4,FALSE())</f>
        <v>#N/A</v>
      </c>
      <c r="C234" s="122"/>
      <c r="D234" s="123" t="e">
        <f aca="false">B234+C234</f>
        <v>#N/A</v>
      </c>
      <c r="E234" s="111" t="n">
        <f aca="false">IF(Z234=0,0,IF(AND(Z234=1,$H$3=1),D234*U234,IF($H$3=2,D234,"N/A")))</f>
        <v>0</v>
      </c>
      <c r="F234" s="111" t="n">
        <f aca="false">E234*Y234</f>
        <v>0</v>
      </c>
      <c r="G234" s="124" t="n">
        <f aca="false">VLOOKUP($A234,Table,MATCH(G$4,Curves,0))</f>
        <v>3</v>
      </c>
      <c r="H234" s="125" t="n">
        <f aca="false">G234+$H$7</f>
        <v>3</v>
      </c>
      <c r="I234" s="124" t="n">
        <f aca="false">H234</f>
        <v>3</v>
      </c>
      <c r="J234" s="124" t="n">
        <f aca="false">VLOOKUP($A234,Table,MATCH(J$4,Curves,0))</f>
        <v>4</v>
      </c>
      <c r="K234" s="125" t="n">
        <f aca="false">J234+$K$7</f>
        <v>4</v>
      </c>
      <c r="L234" s="126" t="n">
        <f aca="false">K234</f>
        <v>4</v>
      </c>
      <c r="M234" s="124" t="n">
        <f aca="false">VLOOKUP($A234,Table,MATCH(M$4,Curves,0))</f>
        <v>4</v>
      </c>
      <c r="N234" s="125" t="n">
        <f aca="false">M234+$N$7</f>
        <v>4</v>
      </c>
      <c r="O234" s="126" t="n">
        <v>0.25</v>
      </c>
      <c r="P234" s="114"/>
      <c r="Q234" s="126" t="n">
        <f aca="false">M234+J234+G234</f>
        <v>11</v>
      </c>
      <c r="R234" s="126" t="n">
        <f aca="false">N234+K234+H234</f>
        <v>11</v>
      </c>
      <c r="S234" s="126" t="n">
        <f aca="false">O234+L234+I234</f>
        <v>7.25</v>
      </c>
      <c r="T234" s="127"/>
      <c r="U234" s="5" t="n">
        <f aca="false">A235-A234</f>
        <v>31</v>
      </c>
      <c r="V234" s="128" t="n">
        <f aca="false">CHOOSE(F$3,A235+24,A234)</f>
        <v>44105</v>
      </c>
      <c r="W234" s="5" t="n">
        <f aca="false">V234-C$3</f>
        <v>6874</v>
      </c>
      <c r="X234" s="124" t="n">
        <f aca="false">VLOOKUP($A234,Table,MATCH(X$4,Curves,0))</f>
        <v>2</v>
      </c>
      <c r="Y234" s="129" t="n">
        <f aca="false">1/(1+CHOOSE(F$3,(X235+($K$3/10000))/2,(X234+($K$3/10000))/2))^(2*W234/365.25)</f>
        <v>4.66916482327328E-012</v>
      </c>
      <c r="Z234" s="5" t="n">
        <f aca="false">IF(AND(mthbeg&lt;=A234,mthend&gt;=A234),1,0)</f>
        <v>0</v>
      </c>
      <c r="AA234" s="5" t="n">
        <f aca="false">U234*Z234</f>
        <v>0</v>
      </c>
      <c r="AC234" s="115" t="n">
        <f aca="false">IF(G227=2,F234*(S234-Q234),F234*(Q234-S234))</f>
        <v>0</v>
      </c>
      <c r="AE234" s="116" t="n">
        <f aca="false">IF($G$3=1,F234*(R234-Q234),F234*(Q234-R234))</f>
        <v>0</v>
      </c>
      <c r="AG234" s="116" t="n">
        <f aca="false">AC234+AE234</f>
        <v>0</v>
      </c>
    </row>
    <row r="235" customFormat="false" ht="12" hidden="false" customHeight="true" outlineLevel="0" collapsed="false">
      <c r="A235" s="120" t="n">
        <f aca="false">EDATE(A234,1)</f>
        <v>44136</v>
      </c>
      <c r="B235" s="121" t="e">
        <f aca="false">VLOOKUP(A235,'Inputs-Summary'!$A$32:$E$41,4,FALSE())</f>
        <v>#N/A</v>
      </c>
      <c r="C235" s="122"/>
      <c r="D235" s="123" t="e">
        <f aca="false">B235+C235</f>
        <v>#N/A</v>
      </c>
      <c r="E235" s="111" t="n">
        <f aca="false">IF(Z235=0,0,IF(AND(Z235=1,$H$3=1),D235*U235,IF($H$3=2,D235,"N/A")))</f>
        <v>0</v>
      </c>
      <c r="F235" s="111" t="n">
        <f aca="false">E235*Y235</f>
        <v>0</v>
      </c>
      <c r="G235" s="124" t="n">
        <f aca="false">VLOOKUP($A235,Table,MATCH(G$4,Curves,0))</f>
        <v>3</v>
      </c>
      <c r="H235" s="125" t="n">
        <f aca="false">G235+$H$7</f>
        <v>3</v>
      </c>
      <c r="I235" s="124" t="n">
        <f aca="false">H235</f>
        <v>3</v>
      </c>
      <c r="J235" s="124" t="n">
        <f aca="false">VLOOKUP($A235,Table,MATCH(J$4,Curves,0))</f>
        <v>4</v>
      </c>
      <c r="K235" s="125" t="n">
        <f aca="false">J235+$K$7</f>
        <v>4</v>
      </c>
      <c r="L235" s="126" t="n">
        <f aca="false">K235</f>
        <v>4</v>
      </c>
      <c r="M235" s="124" t="n">
        <f aca="false">VLOOKUP($A235,Table,MATCH(M$4,Curves,0))</f>
        <v>4</v>
      </c>
      <c r="N235" s="125" t="n">
        <f aca="false">M235+$N$7</f>
        <v>4</v>
      </c>
      <c r="O235" s="126" t="n">
        <v>0.25</v>
      </c>
      <c r="P235" s="114"/>
      <c r="Q235" s="126" t="n">
        <f aca="false">M235+J235+G235</f>
        <v>11</v>
      </c>
      <c r="R235" s="126" t="n">
        <f aca="false">N235+K235+H235</f>
        <v>11</v>
      </c>
      <c r="S235" s="126" t="n">
        <f aca="false">O235+L235+I235</f>
        <v>7.25</v>
      </c>
      <c r="T235" s="127"/>
      <c r="U235" s="5" t="n">
        <f aca="false">A236-A235</f>
        <v>30</v>
      </c>
      <c r="V235" s="128" t="n">
        <f aca="false">CHOOSE(F$3,A236+24,A235)</f>
        <v>44136</v>
      </c>
      <c r="W235" s="5" t="n">
        <f aca="false">V235-C$3</f>
        <v>6905</v>
      </c>
      <c r="X235" s="124" t="n">
        <f aca="false">VLOOKUP($A235,Table,MATCH(X$4,Curves,0))</f>
        <v>2</v>
      </c>
      <c r="Y235" s="129" t="n">
        <f aca="false">1/(1+CHOOSE(F$3,(X236+($K$3/10000))/2,(X235+($K$3/10000))/2))^(2*W235/365.25)</f>
        <v>4.15088156359509E-012</v>
      </c>
      <c r="Z235" s="5" t="n">
        <f aca="false">IF(AND(mthbeg&lt;=A235,mthend&gt;=A235),1,0)</f>
        <v>0</v>
      </c>
      <c r="AA235" s="5" t="n">
        <f aca="false">U235*Z235</f>
        <v>0</v>
      </c>
      <c r="AC235" s="115" t="n">
        <f aca="false">IF(G228=2,F235*(S235-Q235),F235*(Q235-S235))</f>
        <v>0</v>
      </c>
      <c r="AE235" s="116" t="n">
        <f aca="false">IF($G$3=1,F235*(R235-Q235),F235*(Q235-R235))</f>
        <v>0</v>
      </c>
      <c r="AG235" s="116" t="n">
        <f aca="false">AC235+AE235</f>
        <v>0</v>
      </c>
    </row>
    <row r="236" customFormat="false" ht="12" hidden="false" customHeight="true" outlineLevel="0" collapsed="false">
      <c r="A236" s="120" t="n">
        <f aca="false">EDATE(A235,1)</f>
        <v>44166</v>
      </c>
      <c r="B236" s="121" t="e">
        <f aca="false">VLOOKUP(A236,'Inputs-Summary'!$A$32:$E$41,4,FALSE())</f>
        <v>#N/A</v>
      </c>
      <c r="C236" s="122"/>
      <c r="D236" s="123" t="e">
        <f aca="false">B236+C236</f>
        <v>#N/A</v>
      </c>
      <c r="E236" s="111" t="n">
        <f aca="false">IF(Z236=0,0,IF(AND(Z236=1,$H$3=1),D236*U236,IF($H$3=2,D236,"N/A")))</f>
        <v>0</v>
      </c>
      <c r="F236" s="111" t="n">
        <f aca="false">E236*Y236</f>
        <v>0</v>
      </c>
      <c r="G236" s="124" t="n">
        <f aca="false">VLOOKUP($A236,Table,MATCH(G$4,Curves,0))</f>
        <v>3</v>
      </c>
      <c r="H236" s="125" t="n">
        <f aca="false">G236+$H$7</f>
        <v>3</v>
      </c>
      <c r="I236" s="124" t="n">
        <f aca="false">H236</f>
        <v>3</v>
      </c>
      <c r="J236" s="124" t="n">
        <f aca="false">VLOOKUP($A236,Table,MATCH(J$4,Curves,0))</f>
        <v>4</v>
      </c>
      <c r="K236" s="125" t="n">
        <f aca="false">J236+$K$7</f>
        <v>4</v>
      </c>
      <c r="L236" s="126" t="n">
        <f aca="false">K236</f>
        <v>4</v>
      </c>
      <c r="M236" s="124" t="n">
        <f aca="false">VLOOKUP($A236,Table,MATCH(M$4,Curves,0))</f>
        <v>4</v>
      </c>
      <c r="N236" s="125" t="n">
        <f aca="false">M236+$N$7</f>
        <v>4</v>
      </c>
      <c r="O236" s="126" t="n">
        <v>0.25</v>
      </c>
      <c r="P236" s="114"/>
      <c r="Q236" s="126" t="n">
        <f aca="false">M236+J236+G236</f>
        <v>11</v>
      </c>
      <c r="R236" s="126" t="n">
        <f aca="false">N236+K236+H236</f>
        <v>11</v>
      </c>
      <c r="S236" s="126" t="n">
        <f aca="false">O236+L236+I236</f>
        <v>7.25</v>
      </c>
      <c r="T236" s="127"/>
      <c r="U236" s="5" t="n">
        <f aca="false">A237-A236</f>
        <v>31</v>
      </c>
      <c r="V236" s="128" t="n">
        <f aca="false">CHOOSE(F$3,A237+24,A236)</f>
        <v>44166</v>
      </c>
      <c r="W236" s="5" t="n">
        <f aca="false">V236-C$3</f>
        <v>6935</v>
      </c>
      <c r="X236" s="124" t="n">
        <f aca="false">VLOOKUP($A236,Table,MATCH(X$4,Curves,0))</f>
        <v>2</v>
      </c>
      <c r="Y236" s="129" t="n">
        <f aca="false">1/(1+CHOOSE(F$3,(X237+($K$3/10000))/2,(X236+($K$3/10000))/2))^(2*W236/365.25)</f>
        <v>3.70416078164214E-012</v>
      </c>
      <c r="Z236" s="5" t="n">
        <f aca="false">IF(AND(mthbeg&lt;=A236,mthend&gt;=A236),1,0)</f>
        <v>0</v>
      </c>
      <c r="AA236" s="5" t="n">
        <f aca="false">U236*Z236</f>
        <v>0</v>
      </c>
      <c r="AC236" s="115" t="n">
        <f aca="false">IF(G229=2,F236*(S236-Q236),F236*(Q236-S236))</f>
        <v>0</v>
      </c>
      <c r="AE236" s="116" t="n">
        <f aca="false">IF($G$3=1,F236*(R236-Q236),F236*(Q236-R236))</f>
        <v>0</v>
      </c>
      <c r="AG236" s="116" t="n">
        <f aca="false">AC236+AE236</f>
        <v>0</v>
      </c>
    </row>
    <row r="237" customFormat="false" ht="12" hidden="false" customHeight="true" outlineLevel="0" collapsed="false">
      <c r="A237" s="120" t="n">
        <f aca="false">EDATE(A236,1)</f>
        <v>44197</v>
      </c>
      <c r="B237" s="121" t="e">
        <f aca="false">VLOOKUP(A237,'Inputs-Summary'!$A$32:$E$41,4,FALSE())</f>
        <v>#N/A</v>
      </c>
      <c r="C237" s="122"/>
      <c r="D237" s="123" t="e">
        <f aca="false">B237+C237</f>
        <v>#N/A</v>
      </c>
      <c r="E237" s="111" t="n">
        <f aca="false">IF(Z237=0,0,IF(AND(Z237=1,$H$3=1),D237*U237,IF($H$3=2,D237,"N/A")))</f>
        <v>0</v>
      </c>
      <c r="F237" s="111" t="n">
        <f aca="false">E237*Y237</f>
        <v>0</v>
      </c>
      <c r="G237" s="124" t="n">
        <f aca="false">VLOOKUP($A237,Table,MATCH(G$4,Curves,0))</f>
        <v>3</v>
      </c>
      <c r="H237" s="125" t="n">
        <f aca="false">G237+$H$7</f>
        <v>3</v>
      </c>
      <c r="I237" s="124" t="n">
        <f aca="false">H237</f>
        <v>3</v>
      </c>
      <c r="J237" s="124" t="n">
        <f aca="false">VLOOKUP($A237,Table,MATCH(J$4,Curves,0))</f>
        <v>4</v>
      </c>
      <c r="K237" s="125" t="n">
        <f aca="false">J237+$K$7</f>
        <v>4</v>
      </c>
      <c r="L237" s="126" t="n">
        <f aca="false">K237</f>
        <v>4</v>
      </c>
      <c r="M237" s="124" t="n">
        <f aca="false">VLOOKUP($A237,Table,MATCH(M$4,Curves,0))</f>
        <v>4</v>
      </c>
      <c r="N237" s="125" t="n">
        <f aca="false">M237+$N$7</f>
        <v>4</v>
      </c>
      <c r="O237" s="126" t="n">
        <v>0.25</v>
      </c>
      <c r="P237" s="114"/>
      <c r="Q237" s="126" t="n">
        <f aca="false">M237+J237+G237</f>
        <v>11</v>
      </c>
      <c r="R237" s="126" t="n">
        <f aca="false">N237+K237+H237</f>
        <v>11</v>
      </c>
      <c r="S237" s="126" t="n">
        <f aca="false">O237+L237+I237</f>
        <v>7.25</v>
      </c>
      <c r="T237" s="127"/>
      <c r="U237" s="5" t="n">
        <f aca="false">A238-A237</f>
        <v>31</v>
      </c>
      <c r="V237" s="128" t="n">
        <f aca="false">CHOOSE(F$3,A238+24,A237)</f>
        <v>44197</v>
      </c>
      <c r="W237" s="5" t="n">
        <f aca="false">V237-C$3</f>
        <v>6966</v>
      </c>
      <c r="X237" s="124" t="n">
        <f aca="false">VLOOKUP($A237,Table,MATCH(X$4,Curves,0))</f>
        <v>2</v>
      </c>
      <c r="Y237" s="129" t="n">
        <f aca="false">1/(1+CHOOSE(F$3,(X238+($K$3/10000))/2,(X237+($K$3/10000))/2))^(2*W237/365.25)</f>
        <v>3.29299420326127E-012</v>
      </c>
      <c r="Z237" s="5" t="n">
        <f aca="false">IF(AND(mthbeg&lt;=A237,mthend&gt;=A237),1,0)</f>
        <v>0</v>
      </c>
      <c r="AA237" s="5" t="n">
        <f aca="false">U237*Z237</f>
        <v>0</v>
      </c>
      <c r="AC237" s="115" t="n">
        <f aca="false">IF(G230=2,F237*(S237-Q237),F237*(Q237-S237))</f>
        <v>0</v>
      </c>
      <c r="AE237" s="116" t="n">
        <f aca="false">IF($G$3=1,F237*(R237-Q237),F237*(Q237-R237))</f>
        <v>0</v>
      </c>
      <c r="AG237" s="116" t="n">
        <f aca="false">AC237+AE237</f>
        <v>0</v>
      </c>
    </row>
    <row r="238" customFormat="false" ht="12" hidden="false" customHeight="true" outlineLevel="0" collapsed="false">
      <c r="A238" s="120" t="n">
        <f aca="false">EDATE(A237,1)</f>
        <v>44228</v>
      </c>
      <c r="B238" s="121" t="e">
        <f aca="false">VLOOKUP(A238,'Inputs-Summary'!$A$32:$E$41,4,FALSE())</f>
        <v>#N/A</v>
      </c>
      <c r="C238" s="122"/>
      <c r="D238" s="123" t="e">
        <f aca="false">B238+C238</f>
        <v>#N/A</v>
      </c>
      <c r="E238" s="111" t="n">
        <f aca="false">IF(Z238=0,0,IF(AND(Z238=1,$H$3=1),D238*U238,IF($H$3=2,D238,"N/A")))</f>
        <v>0</v>
      </c>
      <c r="F238" s="111" t="n">
        <f aca="false">E238*Y238</f>
        <v>0</v>
      </c>
      <c r="G238" s="124" t="n">
        <f aca="false">VLOOKUP($A238,Table,MATCH(G$4,Curves,0))</f>
        <v>3</v>
      </c>
      <c r="H238" s="125" t="n">
        <f aca="false">G238+$H$7</f>
        <v>3</v>
      </c>
      <c r="I238" s="124" t="n">
        <f aca="false">H238</f>
        <v>3</v>
      </c>
      <c r="J238" s="124" t="n">
        <f aca="false">VLOOKUP($A238,Table,MATCH(J$4,Curves,0))</f>
        <v>4</v>
      </c>
      <c r="K238" s="125" t="n">
        <f aca="false">J238+$K$7</f>
        <v>4</v>
      </c>
      <c r="L238" s="126" t="n">
        <f aca="false">K238</f>
        <v>4</v>
      </c>
      <c r="M238" s="124" t="n">
        <f aca="false">VLOOKUP($A238,Table,MATCH(M$4,Curves,0))</f>
        <v>4</v>
      </c>
      <c r="N238" s="125" t="n">
        <f aca="false">M238+$N$7</f>
        <v>4</v>
      </c>
      <c r="O238" s="126" t="n">
        <v>0.25</v>
      </c>
      <c r="P238" s="114"/>
      <c r="Q238" s="126" t="n">
        <f aca="false">M238+J238+G238</f>
        <v>11</v>
      </c>
      <c r="R238" s="126" t="n">
        <f aca="false">N238+K238+H238</f>
        <v>11</v>
      </c>
      <c r="S238" s="126" t="n">
        <f aca="false">O238+L238+I238</f>
        <v>7.25</v>
      </c>
      <c r="T238" s="127"/>
      <c r="U238" s="5" t="n">
        <f aca="false">A239-A238</f>
        <v>28</v>
      </c>
      <c r="V238" s="128" t="n">
        <f aca="false">CHOOSE(F$3,A239+24,A238)</f>
        <v>44228</v>
      </c>
      <c r="W238" s="5" t="n">
        <f aca="false">V238-C$3</f>
        <v>6997</v>
      </c>
      <c r="X238" s="124" t="n">
        <f aca="false">VLOOKUP($A238,Table,MATCH(X$4,Curves,0))</f>
        <v>2</v>
      </c>
      <c r="Y238" s="129" t="n">
        <f aca="false">1/(1+CHOOSE(F$3,(X239+($K$3/10000))/2,(X238+($K$3/10000))/2))^(2*W238/365.25)</f>
        <v>2.92746764029638E-012</v>
      </c>
      <c r="Z238" s="5" t="n">
        <f aca="false">IF(AND(mthbeg&lt;=A238,mthend&gt;=A238),1,0)</f>
        <v>0</v>
      </c>
      <c r="AA238" s="5" t="n">
        <f aca="false">U238*Z238</f>
        <v>0</v>
      </c>
      <c r="AC238" s="115" t="n">
        <f aca="false">IF(G231=2,F238*(S238-Q238),F238*(Q238-S238))</f>
        <v>0</v>
      </c>
      <c r="AE238" s="116" t="n">
        <f aca="false">IF($G$3=1,F238*(R238-Q238),F238*(Q238-R238))</f>
        <v>0</v>
      </c>
      <c r="AG238" s="116" t="n">
        <f aca="false">AC238+AE238</f>
        <v>0</v>
      </c>
    </row>
    <row r="239" customFormat="false" ht="12" hidden="false" customHeight="true" outlineLevel="0" collapsed="false">
      <c r="A239" s="120" t="n">
        <f aca="false">EDATE(A238,1)</f>
        <v>44256</v>
      </c>
      <c r="B239" s="121" t="e">
        <f aca="false">VLOOKUP(A239,'Inputs-Summary'!$A$32:$E$41,4,FALSE())</f>
        <v>#N/A</v>
      </c>
      <c r="C239" s="122"/>
      <c r="D239" s="123" t="e">
        <f aca="false">B239+C239</f>
        <v>#N/A</v>
      </c>
      <c r="E239" s="111" t="n">
        <f aca="false">IF(Z239=0,0,IF(AND(Z239=1,$H$3=1),D239*U239,IF($H$3=2,D239,"N/A")))</f>
        <v>0</v>
      </c>
      <c r="F239" s="111" t="n">
        <f aca="false">E239*Y239</f>
        <v>0</v>
      </c>
      <c r="G239" s="124" t="n">
        <f aca="false">VLOOKUP($A239,Table,MATCH(G$4,Curves,0))</f>
        <v>3</v>
      </c>
      <c r="H239" s="125" t="n">
        <f aca="false">G239+$H$7</f>
        <v>3</v>
      </c>
      <c r="I239" s="124" t="n">
        <f aca="false">H239</f>
        <v>3</v>
      </c>
      <c r="J239" s="124" t="n">
        <f aca="false">VLOOKUP($A239,Table,MATCH(J$4,Curves,0))</f>
        <v>4</v>
      </c>
      <c r="K239" s="125" t="n">
        <f aca="false">J239+$K$7</f>
        <v>4</v>
      </c>
      <c r="L239" s="126" t="n">
        <f aca="false">K239</f>
        <v>4</v>
      </c>
      <c r="M239" s="124" t="n">
        <f aca="false">VLOOKUP($A239,Table,MATCH(M$4,Curves,0))</f>
        <v>4</v>
      </c>
      <c r="N239" s="125" t="n">
        <f aca="false">M239+$N$7</f>
        <v>4</v>
      </c>
      <c r="O239" s="126" t="n">
        <v>0.25</v>
      </c>
      <c r="P239" s="114"/>
      <c r="Q239" s="126" t="n">
        <f aca="false">M239+J239+G239</f>
        <v>11</v>
      </c>
      <c r="R239" s="126" t="n">
        <f aca="false">N239+K239+H239</f>
        <v>11</v>
      </c>
      <c r="S239" s="126" t="n">
        <f aca="false">O239+L239+I239</f>
        <v>7.25</v>
      </c>
      <c r="T239" s="127"/>
      <c r="U239" s="5" t="n">
        <f aca="false">A240-A239</f>
        <v>31</v>
      </c>
      <c r="V239" s="128" t="n">
        <f aca="false">CHOOSE(F$3,A240+24,A239)</f>
        <v>44256</v>
      </c>
      <c r="W239" s="5" t="n">
        <f aca="false">V239-C$3</f>
        <v>7025</v>
      </c>
      <c r="X239" s="124" t="n">
        <f aca="false">VLOOKUP($A239,Table,MATCH(X$4,Curves,0))</f>
        <v>2</v>
      </c>
      <c r="Y239" s="129" t="n">
        <f aca="false">1/(1+CHOOSE(F$3,(X240+($K$3/10000))/2,(X239+($K$3/10000))/2))^(2*W239/365.25)</f>
        <v>2.63231762325765E-012</v>
      </c>
      <c r="Z239" s="5" t="n">
        <f aca="false">IF(AND(mthbeg&lt;=A239,mthend&gt;=A239),1,0)</f>
        <v>0</v>
      </c>
      <c r="AA239" s="5" t="n">
        <f aca="false">U239*Z239</f>
        <v>0</v>
      </c>
      <c r="AC239" s="115" t="n">
        <f aca="false">IF(G232=2,F239*(S239-Q239),F239*(Q239-S239))</f>
        <v>0</v>
      </c>
      <c r="AE239" s="116" t="n">
        <f aca="false">IF($G$3=1,F239*(R239-Q239),F239*(Q239-R239))</f>
        <v>0</v>
      </c>
      <c r="AG239" s="116" t="n">
        <f aca="false">AC239+AE239</f>
        <v>0</v>
      </c>
    </row>
    <row r="240" customFormat="false" ht="12" hidden="false" customHeight="true" outlineLevel="0" collapsed="false">
      <c r="A240" s="120" t="n">
        <f aca="false">EDATE(A239,1)</f>
        <v>44287</v>
      </c>
      <c r="B240" s="121" t="e">
        <f aca="false">VLOOKUP(A240,'Inputs-Summary'!$A$32:$E$41,4,FALSE())</f>
        <v>#N/A</v>
      </c>
      <c r="C240" s="122"/>
      <c r="D240" s="123" t="e">
        <f aca="false">B240+C240</f>
        <v>#N/A</v>
      </c>
      <c r="E240" s="111" t="n">
        <f aca="false">IF(Z240=0,0,IF(AND(Z240=1,$H$3=1),D240*U240,IF($H$3=2,D240,"N/A")))</f>
        <v>0</v>
      </c>
      <c r="F240" s="111" t="n">
        <f aca="false">E240*Y240</f>
        <v>0</v>
      </c>
      <c r="G240" s="124" t="n">
        <f aca="false">VLOOKUP($A240,Table,MATCH(G$4,Curves,0))</f>
        <v>3</v>
      </c>
      <c r="H240" s="125" t="n">
        <f aca="false">G240+$H$7</f>
        <v>3</v>
      </c>
      <c r="I240" s="124" t="n">
        <f aca="false">H240</f>
        <v>3</v>
      </c>
      <c r="J240" s="124" t="n">
        <f aca="false">VLOOKUP($A240,Table,MATCH(J$4,Curves,0))</f>
        <v>4</v>
      </c>
      <c r="K240" s="125" t="n">
        <f aca="false">J240+$K$7</f>
        <v>4</v>
      </c>
      <c r="L240" s="126" t="n">
        <f aca="false">K240</f>
        <v>4</v>
      </c>
      <c r="M240" s="124" t="n">
        <f aca="false">VLOOKUP($A240,Table,MATCH(M$4,Curves,0))</f>
        <v>4</v>
      </c>
      <c r="N240" s="125" t="n">
        <f aca="false">M240+$N$7</f>
        <v>4</v>
      </c>
      <c r="O240" s="126" t="n">
        <v>0.25</v>
      </c>
      <c r="P240" s="114"/>
      <c r="Q240" s="126" t="n">
        <f aca="false">M240+J240+G240</f>
        <v>11</v>
      </c>
      <c r="R240" s="126" t="n">
        <f aca="false">N240+K240+H240</f>
        <v>11</v>
      </c>
      <c r="S240" s="126" t="n">
        <f aca="false">O240+L240+I240</f>
        <v>7.25</v>
      </c>
      <c r="T240" s="127"/>
      <c r="U240" s="5" t="n">
        <f aca="false">A241-A240</f>
        <v>30</v>
      </c>
      <c r="V240" s="128" t="n">
        <f aca="false">CHOOSE(F$3,A241+24,A240)</f>
        <v>44287</v>
      </c>
      <c r="W240" s="5" t="n">
        <f aca="false">V240-C$3</f>
        <v>7056</v>
      </c>
      <c r="X240" s="124" t="n">
        <f aca="false">VLOOKUP($A240,Table,MATCH(X$4,Curves,0))</f>
        <v>2</v>
      </c>
      <c r="Y240" s="129" t="n">
        <f aca="false">1/(1+CHOOSE(F$3,(X241+($K$3/10000))/2,(X240+($K$3/10000))/2))^(2*W240/365.25)</f>
        <v>2.3401270046078E-012</v>
      </c>
      <c r="Z240" s="5" t="n">
        <f aca="false">IF(AND(mthbeg&lt;=A240,mthend&gt;=A240),1,0)</f>
        <v>0</v>
      </c>
      <c r="AA240" s="5" t="n">
        <f aca="false">U240*Z240</f>
        <v>0</v>
      </c>
      <c r="AC240" s="115" t="n">
        <f aca="false">IF(G233=2,F240*(S240-Q240),F240*(Q240-S240))</f>
        <v>0</v>
      </c>
      <c r="AE240" s="116" t="n">
        <f aca="false">IF($G$3=1,F240*(R240-Q240),F240*(Q240-R240))</f>
        <v>0</v>
      </c>
      <c r="AG240" s="116" t="n">
        <f aca="false">AC240+AE240</f>
        <v>0</v>
      </c>
    </row>
    <row r="241" customFormat="false" ht="12" hidden="false" customHeight="true" outlineLevel="0" collapsed="false">
      <c r="A241" s="120" t="n">
        <f aca="false">EDATE(A240,1)</f>
        <v>44317</v>
      </c>
      <c r="B241" s="121" t="e">
        <f aca="false">VLOOKUP(A241,'Inputs-Summary'!$A$32:$E$41,4,FALSE())</f>
        <v>#N/A</v>
      </c>
      <c r="C241" s="122"/>
      <c r="D241" s="123" t="e">
        <f aca="false">B241+C241</f>
        <v>#N/A</v>
      </c>
      <c r="E241" s="111" t="n">
        <f aca="false">IF(Z241=0,0,IF(AND(Z241=1,$H$3=1),D241*U241,IF($H$3=2,D241,"N/A")))</f>
        <v>0</v>
      </c>
      <c r="F241" s="111" t="n">
        <f aca="false">E241*Y241</f>
        <v>0</v>
      </c>
      <c r="G241" s="124" t="n">
        <f aca="false">VLOOKUP($A241,Table,MATCH(G$4,Curves,0))</f>
        <v>3</v>
      </c>
      <c r="H241" s="125" t="n">
        <f aca="false">G241+$H$7</f>
        <v>3</v>
      </c>
      <c r="I241" s="124" t="n">
        <f aca="false">H241</f>
        <v>3</v>
      </c>
      <c r="J241" s="124" t="n">
        <f aca="false">VLOOKUP($A241,Table,MATCH(J$4,Curves,0))</f>
        <v>4</v>
      </c>
      <c r="K241" s="125" t="n">
        <f aca="false">J241+$K$7</f>
        <v>4</v>
      </c>
      <c r="L241" s="126" t="n">
        <f aca="false">K241</f>
        <v>4</v>
      </c>
      <c r="M241" s="124" t="n">
        <f aca="false">VLOOKUP($A241,Table,MATCH(M$4,Curves,0))</f>
        <v>4</v>
      </c>
      <c r="N241" s="125" t="n">
        <f aca="false">M241+$N$7</f>
        <v>4</v>
      </c>
      <c r="O241" s="126" t="n">
        <v>0.25</v>
      </c>
      <c r="P241" s="114"/>
      <c r="Q241" s="126" t="n">
        <f aca="false">M241+J241+G241</f>
        <v>11</v>
      </c>
      <c r="R241" s="126" t="n">
        <f aca="false">N241+K241+H241</f>
        <v>11</v>
      </c>
      <c r="S241" s="126" t="n">
        <f aca="false">O241+L241+I241</f>
        <v>7.25</v>
      </c>
      <c r="T241" s="127"/>
      <c r="U241" s="5" t="n">
        <f aca="false">A242-A241</f>
        <v>31</v>
      </c>
      <c r="V241" s="128" t="n">
        <f aca="false">CHOOSE(F$3,A242+24,A241)</f>
        <v>44317</v>
      </c>
      <c r="W241" s="5" t="n">
        <f aca="false">V241-C$3</f>
        <v>7086</v>
      </c>
      <c r="X241" s="124" t="n">
        <f aca="false">VLOOKUP($A241,Table,MATCH(X$4,Curves,0))</f>
        <v>2</v>
      </c>
      <c r="Y241" s="129" t="n">
        <f aca="false">1/(1+CHOOSE(F$3,(X242+($K$3/10000))/2,(X241+($K$3/10000))/2))^(2*W241/365.25)</f>
        <v>2.08828089689516E-012</v>
      </c>
      <c r="Z241" s="5" t="n">
        <f aca="false">IF(AND(mthbeg&lt;=A241,mthend&gt;=A241),1,0)</f>
        <v>0</v>
      </c>
      <c r="AA241" s="5" t="n">
        <f aca="false">U241*Z241</f>
        <v>0</v>
      </c>
      <c r="AC241" s="115" t="n">
        <f aca="false">IF(G234=2,F241*(S241-Q241),F241*(Q241-S241))</f>
        <v>0</v>
      </c>
      <c r="AE241" s="116" t="n">
        <f aca="false">IF($G$3=1,F241*(R241-Q241),F241*(Q241-R241))</f>
        <v>0</v>
      </c>
      <c r="AG241" s="116" t="n">
        <f aca="false">AC241+AE241</f>
        <v>0</v>
      </c>
    </row>
    <row r="242" customFormat="false" ht="12" hidden="false" customHeight="true" outlineLevel="0" collapsed="false">
      <c r="A242" s="120" t="n">
        <f aca="false">EDATE(A241,1)</f>
        <v>44348</v>
      </c>
      <c r="B242" s="121" t="e">
        <f aca="false">VLOOKUP(A242,'Inputs-Summary'!$A$32:$E$41,4,FALSE())</f>
        <v>#N/A</v>
      </c>
      <c r="C242" s="122"/>
      <c r="D242" s="123" t="e">
        <f aca="false">B242+C242</f>
        <v>#N/A</v>
      </c>
      <c r="E242" s="111" t="n">
        <f aca="false">IF(Z242=0,0,IF(AND(Z242=1,$H$3=1),D242*U242,IF($H$3=2,D242,"N/A")))</f>
        <v>0</v>
      </c>
      <c r="F242" s="111" t="n">
        <f aca="false">E242*Y242</f>
        <v>0</v>
      </c>
      <c r="G242" s="124" t="n">
        <f aca="false">VLOOKUP($A242,Table,MATCH(G$4,Curves,0))</f>
        <v>3</v>
      </c>
      <c r="H242" s="125" t="n">
        <f aca="false">G242+$H$7</f>
        <v>3</v>
      </c>
      <c r="I242" s="124" t="n">
        <f aca="false">H242</f>
        <v>3</v>
      </c>
      <c r="J242" s="124" t="n">
        <f aca="false">VLOOKUP($A242,Table,MATCH(J$4,Curves,0))</f>
        <v>4</v>
      </c>
      <c r="K242" s="125" t="n">
        <f aca="false">J242+$K$7</f>
        <v>4</v>
      </c>
      <c r="L242" s="126" t="n">
        <f aca="false">K242</f>
        <v>4</v>
      </c>
      <c r="M242" s="124" t="n">
        <f aca="false">VLOOKUP($A242,Table,MATCH(M$4,Curves,0))</f>
        <v>4</v>
      </c>
      <c r="N242" s="125" t="n">
        <f aca="false">M242+$N$7</f>
        <v>4</v>
      </c>
      <c r="O242" s="126" t="n">
        <v>0.25</v>
      </c>
      <c r="P242" s="114"/>
      <c r="Q242" s="126" t="n">
        <f aca="false">M242+J242+G242</f>
        <v>11</v>
      </c>
      <c r="R242" s="126" t="n">
        <f aca="false">N242+K242+H242</f>
        <v>11</v>
      </c>
      <c r="S242" s="126" t="n">
        <f aca="false">O242+L242+I242</f>
        <v>7.25</v>
      </c>
      <c r="T242" s="127"/>
      <c r="U242" s="5" t="n">
        <f aca="false">A243-A242</f>
        <v>30</v>
      </c>
      <c r="V242" s="128" t="n">
        <f aca="false">CHOOSE(F$3,A243+24,A242)</f>
        <v>44348</v>
      </c>
      <c r="W242" s="5" t="n">
        <f aca="false">V242-C$3</f>
        <v>7117</v>
      </c>
      <c r="X242" s="124" t="n">
        <f aca="false">VLOOKUP($A242,Table,MATCH(X$4,Curves,0))</f>
        <v>2</v>
      </c>
      <c r="Y242" s="129" t="n">
        <f aca="false">1/(1+CHOOSE(F$3,(X243+($K$3/10000))/2,(X242+($K$3/10000))/2))^(2*W242/365.25)</f>
        <v>1.85647904981284E-012</v>
      </c>
      <c r="Z242" s="5" t="n">
        <f aca="false">IF(AND(mthbeg&lt;=A242,mthend&gt;=A242),1,0)</f>
        <v>0</v>
      </c>
      <c r="AA242" s="5" t="n">
        <f aca="false">U242*Z242</f>
        <v>0</v>
      </c>
      <c r="AC242" s="115" t="n">
        <f aca="false">IF(G235=2,F242*(S242-Q242),F242*(Q242-S242))</f>
        <v>0</v>
      </c>
      <c r="AE242" s="116" t="n">
        <f aca="false">IF($G$3=1,F242*(R242-Q242),F242*(Q242-R242))</f>
        <v>0</v>
      </c>
      <c r="AG242" s="116" t="n">
        <f aca="false">AC242+AE242</f>
        <v>0</v>
      </c>
    </row>
    <row r="243" customFormat="false" ht="12" hidden="false" customHeight="true" outlineLevel="0" collapsed="false">
      <c r="A243" s="120" t="n">
        <f aca="false">EDATE(A242,1)</f>
        <v>44378</v>
      </c>
      <c r="B243" s="121" t="e">
        <f aca="false">VLOOKUP(A243,'Inputs-Summary'!$A$32:$E$41,4,FALSE())</f>
        <v>#N/A</v>
      </c>
      <c r="C243" s="122"/>
      <c r="D243" s="123" t="e">
        <f aca="false">B243+C243</f>
        <v>#N/A</v>
      </c>
      <c r="E243" s="111" t="n">
        <f aca="false">IF(Z243=0,0,IF(AND(Z243=1,$H$3=1),D243*U243,IF($H$3=2,D243,"N/A")))</f>
        <v>0</v>
      </c>
      <c r="F243" s="111" t="n">
        <f aca="false">E243*Y243</f>
        <v>0</v>
      </c>
      <c r="G243" s="124" t="n">
        <f aca="false">VLOOKUP($A243,Table,MATCH(G$4,Curves,0))</f>
        <v>3</v>
      </c>
      <c r="H243" s="125" t="n">
        <f aca="false">G243+$H$7</f>
        <v>3</v>
      </c>
      <c r="I243" s="124" t="n">
        <f aca="false">H243</f>
        <v>3</v>
      </c>
      <c r="J243" s="124" t="n">
        <f aca="false">VLOOKUP($A243,Table,MATCH(J$4,Curves,0))</f>
        <v>4</v>
      </c>
      <c r="K243" s="125" t="n">
        <f aca="false">J243+$K$7</f>
        <v>4</v>
      </c>
      <c r="L243" s="126" t="n">
        <f aca="false">K243</f>
        <v>4</v>
      </c>
      <c r="M243" s="124" t="n">
        <f aca="false">VLOOKUP($A243,Table,MATCH(M$4,Curves,0))</f>
        <v>4</v>
      </c>
      <c r="N243" s="125" t="n">
        <f aca="false">M243+$N$7</f>
        <v>4</v>
      </c>
      <c r="O243" s="126" t="n">
        <v>0.25</v>
      </c>
      <c r="P243" s="114"/>
      <c r="Q243" s="126" t="n">
        <f aca="false">M243+J243+G243</f>
        <v>11</v>
      </c>
      <c r="R243" s="126" t="n">
        <f aca="false">N243+K243+H243</f>
        <v>11</v>
      </c>
      <c r="S243" s="126" t="n">
        <f aca="false">O243+L243+I243</f>
        <v>7.25</v>
      </c>
      <c r="T243" s="127"/>
      <c r="U243" s="5" t="n">
        <f aca="false">A244-A243</f>
        <v>31</v>
      </c>
      <c r="V243" s="128" t="n">
        <f aca="false">CHOOSE(F$3,A244+24,A243)</f>
        <v>44378</v>
      </c>
      <c r="W243" s="5" t="n">
        <f aca="false">V243-C$3</f>
        <v>7147</v>
      </c>
      <c r="X243" s="124" t="n">
        <f aca="false">VLOOKUP($A243,Table,MATCH(X$4,Curves,0))</f>
        <v>2</v>
      </c>
      <c r="Y243" s="129" t="n">
        <f aca="false">1/(1+CHOOSE(F$3,(X244+($K$3/10000))/2,(X243+($K$3/10000))/2))^(2*W243/365.25)</f>
        <v>1.65668347383563E-012</v>
      </c>
      <c r="Z243" s="5" t="n">
        <f aca="false">IF(AND(mthbeg&lt;=A243,mthend&gt;=A243),1,0)</f>
        <v>0</v>
      </c>
      <c r="AA243" s="5" t="n">
        <f aca="false">U243*Z243</f>
        <v>0</v>
      </c>
      <c r="AC243" s="115" t="n">
        <f aca="false">IF(G236=2,F243*(S243-Q243),F243*(Q243-S243))</f>
        <v>0</v>
      </c>
      <c r="AE243" s="116" t="n">
        <f aca="false">IF($G$3=1,F243*(R243-Q243),F243*(Q243-R243))</f>
        <v>0</v>
      </c>
      <c r="AG243" s="116" t="n">
        <f aca="false">AC243+AE243</f>
        <v>0</v>
      </c>
    </row>
    <row r="244" customFormat="false" ht="12" hidden="false" customHeight="true" outlineLevel="0" collapsed="false">
      <c r="A244" s="120" t="n">
        <f aca="false">EDATE(A243,1)</f>
        <v>44409</v>
      </c>
      <c r="B244" s="121" t="e">
        <f aca="false">VLOOKUP(A244,'Inputs-Summary'!$A$32:$E$41,4,FALSE())</f>
        <v>#N/A</v>
      </c>
      <c r="C244" s="122"/>
      <c r="D244" s="123" t="e">
        <f aca="false">B244+C244</f>
        <v>#N/A</v>
      </c>
      <c r="E244" s="111" t="n">
        <f aca="false">IF(Z244=0,0,IF(AND(Z244=1,$H$3=1),D244*U244,IF($H$3=2,D244,"N/A")))</f>
        <v>0</v>
      </c>
      <c r="F244" s="111" t="n">
        <f aca="false">E244*Y244</f>
        <v>0</v>
      </c>
      <c r="G244" s="124" t="n">
        <f aca="false">VLOOKUP($A244,Table,MATCH(G$4,Curves,0))</f>
        <v>3</v>
      </c>
      <c r="H244" s="125" t="n">
        <f aca="false">G244+$H$7</f>
        <v>3</v>
      </c>
      <c r="I244" s="124" t="n">
        <f aca="false">H244</f>
        <v>3</v>
      </c>
      <c r="J244" s="124" t="n">
        <f aca="false">VLOOKUP($A244,Table,MATCH(J$4,Curves,0))</f>
        <v>4</v>
      </c>
      <c r="K244" s="125" t="n">
        <f aca="false">J244+$K$7</f>
        <v>4</v>
      </c>
      <c r="L244" s="126" t="n">
        <f aca="false">K244</f>
        <v>4</v>
      </c>
      <c r="M244" s="124" t="n">
        <f aca="false">VLOOKUP($A244,Table,MATCH(M$4,Curves,0))</f>
        <v>4</v>
      </c>
      <c r="N244" s="125" t="n">
        <f aca="false">M244+$N$7</f>
        <v>4</v>
      </c>
      <c r="O244" s="126" t="n">
        <v>0.25</v>
      </c>
      <c r="P244" s="114"/>
      <c r="Q244" s="126" t="n">
        <f aca="false">M244+J244+G244</f>
        <v>11</v>
      </c>
      <c r="R244" s="126" t="n">
        <f aca="false">N244+K244+H244</f>
        <v>11</v>
      </c>
      <c r="S244" s="126" t="n">
        <f aca="false">O244+L244+I244</f>
        <v>7.25</v>
      </c>
      <c r="T244" s="127"/>
      <c r="U244" s="5" t="n">
        <f aca="false">A245-A244</f>
        <v>31</v>
      </c>
      <c r="V244" s="128" t="n">
        <f aca="false">CHOOSE(F$3,A245+24,A244)</f>
        <v>44409</v>
      </c>
      <c r="W244" s="5" t="n">
        <f aca="false">V244-C$3</f>
        <v>7178</v>
      </c>
      <c r="X244" s="124" t="n">
        <f aca="false">VLOOKUP($A244,Table,MATCH(X$4,Curves,0))</f>
        <v>2</v>
      </c>
      <c r="Y244" s="129" t="n">
        <f aca="false">1/(1+CHOOSE(F$3,(X245+($K$3/10000))/2,(X244+($K$3/10000))/2))^(2*W244/365.25)</f>
        <v>1.47278949202657E-012</v>
      </c>
      <c r="Z244" s="5" t="n">
        <f aca="false">IF(AND(mthbeg&lt;=A244,mthend&gt;=A244),1,0)</f>
        <v>0</v>
      </c>
      <c r="AA244" s="5" t="n">
        <f aca="false">U244*Z244</f>
        <v>0</v>
      </c>
      <c r="AC244" s="115" t="n">
        <f aca="false">IF(G237=2,F244*(S244-Q244),F244*(Q244-S244))</f>
        <v>0</v>
      </c>
      <c r="AE244" s="116" t="n">
        <f aca="false">IF($G$3=1,F244*(R244-Q244),F244*(Q244-R244))</f>
        <v>0</v>
      </c>
      <c r="AG244" s="116" t="n">
        <f aca="false">AC244+AE244</f>
        <v>0</v>
      </c>
    </row>
    <row r="245" customFormat="false" ht="12" hidden="false" customHeight="true" outlineLevel="0" collapsed="false">
      <c r="A245" s="120" t="n">
        <f aca="false">EDATE(A244,1)</f>
        <v>44440</v>
      </c>
      <c r="B245" s="121" t="e">
        <f aca="false">VLOOKUP(A245,'Inputs-Summary'!$A$32:$E$41,4,FALSE())</f>
        <v>#N/A</v>
      </c>
      <c r="C245" s="122"/>
      <c r="D245" s="123" t="e">
        <f aca="false">B245+C245</f>
        <v>#N/A</v>
      </c>
      <c r="E245" s="111" t="n">
        <f aca="false">IF(Z245=0,0,IF(AND(Z245=1,$H$3=1),D245*U245,IF($H$3=2,D245,"N/A")))</f>
        <v>0</v>
      </c>
      <c r="F245" s="111" t="n">
        <f aca="false">E245*Y245</f>
        <v>0</v>
      </c>
      <c r="G245" s="124" t="n">
        <f aca="false">VLOOKUP($A245,Table,MATCH(G$4,Curves,0))</f>
        <v>3</v>
      </c>
      <c r="H245" s="125" t="n">
        <f aca="false">G245+$H$7</f>
        <v>3</v>
      </c>
      <c r="I245" s="124" t="n">
        <f aca="false">H245</f>
        <v>3</v>
      </c>
      <c r="J245" s="124" t="n">
        <f aca="false">VLOOKUP($A245,Table,MATCH(J$4,Curves,0))</f>
        <v>4</v>
      </c>
      <c r="K245" s="125" t="n">
        <f aca="false">J245+$K$7</f>
        <v>4</v>
      </c>
      <c r="L245" s="126" t="n">
        <f aca="false">K245</f>
        <v>4</v>
      </c>
      <c r="M245" s="124" t="n">
        <f aca="false">VLOOKUP($A245,Table,MATCH(M$4,Curves,0))</f>
        <v>4</v>
      </c>
      <c r="N245" s="125" t="n">
        <f aca="false">M245+$N$7</f>
        <v>4</v>
      </c>
      <c r="O245" s="126" t="n">
        <v>0.25</v>
      </c>
      <c r="P245" s="114"/>
      <c r="Q245" s="126" t="n">
        <f aca="false">M245+J245+G245</f>
        <v>11</v>
      </c>
      <c r="R245" s="126" t="n">
        <f aca="false">N245+K245+H245</f>
        <v>11</v>
      </c>
      <c r="S245" s="126" t="n">
        <f aca="false">O245+L245+I245</f>
        <v>7.25</v>
      </c>
      <c r="T245" s="127"/>
      <c r="U245" s="5" t="n">
        <f aca="false">A246-A245</f>
        <v>30</v>
      </c>
      <c r="V245" s="128" t="n">
        <f aca="false">CHOOSE(F$3,A246+24,A245)</f>
        <v>44440</v>
      </c>
      <c r="W245" s="5" t="n">
        <f aca="false">V245-C$3</f>
        <v>7209</v>
      </c>
      <c r="X245" s="124" t="n">
        <f aca="false">VLOOKUP($A245,Table,MATCH(X$4,Curves,0))</f>
        <v>2</v>
      </c>
      <c r="Y245" s="129" t="n">
        <f aca="false">1/(1+CHOOSE(F$3,(X246+($K$3/10000))/2,(X245+($K$3/10000))/2))^(2*W245/365.25)</f>
        <v>1.3093079771007E-012</v>
      </c>
      <c r="Z245" s="5" t="n">
        <f aca="false">IF(AND(mthbeg&lt;=A245,mthend&gt;=A245),1,0)</f>
        <v>0</v>
      </c>
      <c r="AA245" s="5" t="n">
        <f aca="false">U245*Z245</f>
        <v>0</v>
      </c>
      <c r="AC245" s="115" t="n">
        <f aca="false">IF(G238=2,F245*(S245-Q245),F245*(Q245-S245))</f>
        <v>0</v>
      </c>
      <c r="AE245" s="116" t="n">
        <f aca="false">IF($G$3=1,F245*(R245-Q245),F245*(Q245-R245))</f>
        <v>0</v>
      </c>
      <c r="AG245" s="116" t="n">
        <f aca="false">AC245+AE245</f>
        <v>0</v>
      </c>
    </row>
    <row r="246" customFormat="false" ht="12" hidden="false" customHeight="true" outlineLevel="0" collapsed="false">
      <c r="A246" s="120" t="n">
        <f aca="false">EDATE(A245,1)</f>
        <v>44470</v>
      </c>
      <c r="B246" s="121" t="e">
        <f aca="false">VLOOKUP(A246,'Inputs-Summary'!$A$32:$E$41,4,FALSE())</f>
        <v>#N/A</v>
      </c>
      <c r="C246" s="122"/>
      <c r="D246" s="123" t="e">
        <f aca="false">B246+C246</f>
        <v>#N/A</v>
      </c>
      <c r="E246" s="111" t="n">
        <f aca="false">IF(Z246=0,0,IF(AND(Z246=1,$H$3=1),D246*U246,IF($H$3=2,D246,"N/A")))</f>
        <v>0</v>
      </c>
      <c r="F246" s="111" t="n">
        <f aca="false">E246*Y246</f>
        <v>0</v>
      </c>
      <c r="G246" s="124" t="n">
        <f aca="false">VLOOKUP($A246,Table,MATCH(G$4,Curves,0))</f>
        <v>3</v>
      </c>
      <c r="H246" s="125" t="n">
        <f aca="false">G246+$H$7</f>
        <v>3</v>
      </c>
      <c r="I246" s="124" t="n">
        <f aca="false">H246</f>
        <v>3</v>
      </c>
      <c r="J246" s="124" t="n">
        <f aca="false">VLOOKUP($A246,Table,MATCH(J$4,Curves,0))</f>
        <v>4</v>
      </c>
      <c r="K246" s="125" t="n">
        <f aca="false">J246+$K$7</f>
        <v>4</v>
      </c>
      <c r="L246" s="126" t="n">
        <f aca="false">K246</f>
        <v>4</v>
      </c>
      <c r="M246" s="124" t="n">
        <f aca="false">VLOOKUP($A246,Table,MATCH(M$4,Curves,0))</f>
        <v>4</v>
      </c>
      <c r="N246" s="125" t="n">
        <f aca="false">M246+$N$7</f>
        <v>4</v>
      </c>
      <c r="O246" s="126" t="n">
        <v>0.25</v>
      </c>
      <c r="P246" s="114"/>
      <c r="Q246" s="126" t="n">
        <f aca="false">M246+J246+G246</f>
        <v>11</v>
      </c>
      <c r="R246" s="126" t="n">
        <f aca="false">N246+K246+H246</f>
        <v>11</v>
      </c>
      <c r="S246" s="126" t="n">
        <f aca="false">O246+L246+I246</f>
        <v>7.25</v>
      </c>
      <c r="T246" s="127"/>
      <c r="U246" s="5" t="n">
        <f aca="false">A247-A246</f>
        <v>31</v>
      </c>
      <c r="V246" s="128" t="n">
        <f aca="false">CHOOSE(F$3,A247+24,A246)</f>
        <v>44470</v>
      </c>
      <c r="W246" s="5" t="n">
        <f aca="false">V246-C$3</f>
        <v>7239</v>
      </c>
      <c r="X246" s="124" t="n">
        <f aca="false">VLOOKUP($A246,Table,MATCH(X$4,Curves,0))</f>
        <v>2</v>
      </c>
      <c r="Y246" s="129" t="n">
        <f aca="false">1/(1+CHOOSE(F$3,(X247+($K$3/10000))/2,(X246+($K$3/10000))/2))^(2*W246/365.25)</f>
        <v>1.16839933531303E-012</v>
      </c>
      <c r="Z246" s="5" t="n">
        <f aca="false">IF(AND(mthbeg&lt;=A246,mthend&gt;=A246),1,0)</f>
        <v>0</v>
      </c>
      <c r="AA246" s="5" t="n">
        <f aca="false">U246*Z246</f>
        <v>0</v>
      </c>
      <c r="AC246" s="115" t="n">
        <f aca="false">IF(G239=2,F246*(S246-Q246),F246*(Q246-S246))</f>
        <v>0</v>
      </c>
      <c r="AE246" s="116" t="n">
        <f aca="false">IF($G$3=1,F246*(R246-Q246),F246*(Q246-R246))</f>
        <v>0</v>
      </c>
      <c r="AG246" s="116" t="n">
        <f aca="false">AC246+AE246</f>
        <v>0</v>
      </c>
    </row>
    <row r="247" customFormat="false" ht="12" hidden="false" customHeight="true" outlineLevel="0" collapsed="false">
      <c r="A247" s="120" t="n">
        <f aca="false">EDATE(A246,1)</f>
        <v>44501</v>
      </c>
      <c r="B247" s="121" t="e">
        <f aca="false">VLOOKUP(A247,'Inputs-Summary'!$A$32:$E$41,4,FALSE())</f>
        <v>#N/A</v>
      </c>
      <c r="C247" s="122"/>
      <c r="D247" s="123" t="e">
        <f aca="false">B247+C247</f>
        <v>#N/A</v>
      </c>
      <c r="E247" s="111" t="n">
        <f aca="false">IF(Z247=0,0,IF(AND(Z247=1,$H$3=1),D247*U247,IF($H$3=2,D247,"N/A")))</f>
        <v>0</v>
      </c>
      <c r="F247" s="111" t="n">
        <f aca="false">E247*Y247</f>
        <v>0</v>
      </c>
      <c r="G247" s="124" t="n">
        <f aca="false">VLOOKUP($A247,Table,MATCH(G$4,Curves,0))</f>
        <v>3</v>
      </c>
      <c r="H247" s="125" t="n">
        <f aca="false">G247+$H$7</f>
        <v>3</v>
      </c>
      <c r="I247" s="124" t="n">
        <f aca="false">H247</f>
        <v>3</v>
      </c>
      <c r="J247" s="124" t="n">
        <f aca="false">VLOOKUP($A247,Table,MATCH(J$4,Curves,0))</f>
        <v>4</v>
      </c>
      <c r="K247" s="125" t="n">
        <f aca="false">J247+$K$7</f>
        <v>4</v>
      </c>
      <c r="L247" s="126" t="n">
        <f aca="false">K247</f>
        <v>4</v>
      </c>
      <c r="M247" s="124" t="n">
        <f aca="false">VLOOKUP($A247,Table,MATCH(M$4,Curves,0))</f>
        <v>4</v>
      </c>
      <c r="N247" s="125" t="n">
        <f aca="false">M247+$N$7</f>
        <v>4</v>
      </c>
      <c r="O247" s="126" t="n">
        <v>0.25</v>
      </c>
      <c r="P247" s="114"/>
      <c r="Q247" s="126" t="n">
        <f aca="false">M247+J247+G247</f>
        <v>11</v>
      </c>
      <c r="R247" s="126" t="n">
        <f aca="false">N247+K247+H247</f>
        <v>11</v>
      </c>
      <c r="S247" s="126" t="n">
        <f aca="false">O247+L247+I247</f>
        <v>7.25</v>
      </c>
      <c r="T247" s="127"/>
      <c r="U247" s="5" t="n">
        <f aca="false">A248-A247</f>
        <v>30</v>
      </c>
      <c r="V247" s="128" t="n">
        <f aca="false">CHOOSE(F$3,A248+24,A247)</f>
        <v>44501</v>
      </c>
      <c r="W247" s="5" t="n">
        <f aca="false">V247-C$3</f>
        <v>7270</v>
      </c>
      <c r="X247" s="124" t="n">
        <f aca="false">VLOOKUP($A247,Table,MATCH(X$4,Curves,0))</f>
        <v>2</v>
      </c>
      <c r="Y247" s="129" t="n">
        <f aca="false">1/(1+CHOOSE(F$3,(X248+($K$3/10000))/2,(X247+($K$3/10000))/2))^(2*W247/365.25)</f>
        <v>1.03870551660407E-012</v>
      </c>
      <c r="Z247" s="5" t="n">
        <f aca="false">IF(AND(mthbeg&lt;=A247,mthend&gt;=A247),1,0)</f>
        <v>0</v>
      </c>
      <c r="AA247" s="5" t="n">
        <f aca="false">U247*Z247</f>
        <v>0</v>
      </c>
      <c r="AC247" s="115" t="n">
        <f aca="false">IF(G240=2,F247*(S247-Q247),F247*(Q247-S247))</f>
        <v>0</v>
      </c>
      <c r="AE247" s="116" t="n">
        <f aca="false">IF($G$3=1,F247*(R247-Q247),F247*(Q247-R247))</f>
        <v>0</v>
      </c>
      <c r="AG247" s="116" t="n">
        <f aca="false">AC247+AE247</f>
        <v>0</v>
      </c>
    </row>
    <row r="248" customFormat="false" ht="12" hidden="false" customHeight="true" outlineLevel="0" collapsed="false">
      <c r="A248" s="120" t="n">
        <f aca="false">EDATE(A247,1)</f>
        <v>44531</v>
      </c>
      <c r="B248" s="121" t="e">
        <f aca="false">VLOOKUP(A248,'Inputs-Summary'!$A$32:$E$41,4,FALSE())</f>
        <v>#N/A</v>
      </c>
      <c r="C248" s="122"/>
      <c r="D248" s="123" t="e">
        <f aca="false">B248+C248</f>
        <v>#N/A</v>
      </c>
      <c r="E248" s="111" t="n">
        <f aca="false">IF(Z248=0,0,IF(AND(Z248=1,$H$3=1),D248*U248,IF($H$3=2,D248,"N/A")))</f>
        <v>0</v>
      </c>
      <c r="F248" s="111" t="n">
        <f aca="false">E248*Y248</f>
        <v>0</v>
      </c>
      <c r="G248" s="124" t="n">
        <f aca="false">VLOOKUP($A248,Table,MATCH(G$4,Curves,0))</f>
        <v>3</v>
      </c>
      <c r="H248" s="125" t="n">
        <f aca="false">G248+$H$7</f>
        <v>3</v>
      </c>
      <c r="I248" s="124" t="n">
        <f aca="false">H248</f>
        <v>3</v>
      </c>
      <c r="J248" s="124" t="n">
        <f aca="false">VLOOKUP($A248,Table,MATCH(J$4,Curves,0))</f>
        <v>4</v>
      </c>
      <c r="K248" s="125" t="n">
        <f aca="false">J248+$K$7</f>
        <v>4</v>
      </c>
      <c r="L248" s="126" t="n">
        <f aca="false">K248</f>
        <v>4</v>
      </c>
      <c r="M248" s="124" t="n">
        <f aca="false">VLOOKUP($A248,Table,MATCH(M$4,Curves,0))</f>
        <v>4</v>
      </c>
      <c r="N248" s="125" t="n">
        <f aca="false">M248+$N$7</f>
        <v>4</v>
      </c>
      <c r="O248" s="126" t="n">
        <v>0.25</v>
      </c>
      <c r="P248" s="114"/>
      <c r="Q248" s="126" t="n">
        <f aca="false">M248+J248+G248</f>
        <v>11</v>
      </c>
      <c r="R248" s="126" t="n">
        <f aca="false">N248+K248+H248</f>
        <v>11</v>
      </c>
      <c r="S248" s="126" t="n">
        <f aca="false">O248+L248+I248</f>
        <v>7.25</v>
      </c>
      <c r="T248" s="127"/>
      <c r="U248" s="5" t="n">
        <f aca="false">A249-A248</f>
        <v>31</v>
      </c>
      <c r="V248" s="128" t="n">
        <f aca="false">CHOOSE(F$3,A249+24,A248)</f>
        <v>44531</v>
      </c>
      <c r="W248" s="5" t="n">
        <f aca="false">V248-C$3</f>
        <v>7300</v>
      </c>
      <c r="X248" s="124" t="n">
        <f aca="false">VLOOKUP($A248,Table,MATCH(X$4,Curves,0))</f>
        <v>2</v>
      </c>
      <c r="Y248" s="129" t="n">
        <f aca="false">1/(1+CHOOSE(F$3,(X249+($K$3/10000))/2,(X248+($K$3/10000))/2))^(2*W248/365.25)</f>
        <v>9.26919301197255E-013</v>
      </c>
      <c r="Z248" s="5" t="n">
        <f aca="false">IF(AND(mthbeg&lt;=A248,mthend&gt;=A248),1,0)</f>
        <v>0</v>
      </c>
      <c r="AA248" s="5" t="n">
        <f aca="false">U248*Z248</f>
        <v>0</v>
      </c>
      <c r="AC248" s="115" t="n">
        <f aca="false">IF(G241=2,F248*(S248-Q248),F248*(Q248-S248))</f>
        <v>0</v>
      </c>
      <c r="AE248" s="116" t="n">
        <f aca="false">IF($G$3=1,F248*(R248-Q248),F248*(Q248-R248))</f>
        <v>0</v>
      </c>
      <c r="AG248" s="116" t="n">
        <f aca="false">AC248+AE248</f>
        <v>0</v>
      </c>
    </row>
    <row r="249" customFormat="false" ht="12" hidden="false" customHeight="true" outlineLevel="0" collapsed="false">
      <c r="A249" s="120" t="n">
        <f aca="false">EDATE(A248,1)</f>
        <v>44562</v>
      </c>
      <c r="B249" s="121" t="e">
        <f aca="false">VLOOKUP(A249,'Inputs-Summary'!$A$32:$E$41,4,FALSE())</f>
        <v>#N/A</v>
      </c>
      <c r="C249" s="122"/>
      <c r="D249" s="123" t="e">
        <f aca="false">B249+C249</f>
        <v>#N/A</v>
      </c>
      <c r="E249" s="111" t="n">
        <f aca="false">IF(Z249=0,0,IF(AND(Z249=1,$H$3=1),D249*U249,IF($H$3=2,D249,"N/A")))</f>
        <v>0</v>
      </c>
      <c r="F249" s="111" t="n">
        <f aca="false">E249*Y249</f>
        <v>0</v>
      </c>
      <c r="G249" s="124" t="n">
        <f aca="false">VLOOKUP($A249,Table,MATCH(G$4,Curves,0))</f>
        <v>3</v>
      </c>
      <c r="H249" s="125" t="n">
        <f aca="false">G249+$H$7</f>
        <v>3</v>
      </c>
      <c r="I249" s="124" t="n">
        <f aca="false">H249</f>
        <v>3</v>
      </c>
      <c r="J249" s="124" t="n">
        <f aca="false">VLOOKUP($A249,Table,MATCH(J$4,Curves,0))</f>
        <v>4</v>
      </c>
      <c r="K249" s="125" t="n">
        <f aca="false">J249+$K$7</f>
        <v>4</v>
      </c>
      <c r="L249" s="126" t="n">
        <f aca="false">K249</f>
        <v>4</v>
      </c>
      <c r="M249" s="124" t="n">
        <f aca="false">VLOOKUP($A249,Table,MATCH(M$4,Curves,0))</f>
        <v>4</v>
      </c>
      <c r="N249" s="125" t="n">
        <f aca="false">M249+$N$7</f>
        <v>4</v>
      </c>
      <c r="O249" s="126" t="n">
        <v>0.25</v>
      </c>
      <c r="P249" s="114"/>
      <c r="Q249" s="126" t="n">
        <f aca="false">M249+J249+G249</f>
        <v>11</v>
      </c>
      <c r="R249" s="126" t="n">
        <f aca="false">N249+K249+H249</f>
        <v>11</v>
      </c>
      <c r="S249" s="126" t="n">
        <f aca="false">O249+L249+I249</f>
        <v>7.25</v>
      </c>
      <c r="T249" s="127"/>
      <c r="U249" s="5" t="n">
        <f aca="false">A250-A249</f>
        <v>31</v>
      </c>
      <c r="V249" s="128" t="n">
        <f aca="false">CHOOSE(F$3,A250+24,A249)</f>
        <v>44562</v>
      </c>
      <c r="W249" s="5" t="n">
        <f aca="false">V249-C$3</f>
        <v>7331</v>
      </c>
      <c r="X249" s="124" t="n">
        <f aca="false">VLOOKUP($A249,Table,MATCH(X$4,Curves,0))</f>
        <v>2</v>
      </c>
      <c r="Y249" s="129" t="n">
        <f aca="false">1/(1+CHOOSE(F$3,(X250+($K$3/10000))/2,(X249+($K$3/10000))/2))^(2*W249/365.25)</f>
        <v>8.2403007473676E-013</v>
      </c>
      <c r="Z249" s="5" t="n">
        <f aca="false">IF(AND(mthbeg&lt;=A249,mthend&gt;=A249),1,0)</f>
        <v>0</v>
      </c>
      <c r="AA249" s="5" t="n">
        <f aca="false">U249*Z249</f>
        <v>0</v>
      </c>
      <c r="AC249" s="115" t="n">
        <f aca="false">IF(G242=2,F249*(S249-Q249),F249*(Q249-S249))</f>
        <v>0</v>
      </c>
      <c r="AE249" s="116" t="n">
        <f aca="false">IF($G$3=1,F249*(R249-Q249),F249*(Q249-R249))</f>
        <v>0</v>
      </c>
      <c r="AG249" s="116" t="n">
        <f aca="false">AC249+AE249</f>
        <v>0</v>
      </c>
    </row>
    <row r="250" customFormat="false" ht="12" hidden="false" customHeight="true" outlineLevel="0" collapsed="false">
      <c r="A250" s="120" t="n">
        <f aca="false">EDATE(A249,1)</f>
        <v>44593</v>
      </c>
      <c r="B250" s="121" t="e">
        <f aca="false">VLOOKUP(A250,'Inputs-Summary'!$A$32:$E$41,4,FALSE())</f>
        <v>#N/A</v>
      </c>
      <c r="C250" s="122"/>
      <c r="D250" s="123" t="e">
        <f aca="false">B250+C250</f>
        <v>#N/A</v>
      </c>
      <c r="E250" s="111" t="n">
        <f aca="false">IF(Z250=0,0,IF(AND(Z250=1,$H$3=1),D250*U250,IF($H$3=2,D250,"N/A")))</f>
        <v>0</v>
      </c>
      <c r="F250" s="111" t="n">
        <f aca="false">E250*Y250</f>
        <v>0</v>
      </c>
      <c r="G250" s="124" t="n">
        <f aca="false">VLOOKUP($A250,Table,MATCH(G$4,Curves,0))</f>
        <v>3</v>
      </c>
      <c r="H250" s="125" t="n">
        <f aca="false">G250+$H$7</f>
        <v>3</v>
      </c>
      <c r="I250" s="124" t="n">
        <f aca="false">H250</f>
        <v>3</v>
      </c>
      <c r="J250" s="124" t="n">
        <f aca="false">VLOOKUP($A250,Table,MATCH(J$4,Curves,0))</f>
        <v>4</v>
      </c>
      <c r="K250" s="125" t="n">
        <f aca="false">J250+$K$7</f>
        <v>4</v>
      </c>
      <c r="L250" s="126" t="n">
        <f aca="false">K250</f>
        <v>4</v>
      </c>
      <c r="M250" s="124" t="n">
        <f aca="false">VLOOKUP($A250,Table,MATCH(M$4,Curves,0))</f>
        <v>4</v>
      </c>
      <c r="N250" s="125" t="n">
        <f aca="false">M250+$N$7</f>
        <v>4</v>
      </c>
      <c r="O250" s="126" t="n">
        <v>0.25</v>
      </c>
      <c r="P250" s="114"/>
      <c r="Q250" s="126" t="n">
        <f aca="false">M250+J250+G250</f>
        <v>11</v>
      </c>
      <c r="R250" s="126" t="n">
        <f aca="false">N250+K250+H250</f>
        <v>11</v>
      </c>
      <c r="S250" s="126" t="n">
        <f aca="false">O250+L250+I250</f>
        <v>7.25</v>
      </c>
      <c r="T250" s="127"/>
      <c r="U250" s="5" t="n">
        <f aca="false">A251-A250</f>
        <v>28</v>
      </c>
      <c r="V250" s="128" t="n">
        <f aca="false">CHOOSE(F$3,A251+24,A250)</f>
        <v>44593</v>
      </c>
      <c r="W250" s="5" t="n">
        <f aca="false">V250-C$3</f>
        <v>7362</v>
      </c>
      <c r="X250" s="124" t="n">
        <f aca="false">VLOOKUP($A250,Table,MATCH(X$4,Curves,0))</f>
        <v>2</v>
      </c>
      <c r="Y250" s="129" t="n">
        <f aca="false">1/(1+CHOOSE(F$3,(X251+($K$3/10000))/2,(X250+($K$3/10000))/2))^(2*W250/365.25)</f>
        <v>7.32561683841956E-013</v>
      </c>
      <c r="Z250" s="5" t="n">
        <f aca="false">IF(AND(mthbeg&lt;=A250,mthend&gt;=A250),1,0)</f>
        <v>0</v>
      </c>
      <c r="AA250" s="5" t="n">
        <f aca="false">U250*Z250</f>
        <v>0</v>
      </c>
      <c r="AC250" s="115" t="n">
        <f aca="false">IF(G243=2,F250*(S250-Q250),F250*(Q250-S250))</f>
        <v>0</v>
      </c>
      <c r="AE250" s="116" t="n">
        <f aca="false">IF($G$3=1,F250*(R250-Q250),F250*(Q250-R250))</f>
        <v>0</v>
      </c>
      <c r="AG250" s="116" t="n">
        <f aca="false">AC250+AE250</f>
        <v>0</v>
      </c>
    </row>
    <row r="251" customFormat="false" ht="12" hidden="false" customHeight="true" outlineLevel="0" collapsed="false">
      <c r="A251" s="120" t="n">
        <f aca="false">EDATE(A250,1)</f>
        <v>44621</v>
      </c>
      <c r="B251" s="121" t="e">
        <f aca="false">VLOOKUP(A251,'Inputs-Summary'!$A$32:$E$41,4,FALSE())</f>
        <v>#N/A</v>
      </c>
      <c r="C251" s="122"/>
      <c r="D251" s="123" t="e">
        <f aca="false">B251+C251</f>
        <v>#N/A</v>
      </c>
      <c r="E251" s="111" t="n">
        <f aca="false">IF(Z251=0,0,IF(AND(Z251=1,$H$3=1),D251*U251,IF($H$3=2,D251,"N/A")))</f>
        <v>0</v>
      </c>
      <c r="F251" s="111" t="n">
        <f aca="false">E251*Y251</f>
        <v>0</v>
      </c>
      <c r="G251" s="124" t="n">
        <f aca="false">VLOOKUP($A251,Table,MATCH(G$4,Curves,0))</f>
        <v>3</v>
      </c>
      <c r="H251" s="125" t="n">
        <f aca="false">G251+$H$7</f>
        <v>3</v>
      </c>
      <c r="I251" s="124" t="n">
        <f aca="false">H251</f>
        <v>3</v>
      </c>
      <c r="J251" s="124" t="n">
        <f aca="false">VLOOKUP($A251,Table,MATCH(J$4,Curves,0))</f>
        <v>4</v>
      </c>
      <c r="K251" s="125" t="n">
        <f aca="false">J251+$K$7</f>
        <v>4</v>
      </c>
      <c r="L251" s="126" t="n">
        <f aca="false">K251</f>
        <v>4</v>
      </c>
      <c r="M251" s="124" t="n">
        <f aca="false">VLOOKUP($A251,Table,MATCH(M$4,Curves,0))</f>
        <v>4</v>
      </c>
      <c r="N251" s="125" t="n">
        <f aca="false">M251+$N$7</f>
        <v>4</v>
      </c>
      <c r="O251" s="126" t="n">
        <v>0.25</v>
      </c>
      <c r="P251" s="114"/>
      <c r="Q251" s="126" t="n">
        <f aca="false">M251+J251+G251</f>
        <v>11</v>
      </c>
      <c r="R251" s="126" t="n">
        <f aca="false">N251+K251+H251</f>
        <v>11</v>
      </c>
      <c r="S251" s="126" t="n">
        <f aca="false">O251+L251+I251</f>
        <v>7.25</v>
      </c>
      <c r="T251" s="127"/>
      <c r="U251" s="5" t="n">
        <f aca="false">A252-A251</f>
        <v>31</v>
      </c>
      <c r="V251" s="128" t="n">
        <f aca="false">CHOOSE(F$3,A252+24,A251)</f>
        <v>44621</v>
      </c>
      <c r="W251" s="5" t="n">
        <f aca="false">V251-C$3</f>
        <v>7390</v>
      </c>
      <c r="X251" s="124" t="n">
        <f aca="false">VLOOKUP($A251,Table,MATCH(X$4,Curves,0))</f>
        <v>2</v>
      </c>
      <c r="Y251" s="129" t="n">
        <f aca="false">1/(1+CHOOSE(F$3,(X252+($K$3/10000))/2,(X251+($K$3/10000))/2))^(2*W251/365.25)</f>
        <v>6.58704131843196E-013</v>
      </c>
      <c r="Z251" s="5" t="n">
        <f aca="false">IF(AND(mthbeg&lt;=A251,mthend&gt;=A251),1,0)</f>
        <v>0</v>
      </c>
      <c r="AA251" s="5" t="n">
        <f aca="false">U251*Z251</f>
        <v>0</v>
      </c>
      <c r="AC251" s="115" t="n">
        <f aca="false">IF(G244=2,F251*(S251-Q251),F251*(Q251-S251))</f>
        <v>0</v>
      </c>
      <c r="AE251" s="116" t="n">
        <f aca="false">IF($G$3=1,F251*(R251-Q251),F251*(Q251-R251))</f>
        <v>0</v>
      </c>
      <c r="AG251" s="116" t="n">
        <f aca="false">AC251+AE251</f>
        <v>0</v>
      </c>
    </row>
    <row r="252" customFormat="false" ht="12" hidden="false" customHeight="true" outlineLevel="0" collapsed="false">
      <c r="A252" s="120" t="n">
        <f aca="false">EDATE(A251,1)</f>
        <v>44652</v>
      </c>
      <c r="B252" s="121" t="e">
        <f aca="false">VLOOKUP(A252,'Inputs-Summary'!$A$32:$E$41,4,FALSE())</f>
        <v>#N/A</v>
      </c>
      <c r="C252" s="122"/>
      <c r="D252" s="123" t="e">
        <f aca="false">B252+C252</f>
        <v>#N/A</v>
      </c>
      <c r="E252" s="111" t="n">
        <f aca="false">IF(Z252=0,0,IF(AND(Z252=1,$H$3=1),D252*U252,IF($H$3=2,D252,"N/A")))</f>
        <v>0</v>
      </c>
      <c r="F252" s="111" t="n">
        <f aca="false">E252*Y252</f>
        <v>0</v>
      </c>
      <c r="G252" s="124" t="n">
        <f aca="false">VLOOKUP($A252,Table,MATCH(G$4,Curves,0))</f>
        <v>3</v>
      </c>
      <c r="H252" s="125" t="n">
        <f aca="false">G252+$H$7</f>
        <v>3</v>
      </c>
      <c r="I252" s="124" t="n">
        <f aca="false">H252</f>
        <v>3</v>
      </c>
      <c r="J252" s="124" t="n">
        <f aca="false">VLOOKUP($A252,Table,MATCH(J$4,Curves,0))</f>
        <v>4</v>
      </c>
      <c r="K252" s="125" t="n">
        <f aca="false">J252+$K$7</f>
        <v>4</v>
      </c>
      <c r="L252" s="126" t="n">
        <f aca="false">K252</f>
        <v>4</v>
      </c>
      <c r="M252" s="124" t="n">
        <f aca="false">VLOOKUP($A252,Table,MATCH(M$4,Curves,0))</f>
        <v>4</v>
      </c>
      <c r="N252" s="125" t="n">
        <f aca="false">M252+$N$7</f>
        <v>4</v>
      </c>
      <c r="O252" s="126" t="n">
        <v>0.25</v>
      </c>
      <c r="P252" s="114"/>
      <c r="Q252" s="126" t="n">
        <f aca="false">M252+J252+G252</f>
        <v>11</v>
      </c>
      <c r="R252" s="126" t="n">
        <f aca="false">N252+K252+H252</f>
        <v>11</v>
      </c>
      <c r="S252" s="126" t="n">
        <f aca="false">O252+L252+I252</f>
        <v>7.25</v>
      </c>
      <c r="T252" s="127"/>
      <c r="U252" s="5" t="n">
        <f aca="false">A253-A252</f>
        <v>30</v>
      </c>
      <c r="V252" s="128" t="n">
        <f aca="false">CHOOSE(F$3,A253+24,A252)</f>
        <v>44652</v>
      </c>
      <c r="W252" s="5" t="n">
        <f aca="false">V252-C$3</f>
        <v>7421</v>
      </c>
      <c r="X252" s="124" t="n">
        <f aca="false">VLOOKUP($A252,Table,MATCH(X$4,Curves,0))</f>
        <v>2</v>
      </c>
      <c r="Y252" s="129" t="n">
        <f aca="false">1/(1+CHOOSE(F$3,(X253+($K$3/10000))/2,(X252+($K$3/10000))/2))^(2*W252/365.25)</f>
        <v>5.85587131793527E-013</v>
      </c>
      <c r="Z252" s="5" t="n">
        <f aca="false">IF(AND(mthbeg&lt;=A252,mthend&gt;=A252),1,0)</f>
        <v>0</v>
      </c>
      <c r="AA252" s="5" t="n">
        <f aca="false">U252*Z252</f>
        <v>0</v>
      </c>
      <c r="AC252" s="115" t="n">
        <f aca="false">IF(G245=2,F252*(S252-Q252),F252*(Q252-S252))</f>
        <v>0</v>
      </c>
      <c r="AE252" s="116" t="n">
        <f aca="false">IF($G$3=1,F252*(R252-Q252),F252*(Q252-R252))</f>
        <v>0</v>
      </c>
      <c r="AG252" s="116" t="n">
        <f aca="false">AC252+AE252</f>
        <v>0</v>
      </c>
    </row>
    <row r="253" customFormat="false" ht="12" hidden="false" customHeight="true" outlineLevel="0" collapsed="false">
      <c r="A253" s="120" t="n">
        <f aca="false">EDATE(A252,1)</f>
        <v>44682</v>
      </c>
      <c r="B253" s="121" t="e">
        <f aca="false">VLOOKUP(A253,'Inputs-Summary'!$A$32:$E$41,4,FALSE())</f>
        <v>#N/A</v>
      </c>
      <c r="C253" s="122"/>
      <c r="D253" s="123" t="e">
        <f aca="false">B253+C253</f>
        <v>#N/A</v>
      </c>
      <c r="E253" s="111" t="n">
        <f aca="false">IF(Z253=0,0,IF(AND(Z253=1,$H$3=1),D253*U253,IF($H$3=2,D253,"N/A")))</f>
        <v>0</v>
      </c>
      <c r="F253" s="111" t="n">
        <f aca="false">E253*Y253</f>
        <v>0</v>
      </c>
      <c r="G253" s="124" t="n">
        <f aca="false">VLOOKUP($A253,Table,MATCH(G$4,Curves,0))</f>
        <v>3</v>
      </c>
      <c r="H253" s="125" t="n">
        <f aca="false">G253+$H$7</f>
        <v>3</v>
      </c>
      <c r="I253" s="124" t="n">
        <f aca="false">H253</f>
        <v>3</v>
      </c>
      <c r="J253" s="124" t="n">
        <f aca="false">VLOOKUP($A253,Table,MATCH(J$4,Curves,0))</f>
        <v>4</v>
      </c>
      <c r="K253" s="125" t="n">
        <f aca="false">J253+$K$7</f>
        <v>4</v>
      </c>
      <c r="L253" s="126" t="n">
        <f aca="false">K253</f>
        <v>4</v>
      </c>
      <c r="M253" s="124" t="n">
        <f aca="false">VLOOKUP($A253,Table,MATCH(M$4,Curves,0))</f>
        <v>4</v>
      </c>
      <c r="N253" s="125" t="n">
        <f aca="false">M253+$N$7</f>
        <v>4</v>
      </c>
      <c r="O253" s="126" t="n">
        <v>0.25</v>
      </c>
      <c r="P253" s="114"/>
      <c r="Q253" s="126" t="n">
        <f aca="false">M253+J253+G253</f>
        <v>11</v>
      </c>
      <c r="R253" s="126" t="n">
        <f aca="false">N253+K253+H253</f>
        <v>11</v>
      </c>
      <c r="S253" s="126" t="n">
        <f aca="false">O253+L253+I253</f>
        <v>7.25</v>
      </c>
      <c r="T253" s="127"/>
      <c r="U253" s="5" t="n">
        <f aca="false">A254-A253</f>
        <v>31</v>
      </c>
      <c r="V253" s="128" t="n">
        <f aca="false">CHOOSE(F$3,A254+24,A253)</f>
        <v>44682</v>
      </c>
      <c r="W253" s="5" t="n">
        <f aca="false">V253-C$3</f>
        <v>7451</v>
      </c>
      <c r="X253" s="124" t="n">
        <f aca="false">VLOOKUP($A253,Table,MATCH(X$4,Curves,0))</f>
        <v>2</v>
      </c>
      <c r="Y253" s="129" t="n">
        <f aca="false">1/(1+CHOOSE(F$3,(X254+($K$3/10000))/2,(X253+($K$3/10000))/2))^(2*W253/365.25)</f>
        <v>5.22565834411623E-013</v>
      </c>
      <c r="Z253" s="5" t="n">
        <f aca="false">IF(AND(mthbeg&lt;=A253,mthend&gt;=A253),1,0)</f>
        <v>0</v>
      </c>
      <c r="AA253" s="5" t="n">
        <f aca="false">U253*Z253</f>
        <v>0</v>
      </c>
      <c r="AC253" s="115" t="n">
        <f aca="false">IF(G246=2,F253*(S253-Q253),F253*(Q253-S253))</f>
        <v>0</v>
      </c>
      <c r="AE253" s="116" t="n">
        <f aca="false">IF($G$3=1,F253*(R253-Q253),F253*(Q253-R253))</f>
        <v>0</v>
      </c>
      <c r="AG253" s="116" t="n">
        <f aca="false">AC253+AE253</f>
        <v>0</v>
      </c>
    </row>
    <row r="254" customFormat="false" ht="12" hidden="false" customHeight="true" outlineLevel="0" collapsed="false">
      <c r="A254" s="120" t="n">
        <f aca="false">EDATE(A253,1)</f>
        <v>44713</v>
      </c>
      <c r="B254" s="121" t="e">
        <f aca="false">VLOOKUP(A254,'Inputs-Summary'!$A$32:$E$41,4,FALSE())</f>
        <v>#N/A</v>
      </c>
      <c r="C254" s="122"/>
      <c r="D254" s="123" t="e">
        <f aca="false">B254+C254</f>
        <v>#N/A</v>
      </c>
      <c r="E254" s="111" t="n">
        <f aca="false">IF(Z254=0,0,IF(AND(Z254=1,$H$3=1),D254*U254,IF($H$3=2,D254,"N/A")))</f>
        <v>0</v>
      </c>
      <c r="F254" s="111" t="n">
        <f aca="false">E254*Y254</f>
        <v>0</v>
      </c>
      <c r="G254" s="124" t="n">
        <f aca="false">VLOOKUP($A254,Table,MATCH(G$4,Curves,0))</f>
        <v>3</v>
      </c>
      <c r="H254" s="125" t="n">
        <f aca="false">G254+$H$7</f>
        <v>3</v>
      </c>
      <c r="I254" s="124" t="n">
        <f aca="false">H254</f>
        <v>3</v>
      </c>
      <c r="J254" s="124" t="n">
        <f aca="false">VLOOKUP($A254,Table,MATCH(J$4,Curves,0))</f>
        <v>4</v>
      </c>
      <c r="K254" s="125" t="n">
        <f aca="false">J254+$K$7</f>
        <v>4</v>
      </c>
      <c r="L254" s="126" t="n">
        <f aca="false">K254</f>
        <v>4</v>
      </c>
      <c r="M254" s="124" t="n">
        <f aca="false">VLOOKUP($A254,Table,MATCH(M$4,Curves,0))</f>
        <v>4</v>
      </c>
      <c r="N254" s="125" t="n">
        <f aca="false">M254+$N$7</f>
        <v>4</v>
      </c>
      <c r="O254" s="126" t="n">
        <v>0.25</v>
      </c>
      <c r="P254" s="114"/>
      <c r="Q254" s="126" t="n">
        <f aca="false">M254+J254+G254</f>
        <v>11</v>
      </c>
      <c r="R254" s="126" t="n">
        <f aca="false">N254+K254+H254</f>
        <v>11</v>
      </c>
      <c r="S254" s="126" t="n">
        <f aca="false">O254+L254+I254</f>
        <v>7.25</v>
      </c>
      <c r="T254" s="127"/>
      <c r="U254" s="5" t="n">
        <f aca="false">A255-A254</f>
        <v>30</v>
      </c>
      <c r="V254" s="128" t="n">
        <f aca="false">CHOOSE(F$3,A255+24,A254)</f>
        <v>44713</v>
      </c>
      <c r="W254" s="5" t="n">
        <f aca="false">V254-C$3</f>
        <v>7482</v>
      </c>
      <c r="X254" s="124" t="n">
        <f aca="false">VLOOKUP($A254,Table,MATCH(X$4,Curves,0))</f>
        <v>2</v>
      </c>
      <c r="Y254" s="129" t="n">
        <f aca="false">1/(1+CHOOSE(F$3,(X255+($K$3/10000))/2,(X254+($K$3/10000))/2))^(2*W254/365.25)</f>
        <v>4.64560359277113E-013</v>
      </c>
      <c r="Z254" s="5" t="n">
        <f aca="false">IF(AND(mthbeg&lt;=A254,mthend&gt;=A254),1,0)</f>
        <v>0</v>
      </c>
      <c r="AA254" s="5" t="n">
        <f aca="false">U254*Z254</f>
        <v>0</v>
      </c>
      <c r="AC254" s="115" t="n">
        <f aca="false">IF(G247=2,F254*(S254-Q254),F254*(Q254-S254))</f>
        <v>0</v>
      </c>
      <c r="AE254" s="116" t="n">
        <f aca="false">IF($G$3=1,F254*(R254-Q254),F254*(Q254-R254))</f>
        <v>0</v>
      </c>
      <c r="AG254" s="116" t="n">
        <f aca="false">AC254+AE254</f>
        <v>0</v>
      </c>
    </row>
    <row r="255" customFormat="false" ht="12" hidden="false" customHeight="true" outlineLevel="0" collapsed="false">
      <c r="A255" s="120" t="n">
        <f aca="false">EDATE(A254,1)</f>
        <v>44743</v>
      </c>
      <c r="B255" s="121" t="e">
        <f aca="false">VLOOKUP(A255,'Inputs-Summary'!$A$32:$E$41,4,FALSE())</f>
        <v>#N/A</v>
      </c>
      <c r="C255" s="122"/>
      <c r="D255" s="123" t="e">
        <f aca="false">B255+C255</f>
        <v>#N/A</v>
      </c>
      <c r="E255" s="111" t="n">
        <f aca="false">IF(Z255=0,0,IF(AND(Z255=1,$H$3=1),D255*U255,IF($H$3=2,D255,"N/A")))</f>
        <v>0</v>
      </c>
      <c r="F255" s="111" t="n">
        <f aca="false">E255*Y255</f>
        <v>0</v>
      </c>
      <c r="G255" s="124" t="n">
        <f aca="false">VLOOKUP($A255,Table,MATCH(G$4,Curves,0))</f>
        <v>3</v>
      </c>
      <c r="H255" s="125" t="n">
        <f aca="false">G255+$H$7</f>
        <v>3</v>
      </c>
      <c r="I255" s="124" t="n">
        <f aca="false">H255</f>
        <v>3</v>
      </c>
      <c r="J255" s="124" t="n">
        <f aca="false">VLOOKUP($A255,Table,MATCH(J$4,Curves,0))</f>
        <v>4</v>
      </c>
      <c r="K255" s="125" t="n">
        <f aca="false">J255+$K$7</f>
        <v>4</v>
      </c>
      <c r="L255" s="126" t="n">
        <f aca="false">K255</f>
        <v>4</v>
      </c>
      <c r="M255" s="124" t="n">
        <f aca="false">VLOOKUP($A255,Table,MATCH(M$4,Curves,0))</f>
        <v>4</v>
      </c>
      <c r="N255" s="125" t="n">
        <f aca="false">M255+$N$7</f>
        <v>4</v>
      </c>
      <c r="O255" s="126" t="n">
        <v>0.25</v>
      </c>
      <c r="P255" s="114"/>
      <c r="Q255" s="126" t="n">
        <f aca="false">M255+J255+G255</f>
        <v>11</v>
      </c>
      <c r="R255" s="126" t="n">
        <f aca="false">N255+K255+H255</f>
        <v>11</v>
      </c>
      <c r="S255" s="126" t="n">
        <f aca="false">O255+L255+I255</f>
        <v>7.25</v>
      </c>
      <c r="T255" s="127"/>
      <c r="U255" s="5" t="n">
        <f aca="false">A256-A255</f>
        <v>31</v>
      </c>
      <c r="V255" s="128" t="n">
        <f aca="false">CHOOSE(F$3,A256+24,A255)</f>
        <v>44743</v>
      </c>
      <c r="W255" s="5" t="n">
        <f aca="false">V255-C$3</f>
        <v>7512</v>
      </c>
      <c r="X255" s="124" t="n">
        <f aca="false">VLOOKUP($A255,Table,MATCH(X$4,Curves,0))</f>
        <v>2</v>
      </c>
      <c r="Y255" s="129" t="n">
        <f aca="false">1/(1+CHOOSE(F$3,(X256+($K$3/10000))/2,(X255+($K$3/10000))/2))^(2*W255/365.25)</f>
        <v>4.14564047943943E-013</v>
      </c>
      <c r="Z255" s="5" t="n">
        <f aca="false">IF(AND(mthbeg&lt;=A255,mthend&gt;=A255),1,0)</f>
        <v>0</v>
      </c>
      <c r="AA255" s="5" t="n">
        <f aca="false">U255*Z255</f>
        <v>0</v>
      </c>
      <c r="AC255" s="115" t="n">
        <f aca="false">IF(G248=2,F255*(S255-Q255),F255*(Q255-S255))</f>
        <v>0</v>
      </c>
      <c r="AE255" s="116" t="n">
        <f aca="false">IF($G$3=1,F255*(R255-Q255),F255*(Q255-R255))</f>
        <v>0</v>
      </c>
      <c r="AG255" s="116" t="n">
        <f aca="false">AC255+AE255</f>
        <v>0</v>
      </c>
    </row>
    <row r="256" customFormat="false" ht="12" hidden="false" customHeight="true" outlineLevel="0" collapsed="false">
      <c r="A256" s="120" t="n">
        <f aca="false">EDATE(A255,1)</f>
        <v>44774</v>
      </c>
      <c r="B256" s="121" t="e">
        <f aca="false">VLOOKUP(A256,'Inputs-Summary'!$A$32:$E$41,4,FALSE())</f>
        <v>#N/A</v>
      </c>
      <c r="C256" s="122"/>
      <c r="D256" s="123" t="e">
        <f aca="false">B256+C256</f>
        <v>#N/A</v>
      </c>
      <c r="E256" s="111" t="n">
        <f aca="false">IF(Z256=0,0,IF(AND(Z256=1,$H$3=1),D256*U256,IF($H$3=2,D256,"N/A")))</f>
        <v>0</v>
      </c>
      <c r="F256" s="111" t="n">
        <f aca="false">E256*Y256</f>
        <v>0</v>
      </c>
      <c r="G256" s="124" t="n">
        <f aca="false">VLOOKUP($A256,Table,MATCH(G$4,Curves,0))</f>
        <v>3</v>
      </c>
      <c r="H256" s="125" t="n">
        <f aca="false">G256+$H$7</f>
        <v>3</v>
      </c>
      <c r="I256" s="124" t="n">
        <f aca="false">H256</f>
        <v>3</v>
      </c>
      <c r="J256" s="124" t="n">
        <f aca="false">VLOOKUP($A256,Table,MATCH(J$4,Curves,0))</f>
        <v>4</v>
      </c>
      <c r="K256" s="125" t="n">
        <f aca="false">J256+$K$7</f>
        <v>4</v>
      </c>
      <c r="L256" s="126" t="n">
        <f aca="false">K256</f>
        <v>4</v>
      </c>
      <c r="M256" s="124" t="n">
        <f aca="false">VLOOKUP($A256,Table,MATCH(M$4,Curves,0))</f>
        <v>4</v>
      </c>
      <c r="N256" s="125" t="n">
        <f aca="false">M256+$N$7</f>
        <v>4</v>
      </c>
      <c r="O256" s="126" t="n">
        <v>0.25</v>
      </c>
      <c r="P256" s="114"/>
      <c r="Q256" s="126" t="n">
        <f aca="false">M256+J256+G256</f>
        <v>11</v>
      </c>
      <c r="R256" s="126" t="n">
        <f aca="false">N256+K256+H256</f>
        <v>11</v>
      </c>
      <c r="S256" s="126" t="n">
        <f aca="false">O256+L256+I256</f>
        <v>7.25</v>
      </c>
      <c r="T256" s="127"/>
      <c r="U256" s="5" t="n">
        <f aca="false">A257-A256</f>
        <v>31</v>
      </c>
      <c r="V256" s="128" t="n">
        <f aca="false">CHOOSE(F$3,A257+24,A256)</f>
        <v>44774</v>
      </c>
      <c r="W256" s="5" t="n">
        <f aca="false">V256-C$3</f>
        <v>7543</v>
      </c>
      <c r="X256" s="124" t="n">
        <f aca="false">VLOOKUP($A256,Table,MATCH(X$4,Curves,0))</f>
        <v>2</v>
      </c>
      <c r="Y256" s="129" t="n">
        <f aca="false">1/(1+CHOOSE(F$3,(X257+($K$3/10000))/2,(X256+($K$3/10000))/2))^(2*W256/365.25)</f>
        <v>3.685469090666E-013</v>
      </c>
      <c r="Z256" s="5" t="n">
        <f aca="false">IF(AND(mthbeg&lt;=A256,mthend&gt;=A256),1,0)</f>
        <v>0</v>
      </c>
      <c r="AA256" s="5" t="n">
        <f aca="false">U256*Z256</f>
        <v>0</v>
      </c>
      <c r="AC256" s="115" t="n">
        <f aca="false">IF(G249=2,F256*(S256-Q256),F256*(Q256-S256))</f>
        <v>0</v>
      </c>
      <c r="AE256" s="116" t="n">
        <f aca="false">IF($G$3=1,F256*(R256-Q256),F256*(Q256-R256))</f>
        <v>0</v>
      </c>
      <c r="AG256" s="116" t="n">
        <f aca="false">AC256+AE256</f>
        <v>0</v>
      </c>
    </row>
    <row r="257" customFormat="false" ht="12" hidden="false" customHeight="true" outlineLevel="0" collapsed="false">
      <c r="A257" s="120" t="n">
        <f aca="false">EDATE(A256,1)</f>
        <v>44805</v>
      </c>
      <c r="B257" s="121" t="e">
        <f aca="false">VLOOKUP(A257,'Inputs-Summary'!$A$32:$E$41,4,FALSE())</f>
        <v>#N/A</v>
      </c>
      <c r="C257" s="122"/>
      <c r="D257" s="123" t="e">
        <f aca="false">B257+C257</f>
        <v>#N/A</v>
      </c>
      <c r="E257" s="111" t="n">
        <f aca="false">IF(Z257=0,0,IF(AND(Z257=1,$H$3=1),D257*U257,IF($H$3=2,D257,"N/A")))</f>
        <v>0</v>
      </c>
      <c r="F257" s="111" t="n">
        <f aca="false">E257*Y257</f>
        <v>0</v>
      </c>
      <c r="G257" s="124" t="n">
        <f aca="false">VLOOKUP($A257,Table,MATCH(G$4,Curves,0))</f>
        <v>3</v>
      </c>
      <c r="H257" s="125" t="n">
        <f aca="false">G257+$H$7</f>
        <v>3</v>
      </c>
      <c r="I257" s="124" t="n">
        <f aca="false">H257</f>
        <v>3</v>
      </c>
      <c r="J257" s="124" t="n">
        <f aca="false">VLOOKUP($A257,Table,MATCH(J$4,Curves,0))</f>
        <v>4</v>
      </c>
      <c r="K257" s="125" t="n">
        <f aca="false">J257+$K$7</f>
        <v>4</v>
      </c>
      <c r="L257" s="126" t="n">
        <f aca="false">K257</f>
        <v>4</v>
      </c>
      <c r="M257" s="124" t="n">
        <f aca="false">VLOOKUP($A257,Table,MATCH(M$4,Curves,0))</f>
        <v>4</v>
      </c>
      <c r="N257" s="125" t="n">
        <f aca="false">M257+$N$7</f>
        <v>4</v>
      </c>
      <c r="O257" s="126" t="n">
        <v>0.25</v>
      </c>
      <c r="P257" s="114"/>
      <c r="Q257" s="126" t="n">
        <f aca="false">M257+J257+G257</f>
        <v>11</v>
      </c>
      <c r="R257" s="126" t="n">
        <f aca="false">N257+K257+H257</f>
        <v>11</v>
      </c>
      <c r="S257" s="126" t="n">
        <f aca="false">O257+L257+I257</f>
        <v>7.25</v>
      </c>
      <c r="T257" s="127"/>
      <c r="U257" s="5" t="n">
        <f aca="false">A258-A257</f>
        <v>30</v>
      </c>
      <c r="V257" s="128" t="n">
        <f aca="false">CHOOSE(F$3,A258+24,A257)</f>
        <v>44805</v>
      </c>
      <c r="W257" s="5" t="n">
        <f aca="false">V257-C$3</f>
        <v>7574</v>
      </c>
      <c r="X257" s="124" t="n">
        <f aca="false">VLOOKUP($A257,Table,MATCH(X$4,Curves,0))</f>
        <v>2</v>
      </c>
      <c r="Y257" s="129" t="n">
        <f aca="false">1/(1+CHOOSE(F$3,(X258+($K$3/10000))/2,(X257+($K$3/10000))/2))^(2*W257/365.25)</f>
        <v>3.27637731385986E-013</v>
      </c>
      <c r="Z257" s="5" t="n">
        <f aca="false">IF(AND(mthbeg&lt;=A257,mthend&gt;=A257),1,0)</f>
        <v>0</v>
      </c>
      <c r="AA257" s="5" t="n">
        <f aca="false">U257*Z257</f>
        <v>0</v>
      </c>
      <c r="AC257" s="115" t="n">
        <f aca="false">IF(G250=2,F257*(S257-Q257),F257*(Q257-S257))</f>
        <v>0</v>
      </c>
      <c r="AE257" s="116" t="n">
        <f aca="false">IF($G$3=1,F257*(R257-Q257),F257*(Q257-R257))</f>
        <v>0</v>
      </c>
      <c r="AG257" s="116" t="n">
        <f aca="false">AC257+AE257</f>
        <v>0</v>
      </c>
    </row>
    <row r="258" customFormat="false" ht="12" hidden="false" customHeight="true" outlineLevel="0" collapsed="false">
      <c r="A258" s="120" t="n">
        <f aca="false">EDATE(A257,1)</f>
        <v>44835</v>
      </c>
      <c r="B258" s="121" t="e">
        <f aca="false">VLOOKUP(A258,'Inputs-Summary'!$A$32:$E$41,4,FALSE())</f>
        <v>#N/A</v>
      </c>
      <c r="C258" s="122"/>
      <c r="D258" s="123" t="e">
        <f aca="false">B258+C258</f>
        <v>#N/A</v>
      </c>
      <c r="E258" s="111" t="n">
        <f aca="false">IF(Z258=0,0,IF(AND(Z258=1,$H$3=1),D258*U258,IF($H$3=2,D258,"N/A")))</f>
        <v>0</v>
      </c>
      <c r="F258" s="111" t="n">
        <f aca="false">E258*Y258</f>
        <v>0</v>
      </c>
      <c r="G258" s="124" t="n">
        <f aca="false">VLOOKUP($A258,Table,MATCH(G$4,Curves,0))</f>
        <v>3</v>
      </c>
      <c r="H258" s="125" t="n">
        <f aca="false">G258+$H$7</f>
        <v>3</v>
      </c>
      <c r="I258" s="124" t="n">
        <f aca="false">H258</f>
        <v>3</v>
      </c>
      <c r="J258" s="124" t="n">
        <f aca="false">VLOOKUP($A258,Table,MATCH(J$4,Curves,0))</f>
        <v>4</v>
      </c>
      <c r="K258" s="125" t="n">
        <f aca="false">J258+$K$7</f>
        <v>4</v>
      </c>
      <c r="L258" s="126" t="n">
        <f aca="false">K258</f>
        <v>4</v>
      </c>
      <c r="M258" s="124" t="n">
        <f aca="false">VLOOKUP($A258,Table,MATCH(M$4,Curves,0))</f>
        <v>4</v>
      </c>
      <c r="N258" s="125" t="n">
        <f aca="false">M258+$N$7</f>
        <v>4</v>
      </c>
      <c r="O258" s="126" t="n">
        <v>0.25</v>
      </c>
      <c r="P258" s="114"/>
      <c r="Q258" s="126" t="n">
        <f aca="false">M258+J258+G258</f>
        <v>11</v>
      </c>
      <c r="R258" s="126" t="n">
        <f aca="false">N258+K258+H258</f>
        <v>11</v>
      </c>
      <c r="S258" s="126" t="n">
        <f aca="false">O258+L258+I258</f>
        <v>7.25</v>
      </c>
      <c r="T258" s="127"/>
      <c r="U258" s="5" t="n">
        <f aca="false">A259-A258</f>
        <v>31</v>
      </c>
      <c r="V258" s="128" t="n">
        <f aca="false">CHOOSE(F$3,A259+24,A258)</f>
        <v>44835</v>
      </c>
      <c r="W258" s="5" t="n">
        <f aca="false">V258-C$3</f>
        <v>7604</v>
      </c>
      <c r="X258" s="124" t="n">
        <f aca="false">VLOOKUP($A258,Table,MATCH(X$4,Curves,0))</f>
        <v>2</v>
      </c>
      <c r="Y258" s="129" t="n">
        <f aca="false">1/(1+CHOOSE(F$3,(X259+($K$3/10000))/2,(X258+($K$3/10000))/2))^(2*W258/365.25)</f>
        <v>2.92377129193503E-013</v>
      </c>
      <c r="Z258" s="5" t="n">
        <f aca="false">IF(AND(mthbeg&lt;=A258,mthend&gt;=A258),1,0)</f>
        <v>0</v>
      </c>
      <c r="AA258" s="5" t="n">
        <f aca="false">U258*Z258</f>
        <v>0</v>
      </c>
      <c r="AC258" s="115" t="n">
        <f aca="false">IF(G251=2,F258*(S258-Q258),F258*(Q258-S258))</f>
        <v>0</v>
      </c>
      <c r="AE258" s="116" t="n">
        <f aca="false">IF($G$3=1,F258*(R258-Q258),F258*(Q258-R258))</f>
        <v>0</v>
      </c>
      <c r="AG258" s="116" t="n">
        <f aca="false">AC258+AE258</f>
        <v>0</v>
      </c>
    </row>
    <row r="259" customFormat="false" ht="12" hidden="false" customHeight="true" outlineLevel="0" collapsed="false">
      <c r="A259" s="120" t="n">
        <f aca="false">EDATE(A258,1)</f>
        <v>44866</v>
      </c>
      <c r="B259" s="121" t="e">
        <f aca="false">VLOOKUP(A259,'Inputs-Summary'!$A$32:$E$41,4,FALSE())</f>
        <v>#N/A</v>
      </c>
      <c r="C259" s="122"/>
      <c r="D259" s="123" t="e">
        <f aca="false">B259+C259</f>
        <v>#N/A</v>
      </c>
      <c r="E259" s="111" t="n">
        <f aca="false">IF(Z259=0,0,IF(AND(Z259=1,$H$3=1),D259*U259,IF($H$3=2,D259,"N/A")))</f>
        <v>0</v>
      </c>
      <c r="F259" s="111" t="n">
        <f aca="false">E259*Y259</f>
        <v>0</v>
      </c>
      <c r="G259" s="124" t="n">
        <f aca="false">VLOOKUP($A259,Table,MATCH(G$4,Curves,0))</f>
        <v>3</v>
      </c>
      <c r="H259" s="125" t="n">
        <f aca="false">G259+$H$7</f>
        <v>3</v>
      </c>
      <c r="I259" s="124" t="n">
        <f aca="false">H259</f>
        <v>3</v>
      </c>
      <c r="J259" s="124" t="n">
        <f aca="false">VLOOKUP($A259,Table,MATCH(J$4,Curves,0))</f>
        <v>4</v>
      </c>
      <c r="K259" s="125" t="n">
        <f aca="false">J259+$K$7</f>
        <v>4</v>
      </c>
      <c r="L259" s="126" t="n">
        <f aca="false">K259</f>
        <v>4</v>
      </c>
      <c r="M259" s="124" t="n">
        <f aca="false">VLOOKUP($A259,Table,MATCH(M$4,Curves,0))</f>
        <v>4</v>
      </c>
      <c r="N259" s="125" t="n">
        <f aca="false">M259+$N$7</f>
        <v>4</v>
      </c>
      <c r="O259" s="126" t="n">
        <v>0.25</v>
      </c>
      <c r="P259" s="114"/>
      <c r="Q259" s="126" t="n">
        <f aca="false">M259+J259+G259</f>
        <v>11</v>
      </c>
      <c r="R259" s="126" t="n">
        <f aca="false">N259+K259+H259</f>
        <v>11</v>
      </c>
      <c r="S259" s="126" t="n">
        <f aca="false">O259+L259+I259</f>
        <v>7.25</v>
      </c>
      <c r="T259" s="127"/>
      <c r="U259" s="5" t="n">
        <f aca="false">A260-A259</f>
        <v>30</v>
      </c>
      <c r="V259" s="128" t="n">
        <f aca="false">CHOOSE(F$3,A260+24,A259)</f>
        <v>44866</v>
      </c>
      <c r="W259" s="5" t="n">
        <f aca="false">V259-C$3</f>
        <v>7635</v>
      </c>
      <c r="X259" s="124" t="n">
        <f aca="false">VLOOKUP($A259,Table,MATCH(X$4,Curves,0))</f>
        <v>2</v>
      </c>
      <c r="Y259" s="129" t="n">
        <f aca="false">1/(1+CHOOSE(F$3,(X260+($K$3/10000))/2,(X259+($K$3/10000))/2))^(2*W259/365.25)</f>
        <v>2.59922894376509E-013</v>
      </c>
      <c r="Z259" s="5" t="n">
        <f aca="false">IF(AND(mthbeg&lt;=A259,mthend&gt;=A259),1,0)</f>
        <v>0</v>
      </c>
      <c r="AA259" s="5" t="n">
        <f aca="false">U259*Z259</f>
        <v>0</v>
      </c>
      <c r="AC259" s="115" t="n">
        <f aca="false">IF(G252=2,F259*(S259-Q259),F259*(Q259-S259))</f>
        <v>0</v>
      </c>
      <c r="AE259" s="116" t="n">
        <f aca="false">IF($G$3=1,F259*(R259-Q259),F259*(Q259-R259))</f>
        <v>0</v>
      </c>
      <c r="AG259" s="116" t="n">
        <f aca="false">AC259+AE259</f>
        <v>0</v>
      </c>
    </row>
    <row r="260" customFormat="false" ht="12" hidden="false" customHeight="true" outlineLevel="0" collapsed="false">
      <c r="A260" s="120" t="n">
        <f aca="false">EDATE(A259,1)</f>
        <v>44896</v>
      </c>
      <c r="B260" s="121" t="e">
        <f aca="false">VLOOKUP(A260,'Inputs-Summary'!$A$32:$E$41,4,FALSE())</f>
        <v>#N/A</v>
      </c>
      <c r="C260" s="122"/>
      <c r="D260" s="123" t="e">
        <f aca="false">B260+C260</f>
        <v>#N/A</v>
      </c>
      <c r="E260" s="111" t="n">
        <f aca="false">IF(Z260=0,0,IF(AND(Z260=1,$H$3=1),D260*U260,IF($H$3=2,D260,"N/A")))</f>
        <v>0</v>
      </c>
      <c r="F260" s="111" t="n">
        <f aca="false">E260*Y260</f>
        <v>0</v>
      </c>
      <c r="G260" s="124" t="n">
        <f aca="false">VLOOKUP($A260,Table,MATCH(G$4,Curves,0))</f>
        <v>3</v>
      </c>
      <c r="H260" s="125" t="n">
        <f aca="false">G260+$H$7</f>
        <v>3</v>
      </c>
      <c r="I260" s="124" t="n">
        <f aca="false">H260</f>
        <v>3</v>
      </c>
      <c r="J260" s="124" t="n">
        <f aca="false">VLOOKUP($A260,Table,MATCH(J$4,Curves,0))</f>
        <v>4</v>
      </c>
      <c r="K260" s="125" t="n">
        <f aca="false">J260+$K$7</f>
        <v>4</v>
      </c>
      <c r="L260" s="126" t="n">
        <f aca="false">K260</f>
        <v>4</v>
      </c>
      <c r="M260" s="124" t="n">
        <f aca="false">VLOOKUP($A260,Table,MATCH(M$4,Curves,0))</f>
        <v>4</v>
      </c>
      <c r="N260" s="125" t="n">
        <f aca="false">M260+$N$7</f>
        <v>4</v>
      </c>
      <c r="O260" s="126" t="n">
        <v>0.25</v>
      </c>
      <c r="P260" s="114"/>
      <c r="Q260" s="126" t="n">
        <f aca="false">M260+J260+G260</f>
        <v>11</v>
      </c>
      <c r="R260" s="126" t="n">
        <f aca="false">N260+K260+H260</f>
        <v>11</v>
      </c>
      <c r="S260" s="126" t="n">
        <f aca="false">O260+L260+I260</f>
        <v>7.25</v>
      </c>
      <c r="T260" s="127"/>
      <c r="U260" s="5" t="n">
        <f aca="false">A261-A260</f>
        <v>31</v>
      </c>
      <c r="V260" s="128" t="n">
        <f aca="false">CHOOSE(F$3,A261+24,A260)</f>
        <v>44896</v>
      </c>
      <c r="W260" s="5" t="n">
        <f aca="false">V260-C$3</f>
        <v>7665</v>
      </c>
      <c r="X260" s="124" t="n">
        <f aca="false">VLOOKUP($A260,Table,MATCH(X$4,Curves,0))</f>
        <v>2</v>
      </c>
      <c r="Y260" s="129" t="n">
        <f aca="false">1/(1+CHOOSE(F$3,(X261+($K$3/10000))/2,(X260+($K$3/10000))/2))^(2*W260/365.25)</f>
        <v>2.31949810383533E-013</v>
      </c>
      <c r="Z260" s="5" t="n">
        <f aca="false">IF(AND(mthbeg&lt;=A260,mthend&gt;=A260),1,0)</f>
        <v>0</v>
      </c>
      <c r="AA260" s="5" t="n">
        <f aca="false">U260*Z260</f>
        <v>0</v>
      </c>
      <c r="AC260" s="115" t="n">
        <f aca="false">IF(G253=2,F260*(S260-Q260),F260*(Q260-S260))</f>
        <v>0</v>
      </c>
      <c r="AE260" s="116" t="n">
        <f aca="false">IF($G$3=1,F260*(R260-Q260),F260*(Q260-R260))</f>
        <v>0</v>
      </c>
      <c r="AG260" s="116" t="n">
        <f aca="false">AC260+AE260</f>
        <v>0</v>
      </c>
    </row>
    <row r="261" customFormat="false" ht="12" hidden="false" customHeight="true" outlineLevel="0" collapsed="false">
      <c r="A261" s="120" t="n">
        <f aca="false">EDATE(A260,1)</f>
        <v>44927</v>
      </c>
      <c r="B261" s="121" t="e">
        <f aca="false">VLOOKUP(A261,'Inputs-Summary'!$A$32:$E$41,4,FALSE())</f>
        <v>#N/A</v>
      </c>
      <c r="C261" s="122"/>
      <c r="D261" s="123" t="e">
        <f aca="false">B261+C261</f>
        <v>#N/A</v>
      </c>
      <c r="E261" s="111" t="n">
        <f aca="false">IF(Z261=0,0,IF(AND(Z261=1,$H$3=1),D261*U261,IF($H$3=2,D261,"N/A")))</f>
        <v>0</v>
      </c>
      <c r="F261" s="111" t="n">
        <f aca="false">E261*Y261</f>
        <v>0</v>
      </c>
      <c r="G261" s="124" t="n">
        <f aca="false">VLOOKUP($A261,Table,MATCH(G$4,Curves,0))</f>
        <v>3</v>
      </c>
      <c r="H261" s="125" t="n">
        <f aca="false">G261+$H$7</f>
        <v>3</v>
      </c>
      <c r="I261" s="124" t="n">
        <f aca="false">H261</f>
        <v>3</v>
      </c>
      <c r="J261" s="124" t="n">
        <f aca="false">VLOOKUP($A261,Table,MATCH(J$4,Curves,0))</f>
        <v>4</v>
      </c>
      <c r="K261" s="125" t="n">
        <f aca="false">J261+$K$7</f>
        <v>4</v>
      </c>
      <c r="L261" s="126" t="n">
        <f aca="false">K261</f>
        <v>4</v>
      </c>
      <c r="M261" s="124" t="n">
        <f aca="false">VLOOKUP($A261,Table,MATCH(M$4,Curves,0))</f>
        <v>4</v>
      </c>
      <c r="N261" s="125" t="n">
        <f aca="false">M261+$N$7</f>
        <v>4</v>
      </c>
      <c r="O261" s="126" t="n">
        <v>0.25</v>
      </c>
      <c r="P261" s="114"/>
      <c r="Q261" s="126" t="n">
        <f aca="false">M261+J261+G261</f>
        <v>11</v>
      </c>
      <c r="R261" s="126" t="n">
        <f aca="false">N261+K261+H261</f>
        <v>11</v>
      </c>
      <c r="S261" s="126" t="n">
        <f aca="false">O261+L261+I261</f>
        <v>7.25</v>
      </c>
      <c r="T261" s="127"/>
      <c r="U261" s="5" t="n">
        <f aca="false">A262-A261</f>
        <v>31</v>
      </c>
      <c r="V261" s="128" t="n">
        <f aca="false">CHOOSE(F$3,A262+24,A261)</f>
        <v>44927</v>
      </c>
      <c r="W261" s="5" t="n">
        <f aca="false">V261-C$3</f>
        <v>7696</v>
      </c>
      <c r="X261" s="124" t="n">
        <f aca="false">VLOOKUP($A261,Table,MATCH(X$4,Curves,0))</f>
        <v>2</v>
      </c>
      <c r="Y261" s="129" t="n">
        <f aca="false">1/(1+CHOOSE(F$3,(X262+($K$3/10000))/2,(X261+($K$3/10000))/2))^(2*W261/365.25)</f>
        <v>2.06203085143056E-013</v>
      </c>
      <c r="Z261" s="5" t="n">
        <f aca="false">IF(AND(mthbeg&lt;=A261,mthend&gt;=A261),1,0)</f>
        <v>0</v>
      </c>
      <c r="AA261" s="5" t="n">
        <f aca="false">U261*Z261</f>
        <v>0</v>
      </c>
      <c r="AC261" s="115" t="n">
        <f aca="false">IF(G254=2,F261*(S261-Q261),F261*(Q261-S261))</f>
        <v>0</v>
      </c>
      <c r="AE261" s="116" t="n">
        <f aca="false">IF($G$3=1,F261*(R261-Q261),F261*(Q261-R261))</f>
        <v>0</v>
      </c>
      <c r="AG261" s="116" t="n">
        <f aca="false">AC261+AE261</f>
        <v>0</v>
      </c>
    </row>
    <row r="262" customFormat="false" ht="12" hidden="false" customHeight="true" outlineLevel="0" collapsed="false">
      <c r="A262" s="120" t="n">
        <f aca="false">EDATE(A261,1)</f>
        <v>44958</v>
      </c>
      <c r="B262" s="121" t="e">
        <f aca="false">VLOOKUP(A262,'Inputs-Summary'!$A$32:$E$41,4,FALSE())</f>
        <v>#N/A</v>
      </c>
      <c r="C262" s="122"/>
      <c r="D262" s="123" t="e">
        <f aca="false">B262+C262</f>
        <v>#N/A</v>
      </c>
      <c r="E262" s="111" t="n">
        <f aca="false">IF(Z262=0,0,IF(AND(Z262=1,$H$3=1),D262*U262,IF($H$3=2,D262,"N/A")))</f>
        <v>0</v>
      </c>
      <c r="F262" s="111" t="n">
        <f aca="false">E262*Y262</f>
        <v>0</v>
      </c>
      <c r="G262" s="124" t="n">
        <f aca="false">VLOOKUP($A262,Table,MATCH(G$4,Curves,0))</f>
        <v>3</v>
      </c>
      <c r="H262" s="125" t="n">
        <f aca="false">G262+$H$7</f>
        <v>3</v>
      </c>
      <c r="I262" s="124" t="n">
        <f aca="false">H262</f>
        <v>3</v>
      </c>
      <c r="J262" s="124" t="n">
        <f aca="false">VLOOKUP($A262,Table,MATCH(J$4,Curves,0))</f>
        <v>4</v>
      </c>
      <c r="K262" s="125" t="n">
        <f aca="false">J262+$K$7</f>
        <v>4</v>
      </c>
      <c r="L262" s="126" t="n">
        <f aca="false">K262</f>
        <v>4</v>
      </c>
      <c r="M262" s="124" t="n">
        <f aca="false">VLOOKUP($A262,Table,MATCH(M$4,Curves,0))</f>
        <v>4</v>
      </c>
      <c r="N262" s="125" t="n">
        <f aca="false">M262+$N$7</f>
        <v>4</v>
      </c>
      <c r="O262" s="126" t="n">
        <v>0.25</v>
      </c>
      <c r="P262" s="114"/>
      <c r="Q262" s="126" t="n">
        <f aca="false">M262+J262+G262</f>
        <v>11</v>
      </c>
      <c r="R262" s="126" t="n">
        <f aca="false">N262+K262+H262</f>
        <v>11</v>
      </c>
      <c r="S262" s="126" t="n">
        <f aca="false">O262+L262+I262</f>
        <v>7.25</v>
      </c>
      <c r="T262" s="127"/>
      <c r="U262" s="5" t="n">
        <f aca="false">A263-A262</f>
        <v>28</v>
      </c>
      <c r="V262" s="128" t="n">
        <f aca="false">CHOOSE(F$3,A263+24,A262)</f>
        <v>44958</v>
      </c>
      <c r="W262" s="5" t="n">
        <f aca="false">V262-C$3</f>
        <v>7727</v>
      </c>
      <c r="X262" s="124" t="n">
        <f aca="false">VLOOKUP($A262,Table,MATCH(X$4,Curves,0))</f>
        <v>2</v>
      </c>
      <c r="Y262" s="129" t="n">
        <f aca="false">1/(1+CHOOSE(F$3,(X263+($K$3/10000))/2,(X262+($K$3/10000))/2))^(2*W262/365.25)</f>
        <v>1.83314279292608E-013</v>
      </c>
      <c r="Z262" s="5" t="n">
        <f aca="false">IF(AND(mthbeg&lt;=A262,mthend&gt;=A262),1,0)</f>
        <v>0</v>
      </c>
      <c r="AA262" s="5" t="n">
        <f aca="false">U262*Z262</f>
        <v>0</v>
      </c>
      <c r="AC262" s="115" t="n">
        <f aca="false">IF(G255=2,F262*(S262-Q262),F262*(Q262-S262))</f>
        <v>0</v>
      </c>
      <c r="AE262" s="116" t="n">
        <f aca="false">IF($G$3=1,F262*(R262-Q262),F262*(Q262-R262))</f>
        <v>0</v>
      </c>
      <c r="AG262" s="116" t="n">
        <f aca="false">AC262+AE262</f>
        <v>0</v>
      </c>
    </row>
    <row r="263" customFormat="false" ht="12" hidden="false" customHeight="true" outlineLevel="0" collapsed="false">
      <c r="A263" s="120" t="n">
        <f aca="false">EDATE(A262,1)</f>
        <v>44986</v>
      </c>
      <c r="B263" s="121" t="e">
        <f aca="false">VLOOKUP(A263,'Inputs-Summary'!$A$32:$E$41,4,FALSE())</f>
        <v>#N/A</v>
      </c>
      <c r="C263" s="122"/>
      <c r="D263" s="123" t="e">
        <f aca="false">B263+C263</f>
        <v>#N/A</v>
      </c>
      <c r="E263" s="111" t="n">
        <f aca="false">IF(Z263=0,0,IF(AND(Z263=1,$H$3=1),D263*U263,IF($H$3=2,D263,"N/A")))</f>
        <v>0</v>
      </c>
      <c r="F263" s="111" t="n">
        <f aca="false">E263*Y263</f>
        <v>0</v>
      </c>
      <c r="G263" s="124" t="n">
        <f aca="false">VLOOKUP($A263,Table,MATCH(G$4,Curves,0))</f>
        <v>3</v>
      </c>
      <c r="H263" s="125" t="n">
        <f aca="false">G263+$H$7</f>
        <v>3</v>
      </c>
      <c r="I263" s="124" t="n">
        <f aca="false">H263</f>
        <v>3</v>
      </c>
      <c r="J263" s="124" t="n">
        <f aca="false">VLOOKUP($A263,Table,MATCH(J$4,Curves,0))</f>
        <v>4</v>
      </c>
      <c r="K263" s="125" t="n">
        <f aca="false">J263+$K$7</f>
        <v>4</v>
      </c>
      <c r="L263" s="126" t="n">
        <f aca="false">K263</f>
        <v>4</v>
      </c>
      <c r="M263" s="124" t="n">
        <f aca="false">VLOOKUP($A263,Table,MATCH(M$4,Curves,0))</f>
        <v>4</v>
      </c>
      <c r="N263" s="125" t="n">
        <f aca="false">M263+$N$7</f>
        <v>4</v>
      </c>
      <c r="O263" s="126" t="n">
        <v>0.25</v>
      </c>
      <c r="P263" s="114"/>
      <c r="Q263" s="126" t="n">
        <f aca="false">M263+J263+G263</f>
        <v>11</v>
      </c>
      <c r="R263" s="126" t="n">
        <f aca="false">N263+K263+H263</f>
        <v>11</v>
      </c>
      <c r="S263" s="126" t="n">
        <f aca="false">O263+L263+I263</f>
        <v>7.25</v>
      </c>
      <c r="T263" s="127"/>
      <c r="U263" s="5" t="n">
        <f aca="false">A264-A263</f>
        <v>31</v>
      </c>
      <c r="V263" s="128" t="n">
        <f aca="false">CHOOSE(F$3,A264+24,A263)</f>
        <v>44986</v>
      </c>
      <c r="W263" s="5" t="n">
        <f aca="false">V263-C$3</f>
        <v>7755</v>
      </c>
      <c r="X263" s="124" t="n">
        <f aca="false">VLOOKUP($A263,Table,MATCH(X$4,Curves,0))</f>
        <v>2</v>
      </c>
      <c r="Y263" s="129" t="n">
        <f aca="false">1/(1+CHOOSE(F$3,(X264+($K$3/10000))/2,(X263+($K$3/10000))/2))^(2*W263/365.25)</f>
        <v>1.64832362733769E-013</v>
      </c>
      <c r="Z263" s="5" t="n">
        <f aca="false">IF(AND(mthbeg&lt;=A263,mthend&gt;=A263),1,0)</f>
        <v>0</v>
      </c>
      <c r="AA263" s="5" t="n">
        <f aca="false">U263*Z263</f>
        <v>0</v>
      </c>
      <c r="AC263" s="115" t="n">
        <f aca="false">IF(G256=2,F263*(S263-Q263),F263*(Q263-S263))</f>
        <v>0</v>
      </c>
      <c r="AE263" s="116" t="n">
        <f aca="false">IF($G$3=1,F263*(R263-Q263),F263*(Q263-R263))</f>
        <v>0</v>
      </c>
      <c r="AG263" s="116" t="n">
        <f aca="false">AC263+AE263</f>
        <v>0</v>
      </c>
    </row>
    <row r="264" customFormat="false" ht="12" hidden="false" customHeight="true" outlineLevel="0" collapsed="false">
      <c r="A264" s="120" t="n">
        <f aca="false">EDATE(A263,1)</f>
        <v>45017</v>
      </c>
      <c r="B264" s="121" t="e">
        <f aca="false">VLOOKUP(A264,'Inputs-Summary'!$A$32:$E$41,4,FALSE())</f>
        <v>#N/A</v>
      </c>
      <c r="C264" s="122"/>
      <c r="D264" s="123" t="e">
        <f aca="false">B264+C264</f>
        <v>#N/A</v>
      </c>
      <c r="E264" s="111" t="n">
        <f aca="false">IF(Z264=0,0,IF(AND(Z264=1,$H$3=1),D264*U264,IF($H$3=2,D264,"N/A")))</f>
        <v>0</v>
      </c>
      <c r="F264" s="111" t="n">
        <f aca="false">E264*Y264</f>
        <v>0</v>
      </c>
      <c r="G264" s="124" t="n">
        <f aca="false">VLOOKUP($A264,Table,MATCH(G$4,Curves,0))</f>
        <v>3</v>
      </c>
      <c r="H264" s="125" t="n">
        <f aca="false">G264+$H$7</f>
        <v>3</v>
      </c>
      <c r="I264" s="124" t="n">
        <f aca="false">H264</f>
        <v>3</v>
      </c>
      <c r="J264" s="124" t="n">
        <f aca="false">VLOOKUP($A264,Table,MATCH(J$4,Curves,0))</f>
        <v>4</v>
      </c>
      <c r="K264" s="125" t="n">
        <f aca="false">J264+$K$7</f>
        <v>4</v>
      </c>
      <c r="L264" s="126" t="n">
        <f aca="false">K264</f>
        <v>4</v>
      </c>
      <c r="M264" s="124" t="n">
        <f aca="false">VLOOKUP($A264,Table,MATCH(M$4,Curves,0))</f>
        <v>4</v>
      </c>
      <c r="N264" s="125" t="n">
        <f aca="false">M264+$N$7</f>
        <v>4</v>
      </c>
      <c r="O264" s="126" t="n">
        <v>0.25</v>
      </c>
      <c r="P264" s="114"/>
      <c r="Q264" s="126" t="n">
        <f aca="false">M264+J264+G264</f>
        <v>11</v>
      </c>
      <c r="R264" s="126" t="n">
        <f aca="false">N264+K264+H264</f>
        <v>11</v>
      </c>
      <c r="S264" s="126" t="n">
        <f aca="false">O264+L264+I264</f>
        <v>7.25</v>
      </c>
      <c r="T264" s="127"/>
      <c r="U264" s="5" t="n">
        <f aca="false">A265-A264</f>
        <v>30</v>
      </c>
      <c r="V264" s="128" t="n">
        <f aca="false">CHOOSE(F$3,A265+24,A264)</f>
        <v>45017</v>
      </c>
      <c r="W264" s="5" t="n">
        <f aca="false">V264-C$3</f>
        <v>7786</v>
      </c>
      <c r="X264" s="124" t="n">
        <f aca="false">VLOOKUP($A264,Table,MATCH(X$4,Curves,0))</f>
        <v>2</v>
      </c>
      <c r="Y264" s="129" t="n">
        <f aca="false">1/(1+CHOOSE(F$3,(X265+($K$3/10000))/2,(X264+($K$3/10000))/2))^(2*W264/365.25)</f>
        <v>1.4653575991686E-013</v>
      </c>
      <c r="Z264" s="5" t="n">
        <f aca="false">IF(AND(mthbeg&lt;=A264,mthend&gt;=A264),1,0)</f>
        <v>0</v>
      </c>
      <c r="AA264" s="5" t="n">
        <f aca="false">U264*Z264</f>
        <v>0</v>
      </c>
      <c r="AC264" s="115" t="n">
        <f aca="false">IF(G257=2,F264*(S264-Q264),F264*(Q264-S264))</f>
        <v>0</v>
      </c>
      <c r="AE264" s="116" t="n">
        <f aca="false">IF($G$3=1,F264*(R264-Q264),F264*(Q264-R264))</f>
        <v>0</v>
      </c>
      <c r="AG264" s="116" t="n">
        <f aca="false">AC264+AE264</f>
        <v>0</v>
      </c>
    </row>
    <row r="265" customFormat="false" ht="12" hidden="false" customHeight="true" outlineLevel="0" collapsed="false">
      <c r="A265" s="120" t="n">
        <f aca="false">EDATE(A264,1)</f>
        <v>45047</v>
      </c>
      <c r="B265" s="121" t="e">
        <f aca="false">VLOOKUP(A265,'Inputs-Summary'!$A$32:$E$41,4,FALSE())</f>
        <v>#N/A</v>
      </c>
      <c r="C265" s="122"/>
      <c r="D265" s="123" t="e">
        <f aca="false">B265+C265</f>
        <v>#N/A</v>
      </c>
      <c r="E265" s="111" t="n">
        <f aca="false">IF(Z265=0,0,IF(AND(Z265=1,$H$3=1),D265*U265,IF($H$3=2,D265,"N/A")))</f>
        <v>0</v>
      </c>
      <c r="F265" s="111" t="n">
        <f aca="false">E265*Y265</f>
        <v>0</v>
      </c>
      <c r="G265" s="124" t="n">
        <f aca="false">VLOOKUP($A265,Table,MATCH(G$4,Curves,0))</f>
        <v>3</v>
      </c>
      <c r="H265" s="125" t="n">
        <f aca="false">G265+$H$7</f>
        <v>3</v>
      </c>
      <c r="I265" s="124" t="n">
        <f aca="false">H265</f>
        <v>3</v>
      </c>
      <c r="J265" s="124" t="n">
        <f aca="false">VLOOKUP($A265,Table,MATCH(J$4,Curves,0))</f>
        <v>4</v>
      </c>
      <c r="K265" s="125" t="n">
        <f aca="false">J265+$K$7</f>
        <v>4</v>
      </c>
      <c r="L265" s="126" t="n">
        <f aca="false">K265</f>
        <v>4</v>
      </c>
      <c r="M265" s="124" t="n">
        <f aca="false">VLOOKUP($A265,Table,MATCH(M$4,Curves,0))</f>
        <v>4</v>
      </c>
      <c r="N265" s="125" t="n">
        <f aca="false">M265+$N$7</f>
        <v>4</v>
      </c>
      <c r="O265" s="126" t="n">
        <v>0.25</v>
      </c>
      <c r="P265" s="114"/>
      <c r="Q265" s="126" t="n">
        <f aca="false">M265+J265+G265</f>
        <v>11</v>
      </c>
      <c r="R265" s="126" t="n">
        <f aca="false">N265+K265+H265</f>
        <v>11</v>
      </c>
      <c r="S265" s="126" t="n">
        <f aca="false">O265+L265+I265</f>
        <v>7.25</v>
      </c>
      <c r="T265" s="127"/>
      <c r="U265" s="5" t="n">
        <f aca="false">A266-A265</f>
        <v>31</v>
      </c>
      <c r="V265" s="128" t="n">
        <f aca="false">CHOOSE(F$3,A266+24,A265)</f>
        <v>45047</v>
      </c>
      <c r="W265" s="5" t="n">
        <f aca="false">V265-C$3</f>
        <v>7816</v>
      </c>
      <c r="X265" s="124" t="n">
        <f aca="false">VLOOKUP($A265,Table,MATCH(X$4,Curves,0))</f>
        <v>2</v>
      </c>
      <c r="Y265" s="129" t="n">
        <f aca="false">1/(1+CHOOSE(F$3,(X266+($K$3/10000))/2,(X265+($K$3/10000))/2))^(2*W265/365.25)</f>
        <v>1.3076547877267E-013</v>
      </c>
      <c r="Z265" s="5" t="n">
        <f aca="false">IF(AND(mthbeg&lt;=A265,mthend&gt;=A265),1,0)</f>
        <v>0</v>
      </c>
      <c r="AA265" s="5" t="n">
        <f aca="false">U265*Z265</f>
        <v>0</v>
      </c>
      <c r="AC265" s="115" t="n">
        <f aca="false">IF(G258=2,F265*(S265-Q265),F265*(Q265-S265))</f>
        <v>0</v>
      </c>
      <c r="AE265" s="116" t="n">
        <f aca="false">IF($G$3=1,F265*(R265-Q265),F265*(Q265-R265))</f>
        <v>0</v>
      </c>
      <c r="AG265" s="116" t="n">
        <f aca="false">AC265+AE265</f>
        <v>0</v>
      </c>
    </row>
    <row r="266" customFormat="false" ht="12" hidden="false" customHeight="true" outlineLevel="0" collapsed="false">
      <c r="A266" s="120" t="n">
        <f aca="false">EDATE(A265,1)</f>
        <v>45078</v>
      </c>
      <c r="B266" s="121" t="e">
        <f aca="false">VLOOKUP(A266,'Inputs-Summary'!$A$32:$E$41,4,FALSE())</f>
        <v>#N/A</v>
      </c>
      <c r="C266" s="122"/>
      <c r="D266" s="123" t="e">
        <f aca="false">B266+C266</f>
        <v>#N/A</v>
      </c>
      <c r="E266" s="111" t="n">
        <f aca="false">IF(Z266=0,0,IF(AND(Z266=1,$H$3=1),D266*U266,IF($H$3=2,D266,"N/A")))</f>
        <v>0</v>
      </c>
      <c r="F266" s="111" t="n">
        <f aca="false">E266*Y266</f>
        <v>0</v>
      </c>
      <c r="G266" s="124" t="n">
        <f aca="false">VLOOKUP($A266,Table,MATCH(G$4,Curves,0))</f>
        <v>3</v>
      </c>
      <c r="H266" s="125" t="n">
        <f aca="false">G266+$H$7</f>
        <v>3</v>
      </c>
      <c r="I266" s="124" t="n">
        <f aca="false">H266</f>
        <v>3</v>
      </c>
      <c r="J266" s="124" t="n">
        <f aca="false">VLOOKUP($A266,Table,MATCH(J$4,Curves,0))</f>
        <v>4</v>
      </c>
      <c r="K266" s="125" t="n">
        <f aca="false">J266+$K$7</f>
        <v>4</v>
      </c>
      <c r="L266" s="126" t="n">
        <f aca="false">K266</f>
        <v>4</v>
      </c>
      <c r="M266" s="124" t="n">
        <f aca="false">VLOOKUP($A266,Table,MATCH(M$4,Curves,0))</f>
        <v>4</v>
      </c>
      <c r="N266" s="125" t="n">
        <f aca="false">M266+$N$7</f>
        <v>4</v>
      </c>
      <c r="O266" s="126" t="n">
        <v>0.25</v>
      </c>
      <c r="P266" s="114"/>
      <c r="Q266" s="126" t="n">
        <f aca="false">M266+J266+G266</f>
        <v>11</v>
      </c>
      <c r="R266" s="126" t="n">
        <f aca="false">N266+K266+H266</f>
        <v>11</v>
      </c>
      <c r="S266" s="126" t="n">
        <f aca="false">O266+L266+I266</f>
        <v>7.25</v>
      </c>
      <c r="T266" s="127"/>
      <c r="U266" s="5" t="n">
        <f aca="false">A267-A266</f>
        <v>30</v>
      </c>
      <c r="V266" s="128" t="n">
        <f aca="false">CHOOSE(F$3,A267+24,A266)</f>
        <v>45078</v>
      </c>
      <c r="W266" s="5" t="n">
        <f aca="false">V266-C$3</f>
        <v>7847</v>
      </c>
      <c r="X266" s="124" t="n">
        <f aca="false">VLOOKUP($A266,Table,MATCH(X$4,Curves,0))</f>
        <v>2</v>
      </c>
      <c r="Y266" s="129" t="n">
        <f aca="false">1/(1+CHOOSE(F$3,(X267+($K$3/10000))/2,(X266+($K$3/10000))/2))^(2*W266/365.25)</f>
        <v>1.16250343591778E-013</v>
      </c>
      <c r="Z266" s="5" t="n">
        <f aca="false">IF(AND(mthbeg&lt;=A266,mthend&gt;=A266),1,0)</f>
        <v>0</v>
      </c>
      <c r="AA266" s="5" t="n">
        <f aca="false">U266*Z266</f>
        <v>0</v>
      </c>
      <c r="AC266" s="115" t="n">
        <f aca="false">IF(G259=2,F266*(S266-Q266),F266*(Q266-S266))</f>
        <v>0</v>
      </c>
      <c r="AE266" s="116" t="n">
        <f aca="false">IF($G$3=1,F266*(R266-Q266),F266*(Q266-R266))</f>
        <v>0</v>
      </c>
      <c r="AG266" s="116" t="n">
        <f aca="false">AC266+AE266</f>
        <v>0</v>
      </c>
    </row>
    <row r="267" customFormat="false" ht="12" hidden="false" customHeight="true" outlineLevel="0" collapsed="false">
      <c r="A267" s="120" t="n">
        <f aca="false">EDATE(A266,1)</f>
        <v>45108</v>
      </c>
      <c r="B267" s="121" t="e">
        <f aca="false">VLOOKUP(A267,'Inputs-Summary'!$A$32:$E$41,4,FALSE())</f>
        <v>#N/A</v>
      </c>
      <c r="C267" s="122"/>
      <c r="D267" s="123" t="e">
        <f aca="false">B267+C267</f>
        <v>#N/A</v>
      </c>
      <c r="E267" s="111" t="n">
        <f aca="false">IF(Z267=0,0,IF(AND(Z267=1,$H$3=1),D267*U267,IF($H$3=2,D267,"N/A")))</f>
        <v>0</v>
      </c>
      <c r="F267" s="111" t="n">
        <f aca="false">E267*Y267</f>
        <v>0</v>
      </c>
      <c r="G267" s="124" t="n">
        <f aca="false">VLOOKUP($A267,Table,MATCH(G$4,Curves,0))</f>
        <v>3</v>
      </c>
      <c r="H267" s="125" t="n">
        <f aca="false">G267+$H$7</f>
        <v>3</v>
      </c>
      <c r="I267" s="124" t="n">
        <f aca="false">H267</f>
        <v>3</v>
      </c>
      <c r="J267" s="124" t="n">
        <f aca="false">VLOOKUP($A267,Table,MATCH(J$4,Curves,0))</f>
        <v>4</v>
      </c>
      <c r="K267" s="125" t="n">
        <f aca="false">J267+$K$7</f>
        <v>4</v>
      </c>
      <c r="L267" s="126" t="n">
        <f aca="false">K267</f>
        <v>4</v>
      </c>
      <c r="M267" s="124" t="n">
        <f aca="false">VLOOKUP($A267,Table,MATCH(M$4,Curves,0))</f>
        <v>4</v>
      </c>
      <c r="N267" s="125" t="n">
        <f aca="false">M267+$N$7</f>
        <v>4</v>
      </c>
      <c r="O267" s="126" t="n">
        <v>0.25</v>
      </c>
      <c r="P267" s="114"/>
      <c r="Q267" s="126" t="n">
        <f aca="false">M267+J267+G267</f>
        <v>11</v>
      </c>
      <c r="R267" s="126" t="n">
        <f aca="false">N267+K267+H267</f>
        <v>11</v>
      </c>
      <c r="S267" s="126" t="n">
        <f aca="false">O267+L267+I267</f>
        <v>7.25</v>
      </c>
      <c r="T267" s="127"/>
      <c r="U267" s="5" t="n">
        <f aca="false">A268-A267</f>
        <v>31</v>
      </c>
      <c r="V267" s="128" t="n">
        <f aca="false">CHOOSE(F$3,A268+24,A267)</f>
        <v>45108</v>
      </c>
      <c r="W267" s="5" t="n">
        <f aca="false">V267-C$3</f>
        <v>7877</v>
      </c>
      <c r="X267" s="124" t="n">
        <f aca="false">VLOOKUP($A267,Table,MATCH(X$4,Curves,0))</f>
        <v>2</v>
      </c>
      <c r="Y267" s="129" t="n">
        <f aca="false">1/(1+CHOOSE(F$3,(X268+($K$3/10000))/2,(X267+($K$3/10000))/2))^(2*W267/365.25)</f>
        <v>1.03739400170246E-013</v>
      </c>
      <c r="Z267" s="5" t="n">
        <f aca="false">IF(AND(mthbeg&lt;=A267,mthend&gt;=A267),1,0)</f>
        <v>0</v>
      </c>
      <c r="AA267" s="5" t="n">
        <f aca="false">U267*Z267</f>
        <v>0</v>
      </c>
      <c r="AC267" s="115" t="n">
        <f aca="false">IF(G260=2,F267*(S267-Q267),F267*(Q267-S267))</f>
        <v>0</v>
      </c>
      <c r="AE267" s="116" t="n">
        <f aca="false">IF($G$3=1,F267*(R267-Q267),F267*(Q267-R267))</f>
        <v>0</v>
      </c>
      <c r="AG267" s="116" t="n">
        <f aca="false">AC267+AE267</f>
        <v>0</v>
      </c>
    </row>
    <row r="268" customFormat="false" ht="12" hidden="false" customHeight="true" outlineLevel="0" collapsed="false">
      <c r="A268" s="120" t="n">
        <f aca="false">EDATE(A267,1)</f>
        <v>45139</v>
      </c>
      <c r="B268" s="121" t="e">
        <f aca="false">VLOOKUP(A268,'Inputs-Summary'!$A$32:$E$41,4,FALSE())</f>
        <v>#N/A</v>
      </c>
      <c r="C268" s="122"/>
      <c r="D268" s="123" t="e">
        <f aca="false">B268+C268</f>
        <v>#N/A</v>
      </c>
      <c r="E268" s="111" t="n">
        <f aca="false">IF(Z268=0,0,IF(AND(Z268=1,$H$3=1),D268*U268,IF($H$3=2,D268,"N/A")))</f>
        <v>0</v>
      </c>
      <c r="F268" s="111" t="n">
        <f aca="false">E268*Y268</f>
        <v>0</v>
      </c>
      <c r="G268" s="124" t="n">
        <f aca="false">VLOOKUP($A268,Table,MATCH(G$4,Curves,0))</f>
        <v>3</v>
      </c>
      <c r="H268" s="125" t="n">
        <f aca="false">G268+$H$7</f>
        <v>3</v>
      </c>
      <c r="I268" s="124" t="n">
        <f aca="false">H268</f>
        <v>3</v>
      </c>
      <c r="J268" s="124" t="n">
        <f aca="false">VLOOKUP($A268,Table,MATCH(J$4,Curves,0))</f>
        <v>4</v>
      </c>
      <c r="K268" s="125" t="n">
        <f aca="false">J268+$K$7</f>
        <v>4</v>
      </c>
      <c r="L268" s="126" t="n">
        <f aca="false">K268</f>
        <v>4</v>
      </c>
      <c r="M268" s="124" t="n">
        <f aca="false">VLOOKUP($A268,Table,MATCH(M$4,Curves,0))</f>
        <v>4</v>
      </c>
      <c r="N268" s="125" t="n">
        <f aca="false">M268+$N$7</f>
        <v>4</v>
      </c>
      <c r="O268" s="126" t="n">
        <v>0.25</v>
      </c>
      <c r="P268" s="114"/>
      <c r="Q268" s="126" t="n">
        <f aca="false">M268+J268+G268</f>
        <v>11</v>
      </c>
      <c r="R268" s="126" t="n">
        <f aca="false">N268+K268+H268</f>
        <v>11</v>
      </c>
      <c r="S268" s="126" t="n">
        <f aca="false">O268+L268+I268</f>
        <v>7.25</v>
      </c>
      <c r="T268" s="127"/>
      <c r="U268" s="5" t="n">
        <f aca="false">A269-A268</f>
        <v>31</v>
      </c>
      <c r="V268" s="128" t="n">
        <f aca="false">CHOOSE(F$3,A269+24,A268)</f>
        <v>45139</v>
      </c>
      <c r="W268" s="5" t="n">
        <f aca="false">V268-C$3</f>
        <v>7908</v>
      </c>
      <c r="X268" s="124" t="n">
        <f aca="false">VLOOKUP($A268,Table,MATCH(X$4,Curves,0))</f>
        <v>2</v>
      </c>
      <c r="Y268" s="129" t="n">
        <f aca="false">1/(1+CHOOSE(F$3,(X269+($K$3/10000))/2,(X268+($K$3/10000))/2))^(2*W268/365.25)</f>
        <v>9.22241942367787E-014</v>
      </c>
      <c r="Z268" s="5" t="n">
        <f aca="false">IF(AND(mthbeg&lt;=A268,mthend&gt;=A268),1,0)</f>
        <v>0</v>
      </c>
      <c r="AA268" s="5" t="n">
        <f aca="false">U268*Z268</f>
        <v>0</v>
      </c>
      <c r="AC268" s="115" t="n">
        <f aca="false">IF(G261=2,F268*(S268-Q268),F268*(Q268-S268))</f>
        <v>0</v>
      </c>
      <c r="AE268" s="116" t="n">
        <f aca="false">IF($G$3=1,F268*(R268-Q268),F268*(Q268-R268))</f>
        <v>0</v>
      </c>
      <c r="AG268" s="116" t="n">
        <f aca="false">AC268+AE268</f>
        <v>0</v>
      </c>
    </row>
    <row r="269" customFormat="false" ht="12" hidden="false" customHeight="true" outlineLevel="0" collapsed="false">
      <c r="A269" s="120" t="n">
        <f aca="false">EDATE(A268,1)</f>
        <v>45170</v>
      </c>
      <c r="B269" s="121" t="e">
        <f aca="false">VLOOKUP(A269,'Inputs-Summary'!$A$32:$E$41,4,FALSE())</f>
        <v>#N/A</v>
      </c>
      <c r="C269" s="122"/>
      <c r="D269" s="123" t="e">
        <f aca="false">B269+C269</f>
        <v>#N/A</v>
      </c>
      <c r="E269" s="111" t="n">
        <f aca="false">IF(Z269=0,0,IF(AND(Z269=1,$H$3=1),D269*U269,IF($H$3=2,D269,"N/A")))</f>
        <v>0</v>
      </c>
      <c r="F269" s="111" t="n">
        <f aca="false">E269*Y269</f>
        <v>0</v>
      </c>
      <c r="G269" s="124" t="n">
        <f aca="false">VLOOKUP($A269,Table,MATCH(G$4,Curves,0))</f>
        <v>3</v>
      </c>
      <c r="H269" s="125" t="n">
        <f aca="false">G269+$H$7</f>
        <v>3</v>
      </c>
      <c r="I269" s="124" t="n">
        <f aca="false">H269</f>
        <v>3</v>
      </c>
      <c r="J269" s="124" t="n">
        <f aca="false">VLOOKUP($A269,Table,MATCH(J$4,Curves,0))</f>
        <v>4</v>
      </c>
      <c r="K269" s="125" t="n">
        <f aca="false">J269+$K$7</f>
        <v>4</v>
      </c>
      <c r="L269" s="126" t="n">
        <f aca="false">K269</f>
        <v>4</v>
      </c>
      <c r="M269" s="124" t="n">
        <f aca="false">VLOOKUP($A269,Table,MATCH(M$4,Curves,0))</f>
        <v>4</v>
      </c>
      <c r="N269" s="125" t="n">
        <f aca="false">M269+$N$7</f>
        <v>4</v>
      </c>
      <c r="O269" s="126" t="n">
        <v>0.25</v>
      </c>
      <c r="P269" s="114"/>
      <c r="Q269" s="126" t="n">
        <f aca="false">M269+J269+G269</f>
        <v>11</v>
      </c>
      <c r="R269" s="126" t="n">
        <f aca="false">N269+K269+H269</f>
        <v>11</v>
      </c>
      <c r="S269" s="126" t="n">
        <f aca="false">O269+L269+I269</f>
        <v>7.25</v>
      </c>
      <c r="T269" s="127"/>
      <c r="U269" s="5" t="n">
        <f aca="false">A270-A269</f>
        <v>30</v>
      </c>
      <c r="V269" s="128" t="n">
        <f aca="false">CHOOSE(F$3,A270+24,A269)</f>
        <v>45170</v>
      </c>
      <c r="W269" s="5" t="n">
        <f aca="false">V269-C$3</f>
        <v>7939</v>
      </c>
      <c r="X269" s="124" t="n">
        <f aca="false">VLOOKUP($A269,Table,MATCH(X$4,Curves,0))</f>
        <v>2</v>
      </c>
      <c r="Y269" s="129" t="n">
        <f aca="false">1/(1+CHOOSE(F$3,(X270+($K$3/10000))/2,(X269+($K$3/10000))/2))^(2*W269/365.25)</f>
        <v>8.19871908712125E-014</v>
      </c>
      <c r="Z269" s="5" t="n">
        <f aca="false">IF(AND(mthbeg&lt;=A269,mthend&gt;=A269),1,0)</f>
        <v>0</v>
      </c>
      <c r="AA269" s="5" t="n">
        <f aca="false">U269*Z269</f>
        <v>0</v>
      </c>
      <c r="AC269" s="115" t="n">
        <f aca="false">IF(G262=2,F269*(S269-Q269),F269*(Q269-S269))</f>
        <v>0</v>
      </c>
      <c r="AE269" s="116" t="n">
        <f aca="false">IF($G$3=1,F269*(R269-Q269),F269*(Q269-R269))</f>
        <v>0</v>
      </c>
      <c r="AG269" s="116" t="n">
        <f aca="false">AC269+AE269</f>
        <v>0</v>
      </c>
    </row>
    <row r="270" customFormat="false" ht="12" hidden="false" customHeight="true" outlineLevel="0" collapsed="false">
      <c r="A270" s="120" t="n">
        <f aca="false">EDATE(A269,1)</f>
        <v>45200</v>
      </c>
      <c r="B270" s="121" t="e">
        <f aca="false">VLOOKUP(A270,'Inputs-Summary'!$A$32:$E$41,4,FALSE())</f>
        <v>#N/A</v>
      </c>
      <c r="C270" s="122"/>
      <c r="D270" s="123" t="e">
        <f aca="false">B270+C270</f>
        <v>#N/A</v>
      </c>
      <c r="E270" s="111" t="n">
        <f aca="false">IF(Z270=0,0,IF(AND(Z270=1,$H$3=1),D270*U270,IF($H$3=2,D270,"N/A")))</f>
        <v>0</v>
      </c>
      <c r="F270" s="111" t="n">
        <f aca="false">E270*Y270</f>
        <v>0</v>
      </c>
      <c r="G270" s="124" t="n">
        <f aca="false">VLOOKUP($A270,Table,MATCH(G$4,Curves,0))</f>
        <v>3</v>
      </c>
      <c r="H270" s="125" t="n">
        <f aca="false">G270+$H$7</f>
        <v>3</v>
      </c>
      <c r="I270" s="124" t="n">
        <f aca="false">H270</f>
        <v>3</v>
      </c>
      <c r="J270" s="124" t="n">
        <f aca="false">VLOOKUP($A270,Table,MATCH(J$4,Curves,0))</f>
        <v>4</v>
      </c>
      <c r="K270" s="125" t="n">
        <f aca="false">J270+$K$7</f>
        <v>4</v>
      </c>
      <c r="L270" s="126" t="n">
        <f aca="false">K270</f>
        <v>4</v>
      </c>
      <c r="M270" s="124" t="n">
        <f aca="false">VLOOKUP($A270,Table,MATCH(M$4,Curves,0))</f>
        <v>4</v>
      </c>
      <c r="N270" s="125" t="n">
        <f aca="false">M270+$N$7</f>
        <v>4</v>
      </c>
      <c r="O270" s="126" t="n">
        <v>0.25</v>
      </c>
      <c r="P270" s="114"/>
      <c r="Q270" s="126" t="n">
        <f aca="false">M270+J270+G270</f>
        <v>11</v>
      </c>
      <c r="R270" s="126" t="n">
        <f aca="false">N270+K270+H270</f>
        <v>11</v>
      </c>
      <c r="S270" s="126" t="n">
        <f aca="false">O270+L270+I270</f>
        <v>7.25</v>
      </c>
      <c r="T270" s="127"/>
      <c r="U270" s="5" t="n">
        <f aca="false">A271-A270</f>
        <v>31</v>
      </c>
      <c r="V270" s="128" t="n">
        <f aca="false">CHOOSE(F$3,A271+24,A270)</f>
        <v>45200</v>
      </c>
      <c r="W270" s="5" t="n">
        <f aca="false">V270-C$3</f>
        <v>7969</v>
      </c>
      <c r="X270" s="124" t="n">
        <f aca="false">VLOOKUP($A270,Table,MATCH(X$4,Curves,0))</f>
        <v>2</v>
      </c>
      <c r="Y270" s="129" t="n">
        <f aca="false">1/(1+CHOOSE(F$3,(X271+($K$3/10000))/2,(X270+($K$3/10000))/2))^(2*W270/365.25)</f>
        <v>7.31636719499951E-014</v>
      </c>
      <c r="Z270" s="5" t="n">
        <f aca="false">IF(AND(mthbeg&lt;=A270,mthend&gt;=A270),1,0)</f>
        <v>0</v>
      </c>
      <c r="AA270" s="5" t="n">
        <f aca="false">U270*Z270</f>
        <v>0</v>
      </c>
      <c r="AC270" s="115" t="n">
        <f aca="false">IF(G263=2,F270*(S270-Q270),F270*(Q270-S270))</f>
        <v>0</v>
      </c>
      <c r="AE270" s="116" t="n">
        <f aca="false">IF($G$3=1,F270*(R270-Q270),F270*(Q270-R270))</f>
        <v>0</v>
      </c>
      <c r="AG270" s="116" t="n">
        <f aca="false">AC270+AE270</f>
        <v>0</v>
      </c>
    </row>
    <row r="271" customFormat="false" ht="12" hidden="false" customHeight="true" outlineLevel="0" collapsed="false">
      <c r="A271" s="120" t="n">
        <f aca="false">EDATE(A270,1)</f>
        <v>45231</v>
      </c>
      <c r="B271" s="121" t="e">
        <f aca="false">VLOOKUP(A271,'Inputs-Summary'!$A$32:$E$41,4,FALSE())</f>
        <v>#N/A</v>
      </c>
      <c r="C271" s="122"/>
      <c r="D271" s="123" t="e">
        <f aca="false">B271+C271</f>
        <v>#N/A</v>
      </c>
      <c r="E271" s="111" t="n">
        <f aca="false">IF(Z271=0,0,IF(AND(Z271=1,$H$3=1),D271*U271,IF($H$3=2,D271,"N/A")))</f>
        <v>0</v>
      </c>
      <c r="F271" s="111" t="n">
        <f aca="false">E271*Y271</f>
        <v>0</v>
      </c>
      <c r="G271" s="124" t="n">
        <f aca="false">VLOOKUP($A271,Table,MATCH(G$4,Curves,0))</f>
        <v>3</v>
      </c>
      <c r="H271" s="125" t="n">
        <f aca="false">G271+$H$7</f>
        <v>3</v>
      </c>
      <c r="I271" s="124" t="n">
        <f aca="false">H271</f>
        <v>3</v>
      </c>
      <c r="J271" s="124" t="n">
        <f aca="false">VLOOKUP($A271,Table,MATCH(J$4,Curves,0))</f>
        <v>4</v>
      </c>
      <c r="K271" s="125" t="n">
        <f aca="false">J271+$K$7</f>
        <v>4</v>
      </c>
      <c r="L271" s="126" t="n">
        <f aca="false">K271</f>
        <v>4</v>
      </c>
      <c r="M271" s="124" t="n">
        <f aca="false">VLOOKUP($A271,Table,MATCH(M$4,Curves,0))</f>
        <v>4</v>
      </c>
      <c r="N271" s="125" t="n">
        <f aca="false">M271+$N$7</f>
        <v>4</v>
      </c>
      <c r="O271" s="126" t="n">
        <v>0.25</v>
      </c>
      <c r="P271" s="114"/>
      <c r="Q271" s="126" t="n">
        <f aca="false">M271+J271+G271</f>
        <v>11</v>
      </c>
      <c r="R271" s="126" t="n">
        <f aca="false">N271+K271+H271</f>
        <v>11</v>
      </c>
      <c r="S271" s="126" t="n">
        <f aca="false">O271+L271+I271</f>
        <v>7.25</v>
      </c>
      <c r="T271" s="127"/>
      <c r="U271" s="5" t="n">
        <f aca="false">A272-A271</f>
        <v>30</v>
      </c>
      <c r="V271" s="128" t="n">
        <f aca="false">CHOOSE(F$3,A272+24,A271)</f>
        <v>45231</v>
      </c>
      <c r="W271" s="5" t="n">
        <f aca="false">V271-C$3</f>
        <v>8000</v>
      </c>
      <c r="X271" s="124" t="n">
        <f aca="false">VLOOKUP($A271,Table,MATCH(X$4,Curves,0))</f>
        <v>2</v>
      </c>
      <c r="Y271" s="129" t="n">
        <f aca="false">1/(1+CHOOSE(F$3,(X272+($K$3/10000))/2,(X271+($K$3/10000))/2))^(2*W271/365.25)</f>
        <v>6.50424109057799E-014</v>
      </c>
      <c r="Z271" s="5" t="n">
        <f aca="false">IF(AND(mthbeg&lt;=A271,mthend&gt;=A271),1,0)</f>
        <v>0</v>
      </c>
      <c r="AA271" s="5" t="n">
        <f aca="false">U271*Z271</f>
        <v>0</v>
      </c>
      <c r="AC271" s="115" t="n">
        <f aca="false">IF(G264=2,F271*(S271-Q271),F271*(Q271-S271))</f>
        <v>0</v>
      </c>
      <c r="AE271" s="116" t="n">
        <f aca="false">IF($G$3=1,F271*(R271-Q271),F271*(Q271-R271))</f>
        <v>0</v>
      </c>
      <c r="AG271" s="116" t="n">
        <f aca="false">AC271+AE271</f>
        <v>0</v>
      </c>
    </row>
    <row r="272" customFormat="false" ht="12" hidden="false" customHeight="true" outlineLevel="0" collapsed="false">
      <c r="A272" s="120" t="n">
        <f aca="false">EDATE(A271,1)</f>
        <v>45261</v>
      </c>
      <c r="B272" s="121" t="e">
        <f aca="false">VLOOKUP(A272,'Inputs-Summary'!$A$32:$E$41,4,FALSE())</f>
        <v>#N/A</v>
      </c>
      <c r="C272" s="122"/>
      <c r="D272" s="123" t="e">
        <f aca="false">B272+C272</f>
        <v>#N/A</v>
      </c>
      <c r="E272" s="111" t="n">
        <f aca="false">IF(Z272=0,0,IF(AND(Z272=1,$H$3=1),D272*U272,IF($H$3=2,D272,"N/A")))</f>
        <v>0</v>
      </c>
      <c r="F272" s="111" t="n">
        <f aca="false">E272*Y272</f>
        <v>0</v>
      </c>
      <c r="G272" s="124" t="n">
        <f aca="false">VLOOKUP($A272,Table,MATCH(G$4,Curves,0))</f>
        <v>3</v>
      </c>
      <c r="H272" s="125" t="n">
        <f aca="false">G272+$H$7</f>
        <v>3</v>
      </c>
      <c r="I272" s="124" t="n">
        <f aca="false">H272</f>
        <v>3</v>
      </c>
      <c r="J272" s="124" t="n">
        <f aca="false">VLOOKUP($A272,Table,MATCH(J$4,Curves,0))</f>
        <v>4</v>
      </c>
      <c r="K272" s="125" t="n">
        <f aca="false">J272+$K$7</f>
        <v>4</v>
      </c>
      <c r="L272" s="126" t="n">
        <f aca="false">K272</f>
        <v>4</v>
      </c>
      <c r="M272" s="124" t="n">
        <f aca="false">VLOOKUP($A272,Table,MATCH(M$4,Curves,0))</f>
        <v>4</v>
      </c>
      <c r="N272" s="125" t="n">
        <f aca="false">M272+$N$7</f>
        <v>4</v>
      </c>
      <c r="O272" s="126" t="n">
        <v>0.25</v>
      </c>
      <c r="P272" s="114"/>
      <c r="Q272" s="126" t="n">
        <f aca="false">M272+J272+G272</f>
        <v>11</v>
      </c>
      <c r="R272" s="126" t="n">
        <f aca="false">N272+K272+H272</f>
        <v>11</v>
      </c>
      <c r="S272" s="126" t="n">
        <f aca="false">O272+L272+I272</f>
        <v>7.25</v>
      </c>
      <c r="T272" s="127"/>
      <c r="U272" s="5" t="n">
        <f aca="false">A273-A272</f>
        <v>31</v>
      </c>
      <c r="V272" s="128" t="n">
        <f aca="false">CHOOSE(F$3,A273+24,A272)</f>
        <v>45261</v>
      </c>
      <c r="W272" s="5" t="n">
        <f aca="false">V272-C$3</f>
        <v>8030</v>
      </c>
      <c r="X272" s="124" t="n">
        <f aca="false">VLOOKUP($A272,Table,MATCH(X$4,Curves,0))</f>
        <v>2</v>
      </c>
      <c r="Y272" s="129" t="n">
        <f aca="false">1/(1+CHOOSE(F$3,(X273+($K$3/10000))/2,(X272+($K$3/10000))/2))^(2*W272/365.25)</f>
        <v>5.80425010758377E-014</v>
      </c>
      <c r="Z272" s="5" t="n">
        <f aca="false">IF(AND(mthbeg&lt;=A272,mthend&gt;=A272),1,0)</f>
        <v>0</v>
      </c>
      <c r="AA272" s="5" t="n">
        <f aca="false">U272*Z272</f>
        <v>0</v>
      </c>
      <c r="AC272" s="115" t="n">
        <f aca="false">IF(G265=2,F272*(S272-Q272),F272*(Q272-S272))</f>
        <v>0</v>
      </c>
      <c r="AE272" s="116" t="n">
        <f aca="false">IF($G$3=1,F272*(R272-Q272),F272*(Q272-R272))</f>
        <v>0</v>
      </c>
      <c r="AG272" s="116" t="n">
        <f aca="false">AC272+AE272</f>
        <v>0</v>
      </c>
    </row>
    <row r="273" customFormat="false" ht="12" hidden="false" customHeight="true" outlineLevel="0" collapsed="false">
      <c r="A273" s="120" t="n">
        <f aca="false">EDATE(A272,1)</f>
        <v>45292</v>
      </c>
      <c r="B273" s="121" t="e">
        <f aca="false">VLOOKUP(A273,'Inputs-Summary'!$A$32:$E$41,4,FALSE())</f>
        <v>#N/A</v>
      </c>
      <c r="C273" s="122"/>
      <c r="D273" s="123" t="e">
        <f aca="false">B273+C273</f>
        <v>#N/A</v>
      </c>
      <c r="E273" s="111" t="n">
        <f aca="false">IF(Z273=0,0,IF(AND(Z273=1,$H$3=1),D273*U273,IF($H$3=2,D273,"N/A")))</f>
        <v>0</v>
      </c>
      <c r="F273" s="111" t="n">
        <f aca="false">E273*Y273</f>
        <v>0</v>
      </c>
      <c r="G273" s="124" t="n">
        <f aca="false">VLOOKUP($A273,Table,MATCH(G$4,Curves,0))</f>
        <v>3</v>
      </c>
      <c r="H273" s="125" t="n">
        <f aca="false">G273+$H$7</f>
        <v>3</v>
      </c>
      <c r="I273" s="124" t="n">
        <f aca="false">H273</f>
        <v>3</v>
      </c>
      <c r="J273" s="124" t="n">
        <f aca="false">VLOOKUP($A273,Table,MATCH(J$4,Curves,0))</f>
        <v>4</v>
      </c>
      <c r="K273" s="125" t="n">
        <f aca="false">J273+$K$7</f>
        <v>4</v>
      </c>
      <c r="L273" s="126" t="n">
        <f aca="false">K273</f>
        <v>4</v>
      </c>
      <c r="M273" s="124" t="n">
        <f aca="false">VLOOKUP($A273,Table,MATCH(M$4,Curves,0))</f>
        <v>4</v>
      </c>
      <c r="N273" s="125" t="n">
        <f aca="false">M273+$N$7</f>
        <v>4</v>
      </c>
      <c r="O273" s="126" t="n">
        <v>0.25</v>
      </c>
      <c r="P273" s="114"/>
      <c r="Q273" s="126" t="n">
        <f aca="false">M273+J273+G273</f>
        <v>11</v>
      </c>
      <c r="R273" s="126" t="n">
        <f aca="false">N273+K273+H273</f>
        <v>11</v>
      </c>
      <c r="S273" s="126" t="n">
        <f aca="false">O273+L273+I273</f>
        <v>7.25</v>
      </c>
      <c r="T273" s="127"/>
      <c r="U273" s="5" t="n">
        <f aca="false">A274-A273</f>
        <v>31</v>
      </c>
      <c r="V273" s="128" t="n">
        <f aca="false">CHOOSE(F$3,A274+24,A273)</f>
        <v>45292</v>
      </c>
      <c r="W273" s="5" t="n">
        <f aca="false">V273-C$3</f>
        <v>8061</v>
      </c>
      <c r="X273" s="124" t="n">
        <f aca="false">VLOOKUP($A273,Table,MATCH(X$4,Curves,0))</f>
        <v>2</v>
      </c>
      <c r="Y273" s="129" t="n">
        <f aca="false">1/(1+CHOOSE(F$3,(X274+($K$3/10000))/2,(X273+($K$3/10000))/2))^(2*W273/365.25)</f>
        <v>5.15997093141258E-014</v>
      </c>
      <c r="Z273" s="5" t="n">
        <f aca="false">IF(AND(mthbeg&lt;=A273,mthend&gt;=A273),1,0)</f>
        <v>0</v>
      </c>
      <c r="AA273" s="5" t="n">
        <f aca="false">U273*Z273</f>
        <v>0</v>
      </c>
      <c r="AC273" s="115" t="n">
        <f aca="false">IF(G266=2,F273*(S273-Q273),F273*(Q273-S273))</f>
        <v>0</v>
      </c>
      <c r="AE273" s="116" t="n">
        <f aca="false">IF($G$3=1,F273*(R273-Q273),F273*(Q273-R273))</f>
        <v>0</v>
      </c>
      <c r="AG273" s="116" t="n">
        <f aca="false">AC273+AE273</f>
        <v>0</v>
      </c>
    </row>
    <row r="274" customFormat="false" ht="12" hidden="false" customHeight="true" outlineLevel="0" collapsed="false">
      <c r="A274" s="120" t="n">
        <f aca="false">EDATE(A273,1)</f>
        <v>45323</v>
      </c>
      <c r="B274" s="121" t="e">
        <f aca="false">VLOOKUP(A274,'Inputs-Summary'!$A$32:$E$41,4,FALSE())</f>
        <v>#N/A</v>
      </c>
      <c r="C274" s="122"/>
      <c r="D274" s="123" t="e">
        <f aca="false">B274+C274</f>
        <v>#N/A</v>
      </c>
      <c r="E274" s="111" t="n">
        <f aca="false">IF(Z274=0,0,IF(AND(Z274=1,$H$3=1),D274*U274,IF($H$3=2,D274,"N/A")))</f>
        <v>0</v>
      </c>
      <c r="F274" s="111" t="n">
        <f aca="false">E274*Y274</f>
        <v>0</v>
      </c>
      <c r="G274" s="124" t="n">
        <f aca="false">VLOOKUP($A274,Table,MATCH(G$4,Curves,0))</f>
        <v>3</v>
      </c>
      <c r="H274" s="125" t="n">
        <f aca="false">G274+$H$7</f>
        <v>3</v>
      </c>
      <c r="I274" s="124" t="n">
        <f aca="false">H274</f>
        <v>3</v>
      </c>
      <c r="J274" s="124" t="n">
        <f aca="false">VLOOKUP($A274,Table,MATCH(J$4,Curves,0))</f>
        <v>4</v>
      </c>
      <c r="K274" s="125" t="n">
        <f aca="false">J274+$K$7</f>
        <v>4</v>
      </c>
      <c r="L274" s="126" t="n">
        <f aca="false">K274</f>
        <v>4</v>
      </c>
      <c r="M274" s="124" t="n">
        <f aca="false">VLOOKUP($A274,Table,MATCH(M$4,Curves,0))</f>
        <v>4</v>
      </c>
      <c r="N274" s="125" t="n">
        <f aca="false">M274+$N$7</f>
        <v>4</v>
      </c>
      <c r="O274" s="126" t="n">
        <v>0.25</v>
      </c>
      <c r="P274" s="114"/>
      <c r="Q274" s="126" t="n">
        <f aca="false">M274+J274+G274</f>
        <v>11</v>
      </c>
      <c r="R274" s="126" t="n">
        <f aca="false">N274+K274+H274</f>
        <v>11</v>
      </c>
      <c r="S274" s="126" t="n">
        <f aca="false">O274+L274+I274</f>
        <v>7.25</v>
      </c>
      <c r="T274" s="127"/>
      <c r="U274" s="5" t="n">
        <f aca="false">A275-A274</f>
        <v>29</v>
      </c>
      <c r="V274" s="128" t="n">
        <f aca="false">CHOOSE(F$3,A275+24,A274)</f>
        <v>45323</v>
      </c>
      <c r="W274" s="5" t="n">
        <f aca="false">V274-C$3</f>
        <v>8092</v>
      </c>
      <c r="X274" s="124" t="n">
        <f aca="false">VLOOKUP($A274,Table,MATCH(X$4,Curves,0))</f>
        <v>2</v>
      </c>
      <c r="Y274" s="129" t="n">
        <f aca="false">1/(1+CHOOSE(F$3,(X275+($K$3/10000))/2,(X274+($K$3/10000))/2))^(2*W274/365.25)</f>
        <v>4.58720756678533E-014</v>
      </c>
      <c r="Z274" s="5" t="n">
        <f aca="false">IF(AND(mthbeg&lt;=A274,mthend&gt;=A274),1,0)</f>
        <v>0</v>
      </c>
      <c r="AA274" s="5" t="n">
        <f aca="false">U274*Z274</f>
        <v>0</v>
      </c>
      <c r="AC274" s="115" t="n">
        <f aca="false">IF(G267=2,F274*(S274-Q274),F274*(Q274-S274))</f>
        <v>0</v>
      </c>
      <c r="AE274" s="116" t="n">
        <f aca="false">IF($G$3=1,F274*(R274-Q274),F274*(Q274-R274))</f>
        <v>0</v>
      </c>
      <c r="AG274" s="116" t="n">
        <f aca="false">AC274+AE274</f>
        <v>0</v>
      </c>
    </row>
    <row r="275" customFormat="false" ht="12" hidden="false" customHeight="true" outlineLevel="0" collapsed="false">
      <c r="A275" s="120" t="n">
        <f aca="false">EDATE(A274,1)</f>
        <v>45352</v>
      </c>
      <c r="B275" s="121" t="e">
        <f aca="false">VLOOKUP(A275,'Inputs-Summary'!$A$32:$E$41,4,FALSE())</f>
        <v>#N/A</v>
      </c>
      <c r="C275" s="122"/>
      <c r="D275" s="123" t="e">
        <f aca="false">B275+C275</f>
        <v>#N/A</v>
      </c>
      <c r="E275" s="111" t="n">
        <f aca="false">IF(Z275=0,0,IF(AND(Z275=1,$H$3=1),D275*U275,IF($H$3=2,D275,"N/A")))</f>
        <v>0</v>
      </c>
      <c r="F275" s="111" t="n">
        <f aca="false">E275*Y275</f>
        <v>0</v>
      </c>
      <c r="G275" s="124" t="n">
        <f aca="false">VLOOKUP($A275,Table,MATCH(G$4,Curves,0))</f>
        <v>3</v>
      </c>
      <c r="H275" s="125" t="n">
        <f aca="false">G275+$H$7</f>
        <v>3</v>
      </c>
      <c r="I275" s="124" t="n">
        <f aca="false">H275</f>
        <v>3</v>
      </c>
      <c r="J275" s="124" t="n">
        <f aca="false">VLOOKUP($A275,Table,MATCH(J$4,Curves,0))</f>
        <v>4</v>
      </c>
      <c r="K275" s="125" t="n">
        <f aca="false">J275+$K$7</f>
        <v>4</v>
      </c>
      <c r="L275" s="126" t="n">
        <f aca="false">K275</f>
        <v>4</v>
      </c>
      <c r="M275" s="124" t="n">
        <f aca="false">VLOOKUP($A275,Table,MATCH(M$4,Curves,0))</f>
        <v>4</v>
      </c>
      <c r="N275" s="125" t="n">
        <f aca="false">M275+$N$7</f>
        <v>4</v>
      </c>
      <c r="O275" s="126" t="n">
        <v>0.25</v>
      </c>
      <c r="P275" s="114"/>
      <c r="Q275" s="126" t="n">
        <f aca="false">M275+J275+G275</f>
        <v>11</v>
      </c>
      <c r="R275" s="126" t="n">
        <f aca="false">N275+K275+H275</f>
        <v>11</v>
      </c>
      <c r="S275" s="126" t="n">
        <f aca="false">O275+L275+I275</f>
        <v>7.25</v>
      </c>
      <c r="T275" s="127"/>
      <c r="U275" s="5" t="n">
        <f aca="false">A276-A275</f>
        <v>31</v>
      </c>
      <c r="V275" s="128" t="n">
        <f aca="false">CHOOSE(F$3,A276+24,A275)</f>
        <v>45352</v>
      </c>
      <c r="W275" s="5" t="n">
        <f aca="false">V275-C$3</f>
        <v>8121</v>
      </c>
      <c r="X275" s="124" t="n">
        <f aca="false">VLOOKUP($A275,Table,MATCH(X$4,Curves,0))</f>
        <v>2</v>
      </c>
      <c r="Y275" s="129" t="n">
        <f aca="false">1/(1+CHOOSE(F$3,(X276+($K$3/10000))/2,(X275+($K$3/10000))/2))^(2*W275/365.25)</f>
        <v>4.10909545178908E-014</v>
      </c>
      <c r="Z275" s="5" t="n">
        <f aca="false">IF(AND(mthbeg&lt;=A275,mthend&gt;=A275),1,0)</f>
        <v>0</v>
      </c>
      <c r="AA275" s="5" t="n">
        <f aca="false">U275*Z275</f>
        <v>0</v>
      </c>
      <c r="AC275" s="115" t="n">
        <f aca="false">IF(G268=2,F275*(S275-Q275),F275*(Q275-S275))</f>
        <v>0</v>
      </c>
      <c r="AE275" s="116" t="n">
        <f aca="false">IF($G$3=1,F275*(R275-Q275),F275*(Q275-R275))</f>
        <v>0</v>
      </c>
      <c r="AG275" s="116" t="n">
        <f aca="false">AC275+AE275</f>
        <v>0</v>
      </c>
    </row>
    <row r="276" customFormat="false" ht="12" hidden="false" customHeight="true" outlineLevel="0" collapsed="false">
      <c r="A276" s="120" t="n">
        <f aca="false">EDATE(A275,1)</f>
        <v>45383</v>
      </c>
      <c r="B276" s="121" t="e">
        <f aca="false">VLOOKUP(A276,'Inputs-Summary'!$A$32:$E$41,4,FALSE())</f>
        <v>#N/A</v>
      </c>
      <c r="C276" s="122"/>
      <c r="D276" s="123" t="e">
        <f aca="false">B276+C276</f>
        <v>#N/A</v>
      </c>
      <c r="E276" s="111" t="n">
        <f aca="false">IF(Z276=0,0,IF(AND(Z276=1,$H$3=1),D276*U276,IF($H$3=2,D276,"N/A")))</f>
        <v>0</v>
      </c>
      <c r="F276" s="111" t="n">
        <f aca="false">E276*Y276</f>
        <v>0</v>
      </c>
      <c r="G276" s="124" t="n">
        <f aca="false">VLOOKUP($A276,Table,MATCH(G$4,Curves,0))</f>
        <v>3</v>
      </c>
      <c r="H276" s="125" t="n">
        <f aca="false">G276+$H$7</f>
        <v>3</v>
      </c>
      <c r="I276" s="124" t="n">
        <f aca="false">H276</f>
        <v>3</v>
      </c>
      <c r="J276" s="124" t="n">
        <f aca="false">VLOOKUP($A276,Table,MATCH(J$4,Curves,0))</f>
        <v>4</v>
      </c>
      <c r="K276" s="125" t="n">
        <f aca="false">J276+$K$7</f>
        <v>4</v>
      </c>
      <c r="L276" s="126" t="n">
        <f aca="false">K276</f>
        <v>4</v>
      </c>
      <c r="M276" s="124" t="n">
        <f aca="false">VLOOKUP($A276,Table,MATCH(M$4,Curves,0))</f>
        <v>4</v>
      </c>
      <c r="N276" s="125" t="n">
        <f aca="false">M276+$N$7</f>
        <v>4</v>
      </c>
      <c r="O276" s="126" t="n">
        <v>0.25</v>
      </c>
      <c r="P276" s="114"/>
      <c r="Q276" s="126" t="n">
        <f aca="false">M276+J276+G276</f>
        <v>11</v>
      </c>
      <c r="R276" s="126" t="n">
        <f aca="false">N276+K276+H276</f>
        <v>11</v>
      </c>
      <c r="S276" s="126" t="n">
        <f aca="false">O276+L276+I276</f>
        <v>7.25</v>
      </c>
      <c r="T276" s="127"/>
      <c r="U276" s="5" t="n">
        <f aca="false">A277-A276</f>
        <v>30</v>
      </c>
      <c r="V276" s="128" t="n">
        <f aca="false">CHOOSE(F$3,A277+24,A276)</f>
        <v>45383</v>
      </c>
      <c r="W276" s="5" t="n">
        <f aca="false">V276-C$3</f>
        <v>8152</v>
      </c>
      <c r="X276" s="124" t="n">
        <f aca="false">VLOOKUP($A276,Table,MATCH(X$4,Curves,0))</f>
        <v>2</v>
      </c>
      <c r="Y276" s="129" t="n">
        <f aca="false">1/(1+CHOOSE(F$3,(X277+($K$3/10000))/2,(X276+($K$3/10000))/2))^(2*W276/365.25)</f>
        <v>3.6529806077667E-014</v>
      </c>
      <c r="Z276" s="5" t="n">
        <f aca="false">IF(AND(mthbeg&lt;=A276,mthend&gt;=A276),1,0)</f>
        <v>0</v>
      </c>
      <c r="AA276" s="5" t="n">
        <f aca="false">U276*Z276</f>
        <v>0</v>
      </c>
      <c r="AC276" s="115" t="n">
        <f aca="false">IF(G269=2,F276*(S276-Q276),F276*(Q276-S276))</f>
        <v>0</v>
      </c>
      <c r="AE276" s="116" t="n">
        <f aca="false">IF($G$3=1,F276*(R276-Q276),F276*(Q276-R276))</f>
        <v>0</v>
      </c>
      <c r="AG276" s="116" t="n">
        <f aca="false">AC276+AE276</f>
        <v>0</v>
      </c>
    </row>
    <row r="277" customFormat="false" ht="12" hidden="false" customHeight="true" outlineLevel="0" collapsed="false">
      <c r="A277" s="120" t="n">
        <f aca="false">EDATE(A276,1)</f>
        <v>45413</v>
      </c>
      <c r="B277" s="121" t="e">
        <f aca="false">VLOOKUP(A277,'Inputs-Summary'!$A$32:$E$41,4,FALSE())</f>
        <v>#N/A</v>
      </c>
      <c r="C277" s="122"/>
      <c r="D277" s="123" t="e">
        <f aca="false">B277+C277</f>
        <v>#N/A</v>
      </c>
      <c r="E277" s="111" t="n">
        <f aca="false">IF(Z277=0,0,IF(AND(Z277=1,$H$3=1),D277*U277,IF($H$3=2,D277,"N/A")))</f>
        <v>0</v>
      </c>
      <c r="F277" s="111" t="n">
        <f aca="false">E277*Y277</f>
        <v>0</v>
      </c>
      <c r="G277" s="124" t="n">
        <f aca="false">VLOOKUP($A277,Table,MATCH(G$4,Curves,0))</f>
        <v>3</v>
      </c>
      <c r="H277" s="125" t="n">
        <f aca="false">G277+$H$7</f>
        <v>3</v>
      </c>
      <c r="I277" s="124" t="n">
        <f aca="false">H277</f>
        <v>3</v>
      </c>
      <c r="J277" s="124" t="n">
        <f aca="false">VLOOKUP($A277,Table,MATCH(J$4,Curves,0))</f>
        <v>4</v>
      </c>
      <c r="K277" s="125" t="n">
        <f aca="false">J277+$K$7</f>
        <v>4</v>
      </c>
      <c r="L277" s="126" t="n">
        <f aca="false">K277</f>
        <v>4</v>
      </c>
      <c r="M277" s="124" t="n">
        <f aca="false">VLOOKUP($A277,Table,MATCH(M$4,Curves,0))</f>
        <v>4</v>
      </c>
      <c r="N277" s="125" t="n">
        <f aca="false">M277+$N$7</f>
        <v>4</v>
      </c>
      <c r="O277" s="126" t="n">
        <v>0.25</v>
      </c>
      <c r="P277" s="114"/>
      <c r="Q277" s="126" t="n">
        <f aca="false">M277+J277+G277</f>
        <v>11</v>
      </c>
      <c r="R277" s="126" t="n">
        <f aca="false">N277+K277+H277</f>
        <v>11</v>
      </c>
      <c r="S277" s="126" t="n">
        <f aca="false">O277+L277+I277</f>
        <v>7.25</v>
      </c>
      <c r="T277" s="127"/>
      <c r="U277" s="5" t="n">
        <f aca="false">A278-A277</f>
        <v>31</v>
      </c>
      <c r="V277" s="128" t="n">
        <f aca="false">CHOOSE(F$3,A278+24,A277)</f>
        <v>45413</v>
      </c>
      <c r="W277" s="5" t="n">
        <f aca="false">V277-C$3</f>
        <v>8182</v>
      </c>
      <c r="X277" s="124" t="n">
        <f aca="false">VLOOKUP($A277,Table,MATCH(X$4,Curves,0))</f>
        <v>2</v>
      </c>
      <c r="Y277" s="129" t="n">
        <f aca="false">1/(1+CHOOSE(F$3,(X278+($K$3/10000))/2,(X277+($K$3/10000))/2))^(2*W277/365.25)</f>
        <v>3.25984427550596E-014</v>
      </c>
      <c r="Z277" s="5" t="n">
        <f aca="false">IF(AND(mthbeg&lt;=A277,mthend&gt;=A277),1,0)</f>
        <v>0</v>
      </c>
      <c r="AA277" s="5" t="n">
        <f aca="false">U277*Z277</f>
        <v>0</v>
      </c>
      <c r="AC277" s="115" t="n">
        <f aca="false">IF(G270=2,F277*(S277-Q277),F277*(Q277-S277))</f>
        <v>0</v>
      </c>
      <c r="AE277" s="116" t="n">
        <f aca="false">IF($G$3=1,F277*(R277-Q277),F277*(Q277-R277))</f>
        <v>0</v>
      </c>
      <c r="AG277" s="116" t="n">
        <f aca="false">AC277+AE277</f>
        <v>0</v>
      </c>
    </row>
    <row r="278" customFormat="false" ht="12" hidden="false" customHeight="true" outlineLevel="0" collapsed="false">
      <c r="A278" s="120" t="n">
        <f aca="false">EDATE(A277,1)</f>
        <v>45444</v>
      </c>
      <c r="B278" s="121" t="e">
        <f aca="false">VLOOKUP(A278,'Inputs-Summary'!$A$32:$E$41,4,FALSE())</f>
        <v>#N/A</v>
      </c>
      <c r="C278" s="122"/>
      <c r="D278" s="123" t="e">
        <f aca="false">B278+C278</f>
        <v>#N/A</v>
      </c>
      <c r="E278" s="111" t="n">
        <f aca="false">IF(Z278=0,0,IF(AND(Z278=1,$H$3=1),D278*U278,IF($H$3=2,D278,"N/A")))</f>
        <v>0</v>
      </c>
      <c r="F278" s="111" t="n">
        <f aca="false">E278*Y278</f>
        <v>0</v>
      </c>
      <c r="G278" s="124" t="n">
        <f aca="false">VLOOKUP($A278,Table,MATCH(G$4,Curves,0))</f>
        <v>3</v>
      </c>
      <c r="H278" s="125" t="n">
        <f aca="false">G278+$H$7</f>
        <v>3</v>
      </c>
      <c r="I278" s="124" t="n">
        <f aca="false">H278</f>
        <v>3</v>
      </c>
      <c r="J278" s="124" t="n">
        <f aca="false">VLOOKUP($A278,Table,MATCH(J$4,Curves,0))</f>
        <v>4</v>
      </c>
      <c r="K278" s="125" t="n">
        <f aca="false">J278+$K$7</f>
        <v>4</v>
      </c>
      <c r="L278" s="126" t="n">
        <f aca="false">K278</f>
        <v>4</v>
      </c>
      <c r="M278" s="124" t="n">
        <f aca="false">VLOOKUP($A278,Table,MATCH(M$4,Curves,0))</f>
        <v>4</v>
      </c>
      <c r="N278" s="125" t="n">
        <f aca="false">M278+$N$7</f>
        <v>4</v>
      </c>
      <c r="O278" s="126" t="n">
        <v>0.25</v>
      </c>
      <c r="P278" s="114"/>
      <c r="Q278" s="126" t="n">
        <f aca="false">M278+J278+G278</f>
        <v>11</v>
      </c>
      <c r="R278" s="126" t="n">
        <f aca="false">N278+K278+H278</f>
        <v>11</v>
      </c>
      <c r="S278" s="126" t="n">
        <f aca="false">O278+L278+I278</f>
        <v>7.25</v>
      </c>
      <c r="T278" s="127"/>
      <c r="U278" s="5" t="n">
        <f aca="false">A279-A278</f>
        <v>30</v>
      </c>
      <c r="V278" s="128" t="n">
        <f aca="false">CHOOSE(F$3,A279+24,A278)</f>
        <v>45444</v>
      </c>
      <c r="W278" s="5" t="n">
        <f aca="false">V278-C$3</f>
        <v>8213</v>
      </c>
      <c r="X278" s="124" t="n">
        <f aca="false">VLOOKUP($A278,Table,MATCH(X$4,Curves,0))</f>
        <v>2</v>
      </c>
      <c r="Y278" s="129" t="n">
        <f aca="false">1/(1+CHOOSE(F$3,(X279+($K$3/10000))/2,(X278+($K$3/10000))/2))^(2*W278/365.25)</f>
        <v>2.89799739686695E-014</v>
      </c>
      <c r="Z278" s="5" t="n">
        <f aca="false">IF(AND(mthbeg&lt;=A278,mthend&gt;=A278),1,0)</f>
        <v>0</v>
      </c>
      <c r="AA278" s="5" t="n">
        <f aca="false">U278*Z278</f>
        <v>0</v>
      </c>
      <c r="AC278" s="115" t="n">
        <f aca="false">IF(G271=2,F278*(S278-Q278),F278*(Q278-S278))</f>
        <v>0</v>
      </c>
      <c r="AE278" s="116" t="n">
        <f aca="false">IF($G$3=1,F278*(R278-Q278),F278*(Q278-R278))</f>
        <v>0</v>
      </c>
      <c r="AG278" s="116" t="n">
        <f aca="false">AC278+AE278</f>
        <v>0</v>
      </c>
    </row>
    <row r="279" customFormat="false" ht="12" hidden="false" customHeight="true" outlineLevel="0" collapsed="false">
      <c r="A279" s="120" t="n">
        <f aca="false">EDATE(A278,1)</f>
        <v>45474</v>
      </c>
      <c r="B279" s="121" t="e">
        <f aca="false">VLOOKUP(A279,'Inputs-Summary'!$A$32:$E$41,4,FALSE())</f>
        <v>#N/A</v>
      </c>
      <c r="C279" s="122"/>
      <c r="D279" s="123" t="e">
        <f aca="false">B279+C279</f>
        <v>#N/A</v>
      </c>
      <c r="E279" s="111" t="n">
        <f aca="false">IF(Z279=0,0,IF(AND(Z279=1,$H$3=1),D279*U279,IF($H$3=2,D279,"N/A")))</f>
        <v>0</v>
      </c>
      <c r="F279" s="111" t="n">
        <f aca="false">E279*Y279</f>
        <v>0</v>
      </c>
      <c r="G279" s="124" t="n">
        <f aca="false">VLOOKUP($A279,Table,MATCH(G$4,Curves,0))</f>
        <v>3</v>
      </c>
      <c r="H279" s="125" t="n">
        <f aca="false">G279+$H$7</f>
        <v>3</v>
      </c>
      <c r="I279" s="124" t="n">
        <f aca="false">H279</f>
        <v>3</v>
      </c>
      <c r="J279" s="124" t="n">
        <f aca="false">VLOOKUP($A279,Table,MATCH(J$4,Curves,0))</f>
        <v>4</v>
      </c>
      <c r="K279" s="125" t="n">
        <f aca="false">J279+$K$7</f>
        <v>4</v>
      </c>
      <c r="L279" s="126" t="n">
        <f aca="false">K279</f>
        <v>4</v>
      </c>
      <c r="M279" s="124" t="n">
        <f aca="false">VLOOKUP($A279,Table,MATCH(M$4,Curves,0))</f>
        <v>4</v>
      </c>
      <c r="N279" s="125" t="n">
        <f aca="false">M279+$N$7</f>
        <v>4</v>
      </c>
      <c r="O279" s="126" t="n">
        <v>0.25</v>
      </c>
      <c r="P279" s="114"/>
      <c r="Q279" s="126" t="n">
        <f aca="false">M279+J279+G279</f>
        <v>11</v>
      </c>
      <c r="R279" s="126" t="n">
        <f aca="false">N279+K279+H279</f>
        <v>11</v>
      </c>
      <c r="S279" s="126" t="n">
        <f aca="false">O279+L279+I279</f>
        <v>7.25</v>
      </c>
      <c r="T279" s="127"/>
      <c r="U279" s="5" t="n">
        <f aca="false">A280-A279</f>
        <v>31</v>
      </c>
      <c r="V279" s="128" t="n">
        <f aca="false">CHOOSE(F$3,A280+24,A279)</f>
        <v>45474</v>
      </c>
      <c r="W279" s="5" t="n">
        <f aca="false">V279-C$3</f>
        <v>8243</v>
      </c>
      <c r="X279" s="124" t="n">
        <f aca="false">VLOOKUP($A279,Table,MATCH(X$4,Curves,0))</f>
        <v>2</v>
      </c>
      <c r="Y279" s="129" t="n">
        <f aca="false">1/(1+CHOOSE(F$3,(X280+($K$3/10000))/2,(X279+($K$3/10000))/2))^(2*W279/365.25)</f>
        <v>2.58611288669926E-014</v>
      </c>
      <c r="Z279" s="5" t="n">
        <f aca="false">IF(AND(mthbeg&lt;=A279,mthend&gt;=A279),1,0)</f>
        <v>0</v>
      </c>
      <c r="AA279" s="5" t="n">
        <f aca="false">U279*Z279</f>
        <v>0</v>
      </c>
      <c r="AC279" s="115" t="n">
        <f aca="false">IF(G272=2,F279*(S279-Q279),F279*(Q279-S279))</f>
        <v>0</v>
      </c>
      <c r="AE279" s="116" t="n">
        <f aca="false">IF($G$3=1,F279*(R279-Q279),F279*(Q279-R279))</f>
        <v>0</v>
      </c>
      <c r="AG279" s="116" t="n">
        <f aca="false">AC279+AE279</f>
        <v>0</v>
      </c>
    </row>
    <row r="280" customFormat="false" ht="12" hidden="false" customHeight="true" outlineLevel="0" collapsed="false">
      <c r="A280" s="120" t="n">
        <f aca="false">EDATE(A279,1)</f>
        <v>45505</v>
      </c>
      <c r="B280" s="121" t="e">
        <f aca="false">VLOOKUP(A280,'Inputs-Summary'!$A$32:$E$41,4,FALSE())</f>
        <v>#N/A</v>
      </c>
      <c r="C280" s="122"/>
      <c r="D280" s="123" t="e">
        <f aca="false">B280+C280</f>
        <v>#N/A</v>
      </c>
      <c r="E280" s="111" t="n">
        <f aca="false">IF(Z280=0,0,IF(AND(Z280=1,$H$3=1),D280*U280,IF($H$3=2,D280,"N/A")))</f>
        <v>0</v>
      </c>
      <c r="F280" s="111" t="n">
        <f aca="false">E280*Y280</f>
        <v>0</v>
      </c>
      <c r="G280" s="124" t="n">
        <f aca="false">VLOOKUP($A280,Table,MATCH(G$4,Curves,0))</f>
        <v>3</v>
      </c>
      <c r="H280" s="125" t="n">
        <f aca="false">G280+$H$7</f>
        <v>3</v>
      </c>
      <c r="I280" s="124" t="n">
        <f aca="false">H280</f>
        <v>3</v>
      </c>
      <c r="J280" s="124" t="n">
        <f aca="false">VLOOKUP($A280,Table,MATCH(J$4,Curves,0))</f>
        <v>4</v>
      </c>
      <c r="K280" s="125" t="n">
        <f aca="false">J280+$K$7</f>
        <v>4</v>
      </c>
      <c r="L280" s="126" t="n">
        <f aca="false">K280</f>
        <v>4</v>
      </c>
      <c r="M280" s="124" t="n">
        <f aca="false">VLOOKUP($A280,Table,MATCH(M$4,Curves,0))</f>
        <v>4</v>
      </c>
      <c r="N280" s="125" t="n">
        <f aca="false">M280+$N$7</f>
        <v>4</v>
      </c>
      <c r="O280" s="126" t="n">
        <v>0.25</v>
      </c>
      <c r="P280" s="114"/>
      <c r="Q280" s="126" t="n">
        <f aca="false">M280+J280+G280</f>
        <v>11</v>
      </c>
      <c r="R280" s="126" t="n">
        <f aca="false">N280+K280+H280</f>
        <v>11</v>
      </c>
      <c r="S280" s="126" t="n">
        <f aca="false">O280+L280+I280</f>
        <v>7.25</v>
      </c>
      <c r="T280" s="127"/>
      <c r="U280" s="5" t="n">
        <f aca="false">A281-A280</f>
        <v>31</v>
      </c>
      <c r="V280" s="128" t="n">
        <f aca="false">CHOOSE(F$3,A281+24,A280)</f>
        <v>45505</v>
      </c>
      <c r="W280" s="5" t="n">
        <f aca="false">V280-C$3</f>
        <v>8274</v>
      </c>
      <c r="X280" s="124" t="n">
        <f aca="false">VLOOKUP($A280,Table,MATCH(X$4,Curves,0))</f>
        <v>2</v>
      </c>
      <c r="Y280" s="129" t="n">
        <f aca="false">1/(1+CHOOSE(F$3,(X281+($K$3/10000))/2,(X280+($K$3/10000))/2))^(2*W280/365.25)</f>
        <v>2.29905105282837E-014</v>
      </c>
      <c r="Z280" s="5" t="n">
        <f aca="false">IF(AND(mthbeg&lt;=A280,mthend&gt;=A280),1,0)</f>
        <v>0</v>
      </c>
      <c r="AA280" s="5" t="n">
        <f aca="false">U280*Z280</f>
        <v>0</v>
      </c>
      <c r="AC280" s="115" t="n">
        <f aca="false">IF(G273=2,F280*(S280-Q280),F280*(Q280-S280))</f>
        <v>0</v>
      </c>
      <c r="AE280" s="116" t="n">
        <f aca="false">IF($G$3=1,F280*(R280-Q280),F280*(Q280-R280))</f>
        <v>0</v>
      </c>
      <c r="AG280" s="116" t="n">
        <f aca="false">AC280+AE280</f>
        <v>0</v>
      </c>
    </row>
    <row r="281" customFormat="false" ht="12" hidden="false" customHeight="true" outlineLevel="0" collapsed="false">
      <c r="A281" s="120" t="n">
        <f aca="false">EDATE(A280,1)</f>
        <v>45536</v>
      </c>
      <c r="B281" s="121" t="e">
        <f aca="false">VLOOKUP(A281,'Inputs-Summary'!$A$32:$E$41,4,FALSE())</f>
        <v>#N/A</v>
      </c>
      <c r="C281" s="122"/>
      <c r="D281" s="123" t="e">
        <f aca="false">B281+C281</f>
        <v>#N/A</v>
      </c>
      <c r="E281" s="111" t="n">
        <f aca="false">IF(Z281=0,0,IF(AND(Z281=1,$H$3=1),D281*U281,IF($H$3=2,D281,"N/A")))</f>
        <v>0</v>
      </c>
      <c r="F281" s="111" t="n">
        <f aca="false">E281*Y281</f>
        <v>0</v>
      </c>
      <c r="G281" s="124" t="n">
        <f aca="false">VLOOKUP($A281,Table,MATCH(G$4,Curves,0))</f>
        <v>3</v>
      </c>
      <c r="H281" s="125" t="n">
        <f aca="false">G281+$H$7</f>
        <v>3</v>
      </c>
      <c r="I281" s="124" t="n">
        <f aca="false">H281</f>
        <v>3</v>
      </c>
      <c r="J281" s="124" t="n">
        <f aca="false">VLOOKUP($A281,Table,MATCH(J$4,Curves,0))</f>
        <v>4</v>
      </c>
      <c r="K281" s="125" t="n">
        <f aca="false">J281+$K$7</f>
        <v>4</v>
      </c>
      <c r="L281" s="126" t="n">
        <f aca="false">K281</f>
        <v>4</v>
      </c>
      <c r="M281" s="124" t="n">
        <f aca="false">VLOOKUP($A281,Table,MATCH(M$4,Curves,0))</f>
        <v>4</v>
      </c>
      <c r="N281" s="125" t="n">
        <f aca="false">M281+$N$7</f>
        <v>4</v>
      </c>
      <c r="O281" s="126" t="n">
        <v>0.25</v>
      </c>
      <c r="P281" s="114"/>
      <c r="Q281" s="126" t="n">
        <f aca="false">M281+J281+G281</f>
        <v>11</v>
      </c>
      <c r="R281" s="126" t="n">
        <f aca="false">N281+K281+H281</f>
        <v>11</v>
      </c>
      <c r="S281" s="126" t="n">
        <f aca="false">O281+L281+I281</f>
        <v>7.25</v>
      </c>
      <c r="T281" s="127"/>
      <c r="U281" s="5" t="n">
        <f aca="false">A282-A281</f>
        <v>30</v>
      </c>
      <c r="V281" s="128" t="n">
        <f aca="false">CHOOSE(F$3,A282+24,A281)</f>
        <v>45536</v>
      </c>
      <c r="W281" s="5" t="n">
        <f aca="false">V281-C$3</f>
        <v>8305</v>
      </c>
      <c r="X281" s="124" t="n">
        <f aca="false">VLOOKUP($A281,Table,MATCH(X$4,Curves,0))</f>
        <v>2</v>
      </c>
      <c r="Y281" s="129" t="n">
        <f aca="false">1/(1+CHOOSE(F$3,(X282+($K$3/10000))/2,(X281+($K$3/10000))/2))^(2*W281/365.25)</f>
        <v>2.04385344920402E-014</v>
      </c>
      <c r="Z281" s="5" t="n">
        <f aca="false">IF(AND(mthbeg&lt;=A281,mthend&gt;=A281),1,0)</f>
        <v>0</v>
      </c>
      <c r="AA281" s="5" t="n">
        <f aca="false">U281*Z281</f>
        <v>0</v>
      </c>
      <c r="AC281" s="115" t="n">
        <f aca="false">IF(G274=2,F281*(S281-Q281),F281*(Q281-S281))</f>
        <v>0</v>
      </c>
      <c r="AE281" s="116" t="n">
        <f aca="false">IF($G$3=1,F281*(R281-Q281),F281*(Q281-R281))</f>
        <v>0</v>
      </c>
      <c r="AG281" s="116" t="n">
        <f aca="false">AC281+AE281</f>
        <v>0</v>
      </c>
    </row>
    <row r="282" customFormat="false" ht="12" hidden="false" customHeight="true" outlineLevel="0" collapsed="false">
      <c r="A282" s="120" t="n">
        <f aca="false">EDATE(A281,1)</f>
        <v>45566</v>
      </c>
      <c r="B282" s="121" t="e">
        <f aca="false">VLOOKUP(A282,'Inputs-Summary'!$A$32:$E$41,4,FALSE())</f>
        <v>#N/A</v>
      </c>
      <c r="C282" s="122"/>
      <c r="D282" s="123" t="e">
        <f aca="false">B282+C282</f>
        <v>#N/A</v>
      </c>
      <c r="E282" s="111" t="n">
        <f aca="false">IF(Z282=0,0,IF(AND(Z282=1,$H$3=1),D282*U282,IF($H$3=2,D282,"N/A")))</f>
        <v>0</v>
      </c>
      <c r="F282" s="111" t="n">
        <f aca="false">E282*Y282</f>
        <v>0</v>
      </c>
      <c r="G282" s="124" t="n">
        <f aca="false">VLOOKUP($A282,Table,MATCH(G$4,Curves,0))</f>
        <v>3</v>
      </c>
      <c r="H282" s="125" t="n">
        <f aca="false">G282+$H$7</f>
        <v>3</v>
      </c>
      <c r="I282" s="124" t="n">
        <f aca="false">H282</f>
        <v>3</v>
      </c>
      <c r="J282" s="124" t="n">
        <f aca="false">VLOOKUP($A282,Table,MATCH(J$4,Curves,0))</f>
        <v>4</v>
      </c>
      <c r="K282" s="125" t="n">
        <f aca="false">J282+$K$7</f>
        <v>4</v>
      </c>
      <c r="L282" s="126" t="n">
        <f aca="false">K282</f>
        <v>4</v>
      </c>
      <c r="M282" s="124" t="n">
        <f aca="false">VLOOKUP($A282,Table,MATCH(M$4,Curves,0))</f>
        <v>4</v>
      </c>
      <c r="N282" s="125" t="n">
        <f aca="false">M282+$N$7</f>
        <v>4</v>
      </c>
      <c r="O282" s="126" t="n">
        <v>0.25</v>
      </c>
      <c r="P282" s="114"/>
      <c r="Q282" s="126" t="n">
        <f aca="false">M282+J282+G282</f>
        <v>11</v>
      </c>
      <c r="R282" s="126" t="n">
        <f aca="false">N282+K282+H282</f>
        <v>11</v>
      </c>
      <c r="S282" s="126" t="n">
        <f aca="false">O282+L282+I282</f>
        <v>7.25</v>
      </c>
      <c r="T282" s="127"/>
      <c r="U282" s="5" t="n">
        <f aca="false">A283-A282</f>
        <v>31</v>
      </c>
      <c r="V282" s="128" t="n">
        <f aca="false">CHOOSE(F$3,A283+24,A282)</f>
        <v>45566</v>
      </c>
      <c r="W282" s="5" t="n">
        <f aca="false">V282-C$3</f>
        <v>8335</v>
      </c>
      <c r="X282" s="124" t="n">
        <f aca="false">VLOOKUP($A282,Table,MATCH(X$4,Curves,0))</f>
        <v>2</v>
      </c>
      <c r="Y282" s="129" t="n">
        <f aca="false">1/(1+CHOOSE(F$3,(X283+($K$3/10000))/2,(X282+($K$3/10000))/2))^(2*W282/365.25)</f>
        <v>1.82389250909112E-014</v>
      </c>
      <c r="Z282" s="5" t="n">
        <f aca="false">IF(AND(mthbeg&lt;=A282,mthend&gt;=A282),1,0)</f>
        <v>0</v>
      </c>
      <c r="AA282" s="5" t="n">
        <f aca="false">U282*Z282</f>
        <v>0</v>
      </c>
      <c r="AC282" s="115" t="n">
        <f aca="false">IF(G275=2,F282*(S282-Q282),F282*(Q282-S282))</f>
        <v>0</v>
      </c>
      <c r="AE282" s="116" t="n">
        <f aca="false">IF($G$3=1,F282*(R282-Q282),F282*(Q282-R282))</f>
        <v>0</v>
      </c>
      <c r="AG282" s="116" t="n">
        <f aca="false">AC282+AE282</f>
        <v>0</v>
      </c>
    </row>
    <row r="283" customFormat="false" ht="12" hidden="false" customHeight="true" outlineLevel="0" collapsed="false">
      <c r="A283" s="120" t="n">
        <f aca="false">EDATE(A282,1)</f>
        <v>45597</v>
      </c>
      <c r="B283" s="121" t="e">
        <f aca="false">VLOOKUP(A283,'Inputs-Summary'!$A$32:$E$41,4,FALSE())</f>
        <v>#N/A</v>
      </c>
      <c r="C283" s="122"/>
      <c r="D283" s="123" t="e">
        <f aca="false">B283+C283</f>
        <v>#N/A</v>
      </c>
      <c r="E283" s="111" t="n">
        <f aca="false">IF(Z283=0,0,IF(AND(Z283=1,$H$3=1),D283*U283,IF($H$3=2,D283,"N/A")))</f>
        <v>0</v>
      </c>
      <c r="F283" s="111" t="n">
        <f aca="false">E283*Y283</f>
        <v>0</v>
      </c>
      <c r="G283" s="124" t="n">
        <f aca="false">VLOOKUP($A283,Table,MATCH(G$4,Curves,0))</f>
        <v>3</v>
      </c>
      <c r="H283" s="125" t="n">
        <f aca="false">G283+$H$7</f>
        <v>3</v>
      </c>
      <c r="I283" s="124" t="n">
        <f aca="false">H283</f>
        <v>3</v>
      </c>
      <c r="J283" s="124" t="n">
        <f aca="false">VLOOKUP($A283,Table,MATCH(J$4,Curves,0))</f>
        <v>4</v>
      </c>
      <c r="K283" s="125" t="n">
        <f aca="false">J283+$K$7</f>
        <v>4</v>
      </c>
      <c r="L283" s="126" t="n">
        <f aca="false">K283</f>
        <v>4</v>
      </c>
      <c r="M283" s="124" t="n">
        <f aca="false">VLOOKUP($A283,Table,MATCH(M$4,Curves,0))</f>
        <v>4</v>
      </c>
      <c r="N283" s="125" t="n">
        <f aca="false">M283+$N$7</f>
        <v>4</v>
      </c>
      <c r="O283" s="126" t="n">
        <v>0.25</v>
      </c>
      <c r="P283" s="114"/>
      <c r="Q283" s="126" t="n">
        <f aca="false">M283+J283+G283</f>
        <v>11</v>
      </c>
      <c r="R283" s="126" t="n">
        <f aca="false">N283+K283+H283</f>
        <v>11</v>
      </c>
      <c r="S283" s="126" t="n">
        <f aca="false">O283+L283+I283</f>
        <v>7.25</v>
      </c>
      <c r="T283" s="127"/>
      <c r="U283" s="5" t="n">
        <f aca="false">A284-A283</f>
        <v>30</v>
      </c>
      <c r="V283" s="128" t="n">
        <f aca="false">CHOOSE(F$3,A284+24,A283)</f>
        <v>45597</v>
      </c>
      <c r="W283" s="5" t="n">
        <f aca="false">V283-C$3</f>
        <v>8366</v>
      </c>
      <c r="X283" s="124" t="n">
        <f aca="false">VLOOKUP($A283,Table,MATCH(X$4,Curves,0))</f>
        <v>2</v>
      </c>
      <c r="Y283" s="129" t="n">
        <f aca="false">1/(1+CHOOSE(F$3,(X284+($K$3/10000))/2,(X283+($K$3/10000))/2))^(2*W283/365.25)</f>
        <v>1.62143811077933E-014</v>
      </c>
      <c r="Z283" s="5" t="n">
        <f aca="false">IF(AND(mthbeg&lt;=A283,mthend&gt;=A283),1,0)</f>
        <v>0</v>
      </c>
      <c r="AA283" s="5" t="n">
        <f aca="false">U283*Z283</f>
        <v>0</v>
      </c>
      <c r="AC283" s="115" t="n">
        <f aca="false">IF(G276=2,F283*(S283-Q283),F283*(Q283-S283))</f>
        <v>0</v>
      </c>
      <c r="AE283" s="116" t="n">
        <f aca="false">IF($G$3=1,F283*(R283-Q283),F283*(Q283-R283))</f>
        <v>0</v>
      </c>
      <c r="AG283" s="116" t="n">
        <f aca="false">AC283+AE283</f>
        <v>0</v>
      </c>
    </row>
    <row r="284" customFormat="false" ht="12" hidden="false" customHeight="true" outlineLevel="0" collapsed="false">
      <c r="A284" s="120" t="n">
        <f aca="false">EDATE(A283,1)</f>
        <v>45627</v>
      </c>
      <c r="B284" s="121" t="e">
        <f aca="false">VLOOKUP(A284,'Inputs-Summary'!$A$32:$E$41,4,FALSE())</f>
        <v>#N/A</v>
      </c>
      <c r="C284" s="122"/>
      <c r="D284" s="123" t="e">
        <f aca="false">B284+C284</f>
        <v>#N/A</v>
      </c>
      <c r="E284" s="111" t="n">
        <f aca="false">IF(Z284=0,0,IF(AND(Z284=1,$H$3=1),D284*U284,IF($H$3=2,D284,"N/A")))</f>
        <v>0</v>
      </c>
      <c r="F284" s="111" t="n">
        <f aca="false">E284*Y284</f>
        <v>0</v>
      </c>
      <c r="G284" s="124" t="n">
        <f aca="false">VLOOKUP($A284,Table,MATCH(G$4,Curves,0))</f>
        <v>3</v>
      </c>
      <c r="H284" s="125" t="n">
        <f aca="false">G284+$H$7</f>
        <v>3</v>
      </c>
      <c r="I284" s="124" t="n">
        <f aca="false">H284</f>
        <v>3</v>
      </c>
      <c r="J284" s="124" t="n">
        <f aca="false">VLOOKUP($A284,Table,MATCH(J$4,Curves,0))</f>
        <v>4</v>
      </c>
      <c r="K284" s="125" t="n">
        <f aca="false">J284+$K$7</f>
        <v>4</v>
      </c>
      <c r="L284" s="126" t="n">
        <f aca="false">K284</f>
        <v>4</v>
      </c>
      <c r="M284" s="124" t="n">
        <f aca="false">VLOOKUP($A284,Table,MATCH(M$4,Curves,0))</f>
        <v>4</v>
      </c>
      <c r="N284" s="125" t="n">
        <f aca="false">M284+$N$7</f>
        <v>4</v>
      </c>
      <c r="O284" s="126" t="n">
        <v>0.25</v>
      </c>
      <c r="P284" s="114"/>
      <c r="Q284" s="126" t="n">
        <f aca="false">M284+J284+G284</f>
        <v>11</v>
      </c>
      <c r="R284" s="126" t="n">
        <f aca="false">N284+K284+H284</f>
        <v>11</v>
      </c>
      <c r="S284" s="126" t="n">
        <f aca="false">O284+L284+I284</f>
        <v>7.25</v>
      </c>
      <c r="T284" s="127"/>
      <c r="U284" s="5" t="n">
        <f aca="false">A285-A284</f>
        <v>31</v>
      </c>
      <c r="V284" s="128" t="n">
        <f aca="false">CHOOSE(F$3,A285+24,A284)</f>
        <v>45627</v>
      </c>
      <c r="W284" s="5" t="n">
        <f aca="false">V284-C$3</f>
        <v>8396</v>
      </c>
      <c r="X284" s="124" t="n">
        <f aca="false">VLOOKUP($A284,Table,MATCH(X$4,Curves,0))</f>
        <v>2</v>
      </c>
      <c r="Y284" s="129" t="n">
        <f aca="false">1/(1+CHOOSE(F$3,(X285+($K$3/10000))/2,(X284+($K$3/10000))/2))^(2*W284/365.25)</f>
        <v>1.44693780532896E-014</v>
      </c>
      <c r="Z284" s="5" t="n">
        <f aca="false">IF(AND(mthbeg&lt;=A284,mthend&gt;=A284),1,0)</f>
        <v>0</v>
      </c>
      <c r="AA284" s="5" t="n">
        <f aca="false">U284*Z284</f>
        <v>0</v>
      </c>
      <c r="AC284" s="115" t="n">
        <f aca="false">IF(G277=2,F284*(S284-Q284),F284*(Q284-S284))</f>
        <v>0</v>
      </c>
      <c r="AE284" s="116" t="n">
        <f aca="false">IF($G$3=1,F284*(R284-Q284),F284*(Q284-R284))</f>
        <v>0</v>
      </c>
      <c r="AG284" s="116" t="n">
        <f aca="false">AC284+AE284</f>
        <v>0</v>
      </c>
    </row>
    <row r="285" customFormat="false" ht="12" hidden="false" customHeight="true" outlineLevel="0" collapsed="false">
      <c r="A285" s="120" t="n">
        <f aca="false">EDATE(A284,1)</f>
        <v>45658</v>
      </c>
      <c r="B285" s="121" t="e">
        <f aca="false">VLOOKUP(A285,'Inputs-Summary'!$A$32:$E$41,4,FALSE())</f>
        <v>#N/A</v>
      </c>
      <c r="C285" s="122"/>
      <c r="D285" s="123" t="e">
        <f aca="false">B285+C285</f>
        <v>#N/A</v>
      </c>
      <c r="E285" s="111" t="n">
        <f aca="false">IF(Z285=0,0,IF(AND(Z285=1,$H$3=1),D285*U285,IF($H$3=2,D285,"N/A")))</f>
        <v>0</v>
      </c>
      <c r="F285" s="111" t="n">
        <f aca="false">E285*Y285</f>
        <v>0</v>
      </c>
      <c r="G285" s="124" t="n">
        <f aca="false">VLOOKUP($A285,Table,MATCH(G$4,Curves,0))</f>
        <v>3</v>
      </c>
      <c r="H285" s="125" t="n">
        <f aca="false">G285+$H$7</f>
        <v>3</v>
      </c>
      <c r="I285" s="124" t="n">
        <f aca="false">H285</f>
        <v>3</v>
      </c>
      <c r="J285" s="124" t="n">
        <f aca="false">VLOOKUP($A285,Table,MATCH(J$4,Curves,0))</f>
        <v>4</v>
      </c>
      <c r="K285" s="125" t="n">
        <f aca="false">J285+$K$7</f>
        <v>4</v>
      </c>
      <c r="L285" s="126" t="n">
        <f aca="false">K285</f>
        <v>4</v>
      </c>
      <c r="M285" s="124" t="n">
        <f aca="false">VLOOKUP($A285,Table,MATCH(M$4,Curves,0))</f>
        <v>4</v>
      </c>
      <c r="N285" s="125" t="n">
        <f aca="false">M285+$N$7</f>
        <v>4</v>
      </c>
      <c r="O285" s="126" t="n">
        <v>0.25</v>
      </c>
      <c r="P285" s="114"/>
      <c r="Q285" s="126" t="n">
        <f aca="false">M285+J285+G285</f>
        <v>11</v>
      </c>
      <c r="R285" s="126" t="n">
        <f aca="false">N285+K285+H285</f>
        <v>11</v>
      </c>
      <c r="S285" s="126" t="n">
        <f aca="false">O285+L285+I285</f>
        <v>7.25</v>
      </c>
      <c r="T285" s="127"/>
      <c r="U285" s="5" t="n">
        <f aca="false">A286-A285</f>
        <v>31</v>
      </c>
      <c r="V285" s="128" t="n">
        <f aca="false">CHOOSE(F$3,A286+24,A285)</f>
        <v>45658</v>
      </c>
      <c r="W285" s="5" t="n">
        <f aca="false">V285-C$3</f>
        <v>8427</v>
      </c>
      <c r="X285" s="124" t="n">
        <f aca="false">VLOOKUP($A285,Table,MATCH(X$4,Curves,0))</f>
        <v>2</v>
      </c>
      <c r="Y285" s="129" t="n">
        <f aca="false">1/(1+CHOOSE(F$3,(X286+($K$3/10000))/2,(X285+($K$3/10000))/2))^(2*W285/365.25)</f>
        <v>1.28632586064893E-014</v>
      </c>
      <c r="Z285" s="5" t="n">
        <f aca="false">IF(AND(mthbeg&lt;=A285,mthend&gt;=A285),1,0)</f>
        <v>0</v>
      </c>
      <c r="AA285" s="5" t="n">
        <f aca="false">U285*Z285</f>
        <v>0</v>
      </c>
      <c r="AC285" s="115" t="n">
        <f aca="false">IF(G278=2,F285*(S285-Q285),F285*(Q285-S285))</f>
        <v>0</v>
      </c>
      <c r="AE285" s="116" t="n">
        <f aca="false">IF($G$3=1,F285*(R285-Q285),F285*(Q285-R285))</f>
        <v>0</v>
      </c>
      <c r="AG285" s="116" t="n">
        <f aca="false">AC285+AE285</f>
        <v>0</v>
      </c>
    </row>
    <row r="286" customFormat="false" ht="12" hidden="false" customHeight="true" outlineLevel="0" collapsed="false">
      <c r="A286" s="120" t="n">
        <f aca="false">EDATE(A285,1)</f>
        <v>45689</v>
      </c>
      <c r="B286" s="121" t="e">
        <f aca="false">VLOOKUP(A286,'Inputs-Summary'!$A$32:$E$41,4,FALSE())</f>
        <v>#N/A</v>
      </c>
      <c r="C286" s="122"/>
      <c r="D286" s="123" t="e">
        <f aca="false">B286+C286</f>
        <v>#N/A</v>
      </c>
      <c r="E286" s="111" t="n">
        <f aca="false">IF(Z286=0,0,IF(AND(Z286=1,$H$3=1),D286*U286,IF($H$3=2,D286,"N/A")))</f>
        <v>0</v>
      </c>
      <c r="F286" s="111" t="n">
        <f aca="false">E286*Y286</f>
        <v>0</v>
      </c>
      <c r="G286" s="124" t="n">
        <f aca="false">VLOOKUP($A286,Table,MATCH(G$4,Curves,0))</f>
        <v>3</v>
      </c>
      <c r="H286" s="125" t="n">
        <f aca="false">G286+$H$7</f>
        <v>3</v>
      </c>
      <c r="I286" s="124" t="n">
        <f aca="false">H286</f>
        <v>3</v>
      </c>
      <c r="J286" s="124" t="n">
        <f aca="false">VLOOKUP($A286,Table,MATCH(J$4,Curves,0))</f>
        <v>4</v>
      </c>
      <c r="K286" s="125" t="n">
        <f aca="false">J286+$K$7</f>
        <v>4</v>
      </c>
      <c r="L286" s="126" t="n">
        <f aca="false">K286</f>
        <v>4</v>
      </c>
      <c r="M286" s="124" t="n">
        <f aca="false">VLOOKUP($A286,Table,MATCH(M$4,Curves,0))</f>
        <v>4</v>
      </c>
      <c r="N286" s="125" t="n">
        <f aca="false">M286+$N$7</f>
        <v>4</v>
      </c>
      <c r="O286" s="126" t="n">
        <v>0.25</v>
      </c>
      <c r="P286" s="114"/>
      <c r="Q286" s="126" t="n">
        <f aca="false">M286+J286+G286</f>
        <v>11</v>
      </c>
      <c r="R286" s="126" t="n">
        <f aca="false">N286+K286+H286</f>
        <v>11</v>
      </c>
      <c r="S286" s="126" t="n">
        <f aca="false">O286+L286+I286</f>
        <v>7.25</v>
      </c>
      <c r="T286" s="127"/>
      <c r="U286" s="5" t="n">
        <f aca="false">A287-A286</f>
        <v>28</v>
      </c>
      <c r="V286" s="128" t="n">
        <f aca="false">CHOOSE(F$3,A287+24,A286)</f>
        <v>45689</v>
      </c>
      <c r="W286" s="5" t="n">
        <f aca="false">V286-C$3</f>
        <v>8458</v>
      </c>
      <c r="X286" s="124" t="n">
        <f aca="false">VLOOKUP($A286,Table,MATCH(X$4,Curves,0))</f>
        <v>2</v>
      </c>
      <c r="Y286" s="129" t="n">
        <f aca="false">1/(1+CHOOSE(F$3,(X287+($K$3/10000))/2,(X286+($K$3/10000))/2))^(2*W286/365.25)</f>
        <v>1.14354204699078E-014</v>
      </c>
      <c r="Z286" s="5" t="n">
        <f aca="false">IF(AND(mthbeg&lt;=A286,mthend&gt;=A286),1,0)</f>
        <v>0</v>
      </c>
      <c r="AA286" s="5" t="n">
        <f aca="false">U286*Z286</f>
        <v>0</v>
      </c>
      <c r="AC286" s="115" t="n">
        <f aca="false">IF(G279=2,F286*(S286-Q286),F286*(Q286-S286))</f>
        <v>0</v>
      </c>
      <c r="AE286" s="116" t="n">
        <f aca="false">IF($G$3=1,F286*(R286-Q286),F286*(Q286-R286))</f>
        <v>0</v>
      </c>
      <c r="AG286" s="116" t="n">
        <f aca="false">AC286+AE286</f>
        <v>0</v>
      </c>
    </row>
    <row r="287" customFormat="false" ht="12" hidden="false" customHeight="true" outlineLevel="0" collapsed="false">
      <c r="A287" s="120" t="n">
        <f aca="false">EDATE(A286,1)</f>
        <v>45717</v>
      </c>
      <c r="B287" s="121" t="e">
        <f aca="false">VLOOKUP(A287,'Inputs-Summary'!$A$32:$E$41,4,FALSE())</f>
        <v>#N/A</v>
      </c>
      <c r="C287" s="122"/>
      <c r="D287" s="123" t="e">
        <f aca="false">B287+C287</f>
        <v>#N/A</v>
      </c>
      <c r="E287" s="111" t="n">
        <f aca="false">IF(Z287=0,0,IF(AND(Z287=1,$H$3=1),D287*U287,IF($H$3=2,D287,"N/A")))</f>
        <v>0</v>
      </c>
      <c r="F287" s="111" t="n">
        <f aca="false">E287*Y287</f>
        <v>0</v>
      </c>
      <c r="G287" s="124" t="n">
        <f aca="false">VLOOKUP($A287,Table,MATCH(G$4,Curves,0))</f>
        <v>3</v>
      </c>
      <c r="H287" s="125" t="n">
        <f aca="false">G287+$H$7</f>
        <v>3</v>
      </c>
      <c r="I287" s="124" t="n">
        <f aca="false">H287</f>
        <v>3</v>
      </c>
      <c r="J287" s="124" t="n">
        <f aca="false">VLOOKUP($A287,Table,MATCH(J$4,Curves,0))</f>
        <v>4</v>
      </c>
      <c r="K287" s="125" t="n">
        <f aca="false">J287+$K$7</f>
        <v>4</v>
      </c>
      <c r="L287" s="126" t="n">
        <f aca="false">K287</f>
        <v>4</v>
      </c>
      <c r="M287" s="124" t="n">
        <f aca="false">VLOOKUP($A287,Table,MATCH(M$4,Curves,0))</f>
        <v>4</v>
      </c>
      <c r="N287" s="125" t="n">
        <f aca="false">M287+$N$7</f>
        <v>4</v>
      </c>
      <c r="O287" s="126" t="n">
        <v>0.25</v>
      </c>
      <c r="P287" s="114"/>
      <c r="Q287" s="126" t="n">
        <f aca="false">M287+J287+G287</f>
        <v>11</v>
      </c>
      <c r="R287" s="126" t="n">
        <f aca="false">N287+K287+H287</f>
        <v>11</v>
      </c>
      <c r="S287" s="126" t="n">
        <f aca="false">O287+L287+I287</f>
        <v>7.25</v>
      </c>
      <c r="T287" s="127"/>
      <c r="U287" s="5" t="n">
        <f aca="false">A288-A287</f>
        <v>31</v>
      </c>
      <c r="V287" s="128" t="n">
        <f aca="false">CHOOSE(F$3,A288+24,A287)</f>
        <v>45717</v>
      </c>
      <c r="W287" s="5" t="n">
        <f aca="false">V287-C$3</f>
        <v>8486</v>
      </c>
      <c r="X287" s="124" t="n">
        <f aca="false">VLOOKUP($A287,Table,MATCH(X$4,Curves,0))</f>
        <v>2</v>
      </c>
      <c r="Y287" s="129" t="n">
        <f aca="false">1/(1+CHOOSE(F$3,(X288+($K$3/10000))/2,(X287+($K$3/10000))/2))^(2*W287/365.25)</f>
        <v>1.02824907158502E-014</v>
      </c>
      <c r="Z287" s="5" t="n">
        <f aca="false">IF(AND(mthbeg&lt;=A287,mthend&gt;=A287),1,0)</f>
        <v>0</v>
      </c>
      <c r="AA287" s="5" t="n">
        <f aca="false">U287*Z287</f>
        <v>0</v>
      </c>
      <c r="AC287" s="115" t="n">
        <f aca="false">IF(G280=2,F287*(S287-Q287),F287*(Q287-S287))</f>
        <v>0</v>
      </c>
      <c r="AE287" s="116" t="n">
        <f aca="false">IF($G$3=1,F287*(R287-Q287),F287*(Q287-R287))</f>
        <v>0</v>
      </c>
      <c r="AG287" s="116" t="n">
        <f aca="false">AC287+AE287</f>
        <v>0</v>
      </c>
    </row>
    <row r="288" customFormat="false" ht="12" hidden="false" customHeight="true" outlineLevel="0" collapsed="false">
      <c r="A288" s="120" t="n">
        <f aca="false">EDATE(A287,1)</f>
        <v>45748</v>
      </c>
      <c r="B288" s="121" t="e">
        <f aca="false">VLOOKUP(A288,'Inputs-Summary'!$A$32:$E$41,4,FALSE())</f>
        <v>#N/A</v>
      </c>
      <c r="C288" s="122"/>
      <c r="D288" s="123" t="e">
        <f aca="false">B288+C288</f>
        <v>#N/A</v>
      </c>
      <c r="E288" s="111" t="n">
        <f aca="false">IF(Z288=0,0,IF(AND(Z288=1,$H$3=1),D288*U288,IF($H$3=2,D288,"N/A")))</f>
        <v>0</v>
      </c>
      <c r="F288" s="111" t="n">
        <f aca="false">E288*Y288</f>
        <v>0</v>
      </c>
      <c r="G288" s="124" t="n">
        <f aca="false">VLOOKUP($A288,Table,MATCH(G$4,Curves,0))</f>
        <v>3</v>
      </c>
      <c r="H288" s="125" t="n">
        <f aca="false">G288+$H$7</f>
        <v>3</v>
      </c>
      <c r="I288" s="124" t="n">
        <f aca="false">H288</f>
        <v>3</v>
      </c>
      <c r="J288" s="124" t="n">
        <f aca="false">VLOOKUP($A288,Table,MATCH(J$4,Curves,0))</f>
        <v>4</v>
      </c>
      <c r="K288" s="125" t="n">
        <f aca="false">J288+$K$7</f>
        <v>4</v>
      </c>
      <c r="L288" s="126" t="n">
        <f aca="false">K288</f>
        <v>4</v>
      </c>
      <c r="M288" s="124" t="n">
        <f aca="false">VLOOKUP($A288,Table,MATCH(M$4,Curves,0))</f>
        <v>4</v>
      </c>
      <c r="N288" s="125" t="n">
        <f aca="false">M288+$N$7</f>
        <v>4</v>
      </c>
      <c r="O288" s="126" t="n">
        <v>0.25</v>
      </c>
      <c r="P288" s="114"/>
      <c r="Q288" s="126" t="n">
        <f aca="false">M288+J288+G288</f>
        <v>11</v>
      </c>
      <c r="R288" s="126" t="n">
        <f aca="false">N288+K288+H288</f>
        <v>11</v>
      </c>
      <c r="S288" s="126" t="n">
        <f aca="false">O288+L288+I288</f>
        <v>7.25</v>
      </c>
      <c r="T288" s="127"/>
      <c r="U288" s="5" t="n">
        <f aca="false">A289-A288</f>
        <v>30</v>
      </c>
      <c r="V288" s="128" t="n">
        <f aca="false">CHOOSE(F$3,A289+24,A288)</f>
        <v>45748</v>
      </c>
      <c r="W288" s="5" t="n">
        <f aca="false">V288-C$3</f>
        <v>8517</v>
      </c>
      <c r="X288" s="124" t="n">
        <f aca="false">VLOOKUP($A288,Table,MATCH(X$4,Curves,0))</f>
        <v>2</v>
      </c>
      <c r="Y288" s="129" t="n">
        <f aca="false">1/(1+CHOOSE(F$3,(X289+($K$3/10000))/2,(X288+($K$3/10000))/2))^(2*W288/365.25)</f>
        <v>9.14112111174924E-015</v>
      </c>
      <c r="Z288" s="5" t="n">
        <f aca="false">IF(AND(mthbeg&lt;=A288,mthend&gt;=A288),1,0)</f>
        <v>0</v>
      </c>
      <c r="AA288" s="5" t="n">
        <f aca="false">U288*Z288</f>
        <v>0</v>
      </c>
      <c r="AC288" s="115" t="n">
        <f aca="false">IF(G281=2,F288*(S288-Q288),F288*(Q288-S288))</f>
        <v>0</v>
      </c>
      <c r="AE288" s="116" t="n">
        <f aca="false">IF($G$3=1,F288*(R288-Q288),F288*(Q288-R288))</f>
        <v>0</v>
      </c>
      <c r="AG288" s="116" t="n">
        <f aca="false">AC288+AE288</f>
        <v>0</v>
      </c>
    </row>
    <row r="289" customFormat="false" ht="12" hidden="false" customHeight="true" outlineLevel="0" collapsed="false">
      <c r="A289" s="120" t="n">
        <f aca="false">EDATE(A288,1)</f>
        <v>45778</v>
      </c>
      <c r="B289" s="121" t="e">
        <f aca="false">VLOOKUP(A289,'Inputs-Summary'!$A$32:$E$41,4,FALSE())</f>
        <v>#N/A</v>
      </c>
      <c r="C289" s="122"/>
      <c r="D289" s="123" t="e">
        <f aca="false">B289+C289</f>
        <v>#N/A</v>
      </c>
      <c r="E289" s="111" t="n">
        <f aca="false">IF(Z289=0,0,IF(AND(Z289=1,$H$3=1),D289*U289,IF($H$3=2,D289,"N/A")))</f>
        <v>0</v>
      </c>
      <c r="F289" s="111" t="n">
        <f aca="false">E289*Y289</f>
        <v>0</v>
      </c>
      <c r="G289" s="124" t="n">
        <f aca="false">VLOOKUP($A289,Table,MATCH(G$4,Curves,0))</f>
        <v>3</v>
      </c>
      <c r="H289" s="125" t="n">
        <f aca="false">G289+$H$7</f>
        <v>3</v>
      </c>
      <c r="I289" s="124" t="n">
        <f aca="false">H289</f>
        <v>3</v>
      </c>
      <c r="J289" s="124" t="n">
        <f aca="false">VLOOKUP($A289,Table,MATCH(J$4,Curves,0))</f>
        <v>4</v>
      </c>
      <c r="K289" s="125" t="n">
        <f aca="false">J289+$K$7</f>
        <v>4</v>
      </c>
      <c r="L289" s="126" t="n">
        <f aca="false">K289</f>
        <v>4</v>
      </c>
      <c r="M289" s="124" t="n">
        <f aca="false">VLOOKUP($A289,Table,MATCH(M$4,Curves,0))</f>
        <v>4</v>
      </c>
      <c r="N289" s="125" t="n">
        <f aca="false">M289+$N$7</f>
        <v>4</v>
      </c>
      <c r="O289" s="126" t="n">
        <v>0.25</v>
      </c>
      <c r="P289" s="114"/>
      <c r="Q289" s="126" t="n">
        <f aca="false">M289+J289+G289</f>
        <v>11</v>
      </c>
      <c r="R289" s="126" t="n">
        <f aca="false">N289+K289+H289</f>
        <v>11</v>
      </c>
      <c r="S289" s="126" t="n">
        <f aca="false">O289+L289+I289</f>
        <v>7.25</v>
      </c>
      <c r="T289" s="127"/>
      <c r="U289" s="5" t="n">
        <f aca="false">A290-A289</f>
        <v>31</v>
      </c>
      <c r="V289" s="128" t="n">
        <f aca="false">CHOOSE(F$3,A290+24,A289)</f>
        <v>45778</v>
      </c>
      <c r="W289" s="5" t="n">
        <f aca="false">V289-C$3</f>
        <v>8547</v>
      </c>
      <c r="X289" s="124" t="n">
        <f aca="false">VLOOKUP($A289,Table,MATCH(X$4,Curves,0))</f>
        <v>2</v>
      </c>
      <c r="Y289" s="129" t="n">
        <f aca="false">1/(1+CHOOSE(F$3,(X290+($K$3/10000))/2,(X289+($K$3/10000))/2))^(2*W289/365.25)</f>
        <v>8.15734725349671E-015</v>
      </c>
      <c r="Z289" s="5" t="n">
        <f aca="false">IF(AND(mthbeg&lt;=A289,mthend&gt;=A289),1,0)</f>
        <v>0</v>
      </c>
      <c r="AA289" s="5" t="n">
        <f aca="false">U289*Z289</f>
        <v>0</v>
      </c>
      <c r="AC289" s="115" t="n">
        <f aca="false">IF(G282=2,F289*(S289-Q289),F289*(Q289-S289))</f>
        <v>0</v>
      </c>
      <c r="AE289" s="116" t="n">
        <f aca="false">IF($G$3=1,F289*(R289-Q289),F289*(Q289-R289))</f>
        <v>0</v>
      </c>
      <c r="AG289" s="116" t="n">
        <f aca="false">AC289+AE289</f>
        <v>0</v>
      </c>
    </row>
    <row r="290" customFormat="false" ht="12" hidden="false" customHeight="true" outlineLevel="0" collapsed="false">
      <c r="A290" s="120" t="n">
        <f aca="false">EDATE(A289,1)</f>
        <v>45809</v>
      </c>
      <c r="B290" s="121" t="e">
        <f aca="false">VLOOKUP(A290,'Inputs-Summary'!$A$32:$E$41,4,FALSE())</f>
        <v>#N/A</v>
      </c>
      <c r="C290" s="122"/>
      <c r="D290" s="123" t="e">
        <f aca="false">B290+C290</f>
        <v>#N/A</v>
      </c>
      <c r="E290" s="111" t="n">
        <f aca="false">IF(Z290=0,0,IF(AND(Z290=1,$H$3=1),D290*U290,IF($H$3=2,D290,"N/A")))</f>
        <v>0</v>
      </c>
      <c r="F290" s="111" t="n">
        <f aca="false">E290*Y290</f>
        <v>0</v>
      </c>
      <c r="G290" s="124" t="n">
        <f aca="false">VLOOKUP($A290,Table,MATCH(G$4,Curves,0))</f>
        <v>3</v>
      </c>
      <c r="H290" s="125" t="n">
        <f aca="false">G290+$H$7</f>
        <v>3</v>
      </c>
      <c r="I290" s="124" t="n">
        <f aca="false">H290</f>
        <v>3</v>
      </c>
      <c r="J290" s="124" t="n">
        <f aca="false">VLOOKUP($A290,Table,MATCH(J$4,Curves,0))</f>
        <v>4</v>
      </c>
      <c r="K290" s="125" t="n">
        <f aca="false">J290+$K$7</f>
        <v>4</v>
      </c>
      <c r="L290" s="126" t="n">
        <f aca="false">K290</f>
        <v>4</v>
      </c>
      <c r="M290" s="124" t="n">
        <f aca="false">VLOOKUP($A290,Table,MATCH(M$4,Curves,0))</f>
        <v>4</v>
      </c>
      <c r="N290" s="125" t="n">
        <f aca="false">M290+$N$7</f>
        <v>4</v>
      </c>
      <c r="O290" s="126" t="n">
        <v>0.25</v>
      </c>
      <c r="P290" s="114"/>
      <c r="Q290" s="126" t="n">
        <f aca="false">M290+J290+G290</f>
        <v>11</v>
      </c>
      <c r="R290" s="126" t="n">
        <f aca="false">N290+K290+H290</f>
        <v>11</v>
      </c>
      <c r="S290" s="126" t="n">
        <f aca="false">O290+L290+I290</f>
        <v>7.25</v>
      </c>
      <c r="T290" s="127"/>
      <c r="U290" s="5" t="n">
        <f aca="false">A291-A290</f>
        <v>30</v>
      </c>
      <c r="V290" s="128" t="n">
        <f aca="false">CHOOSE(F$3,A291+24,A290)</f>
        <v>45809</v>
      </c>
      <c r="W290" s="5" t="n">
        <f aca="false">V290-C$3</f>
        <v>8578</v>
      </c>
      <c r="X290" s="124" t="n">
        <f aca="false">VLOOKUP($A290,Table,MATCH(X$4,Curves,0))</f>
        <v>2</v>
      </c>
      <c r="Y290" s="129" t="n">
        <f aca="false">1/(1+CHOOSE(F$3,(X291+($K$3/10000))/2,(X290+($K$3/10000))/2))^(2*W290/365.25)</f>
        <v>7.25187128833142E-015</v>
      </c>
      <c r="Z290" s="5" t="n">
        <f aca="false">IF(AND(mthbeg&lt;=A290,mthend&gt;=A290),1,0)</f>
        <v>0</v>
      </c>
      <c r="AA290" s="5" t="n">
        <f aca="false">U290*Z290</f>
        <v>0</v>
      </c>
      <c r="AC290" s="115" t="n">
        <f aca="false">IF(G283=2,F290*(S290-Q290),F290*(Q290-S290))</f>
        <v>0</v>
      </c>
      <c r="AE290" s="116" t="n">
        <f aca="false">IF($G$3=1,F290*(R290-Q290),F290*(Q290-R290))</f>
        <v>0</v>
      </c>
      <c r="AG290" s="116" t="n">
        <f aca="false">AC290+AE290</f>
        <v>0</v>
      </c>
    </row>
    <row r="291" customFormat="false" ht="12" hidden="false" customHeight="true" outlineLevel="0" collapsed="false">
      <c r="A291" s="120" t="n">
        <f aca="false">EDATE(A290,1)</f>
        <v>45839</v>
      </c>
      <c r="B291" s="121" t="e">
        <f aca="false">VLOOKUP(A291,'Inputs-Summary'!$A$32:$E$41,4,FALSE())</f>
        <v>#N/A</v>
      </c>
      <c r="C291" s="122"/>
      <c r="D291" s="123" t="e">
        <f aca="false">B291+C291</f>
        <v>#N/A</v>
      </c>
      <c r="E291" s="111" t="n">
        <f aca="false">IF(Z291=0,0,IF(AND(Z291=1,$H$3=1),D291*U291,IF($H$3=2,D291,"N/A")))</f>
        <v>0</v>
      </c>
      <c r="F291" s="111" t="n">
        <f aca="false">E291*Y291</f>
        <v>0</v>
      </c>
      <c r="G291" s="124" t="n">
        <f aca="false">VLOOKUP($A291,Table,MATCH(G$4,Curves,0))</f>
        <v>3</v>
      </c>
      <c r="H291" s="125" t="n">
        <f aca="false">G291+$H$7</f>
        <v>3</v>
      </c>
      <c r="I291" s="124" t="n">
        <f aca="false">H291</f>
        <v>3</v>
      </c>
      <c r="J291" s="124" t="n">
        <f aca="false">VLOOKUP($A291,Table,MATCH(J$4,Curves,0))</f>
        <v>4</v>
      </c>
      <c r="K291" s="125" t="n">
        <f aca="false">J291+$K$7</f>
        <v>4</v>
      </c>
      <c r="L291" s="126" t="n">
        <f aca="false">K291</f>
        <v>4</v>
      </c>
      <c r="M291" s="124" t="n">
        <f aca="false">VLOOKUP($A291,Table,MATCH(M$4,Curves,0))</f>
        <v>4</v>
      </c>
      <c r="N291" s="125" t="n">
        <f aca="false">M291+$N$7</f>
        <v>4</v>
      </c>
      <c r="O291" s="126" t="n">
        <v>0.25</v>
      </c>
      <c r="P291" s="114"/>
      <c r="Q291" s="126" t="n">
        <f aca="false">M291+J291+G291</f>
        <v>11</v>
      </c>
      <c r="R291" s="126" t="n">
        <f aca="false">N291+K291+H291</f>
        <v>11</v>
      </c>
      <c r="S291" s="126" t="n">
        <f aca="false">O291+L291+I291</f>
        <v>7.25</v>
      </c>
      <c r="T291" s="127"/>
      <c r="U291" s="5" t="n">
        <f aca="false">A292-A291</f>
        <v>31</v>
      </c>
      <c r="V291" s="128" t="n">
        <f aca="false">CHOOSE(F$3,A292+24,A291)</f>
        <v>45839</v>
      </c>
      <c r="W291" s="5" t="n">
        <f aca="false">V291-C$3</f>
        <v>8608</v>
      </c>
      <c r="X291" s="124" t="n">
        <f aca="false">VLOOKUP($A291,Table,MATCH(X$4,Curves,0))</f>
        <v>2</v>
      </c>
      <c r="Y291" s="129" t="n">
        <f aca="false">1/(1+CHOOSE(F$3,(X292+($K$3/10000))/2,(X291+($K$3/10000))/2))^(2*W291/365.25)</f>
        <v>6.47141981967044E-015</v>
      </c>
      <c r="Z291" s="5" t="n">
        <f aca="false">IF(AND(mthbeg&lt;=A291,mthend&gt;=A291),1,0)</f>
        <v>0</v>
      </c>
      <c r="AA291" s="5" t="n">
        <f aca="false">U291*Z291</f>
        <v>0</v>
      </c>
      <c r="AC291" s="115" t="n">
        <f aca="false">IF(G284=2,F291*(S291-Q291),F291*(Q291-S291))</f>
        <v>0</v>
      </c>
      <c r="AE291" s="116" t="n">
        <f aca="false">IF($G$3=1,F291*(R291-Q291),F291*(Q291-R291))</f>
        <v>0</v>
      </c>
      <c r="AG291" s="116" t="n">
        <f aca="false">AC291+AE291</f>
        <v>0</v>
      </c>
    </row>
    <row r="292" customFormat="false" ht="12" hidden="false" customHeight="true" outlineLevel="0" collapsed="false">
      <c r="A292" s="120" t="n">
        <f aca="false">EDATE(A291,1)</f>
        <v>45870</v>
      </c>
      <c r="B292" s="121" t="e">
        <f aca="false">VLOOKUP(A292,'Inputs-Summary'!$A$32:$E$41,4,FALSE())</f>
        <v>#N/A</v>
      </c>
      <c r="C292" s="122"/>
      <c r="D292" s="123" t="e">
        <f aca="false">B292+C292</f>
        <v>#N/A</v>
      </c>
      <c r="E292" s="111" t="n">
        <f aca="false">IF(Z292=0,0,IF(AND(Z292=1,$H$3=1),D292*U292,IF($H$3=2,D292,"N/A")))</f>
        <v>0</v>
      </c>
      <c r="F292" s="111" t="n">
        <f aca="false">E292*Y292</f>
        <v>0</v>
      </c>
      <c r="G292" s="124" t="n">
        <f aca="false">VLOOKUP($A292,Table,MATCH(G$4,Curves,0))</f>
        <v>3</v>
      </c>
      <c r="H292" s="125" t="n">
        <f aca="false">G292+$H$7</f>
        <v>3</v>
      </c>
      <c r="I292" s="124" t="n">
        <f aca="false">H292</f>
        <v>3</v>
      </c>
      <c r="J292" s="124" t="n">
        <f aca="false">VLOOKUP($A292,Table,MATCH(J$4,Curves,0))</f>
        <v>4</v>
      </c>
      <c r="K292" s="125" t="n">
        <f aca="false">J292+$K$7</f>
        <v>4</v>
      </c>
      <c r="L292" s="126" t="n">
        <f aca="false">K292</f>
        <v>4</v>
      </c>
      <c r="M292" s="124" t="n">
        <f aca="false">VLOOKUP($A292,Table,MATCH(M$4,Curves,0))</f>
        <v>4</v>
      </c>
      <c r="N292" s="125" t="n">
        <f aca="false">M292+$N$7</f>
        <v>4</v>
      </c>
      <c r="O292" s="126" t="n">
        <v>0.25</v>
      </c>
      <c r="P292" s="114"/>
      <c r="Q292" s="126" t="n">
        <f aca="false">M292+J292+G292</f>
        <v>11</v>
      </c>
      <c r="R292" s="126" t="n">
        <f aca="false">N292+K292+H292</f>
        <v>11</v>
      </c>
      <c r="S292" s="126" t="n">
        <f aca="false">O292+L292+I292</f>
        <v>7.25</v>
      </c>
      <c r="T292" s="127"/>
      <c r="U292" s="5" t="n">
        <f aca="false">A293-A292</f>
        <v>31</v>
      </c>
      <c r="V292" s="128" t="n">
        <f aca="false">CHOOSE(F$3,A293+24,A292)</f>
        <v>45870</v>
      </c>
      <c r="W292" s="5" t="n">
        <f aca="false">V292-C$3</f>
        <v>8639</v>
      </c>
      <c r="X292" s="124" t="n">
        <f aca="false">VLOOKUP($A292,Table,MATCH(X$4,Curves,0))</f>
        <v>2</v>
      </c>
      <c r="Y292" s="129" t="n">
        <f aca="false">1/(1+CHOOSE(F$3,(X293+($K$3/10000))/2,(X292+($K$3/10000))/2))^(2*W292/365.25)</f>
        <v>5.7530839532288E-015</v>
      </c>
      <c r="Z292" s="5" t="n">
        <f aca="false">IF(AND(mthbeg&lt;=A292,mthend&gt;=A292),1,0)</f>
        <v>0</v>
      </c>
      <c r="AA292" s="5" t="n">
        <f aca="false">U292*Z292</f>
        <v>0</v>
      </c>
      <c r="AC292" s="115" t="n">
        <f aca="false">IF(G285=2,F292*(S292-Q292),F292*(Q292-S292))</f>
        <v>0</v>
      </c>
      <c r="AE292" s="116" t="n">
        <f aca="false">IF($G$3=1,F292*(R292-Q292),F292*(Q292-R292))</f>
        <v>0</v>
      </c>
      <c r="AG292" s="116" t="n">
        <f aca="false">AC292+AE292</f>
        <v>0</v>
      </c>
    </row>
    <row r="293" customFormat="false" ht="12" hidden="false" customHeight="true" outlineLevel="0" collapsed="false">
      <c r="A293" s="120" t="n">
        <f aca="false">EDATE(A292,1)</f>
        <v>45901</v>
      </c>
      <c r="B293" s="121" t="e">
        <f aca="false">VLOOKUP(A293,'Inputs-Summary'!$A$32:$E$41,4,FALSE())</f>
        <v>#N/A</v>
      </c>
      <c r="C293" s="122"/>
      <c r="D293" s="123" t="e">
        <f aca="false">B293+C293</f>
        <v>#N/A</v>
      </c>
      <c r="E293" s="111" t="n">
        <f aca="false">IF(Z293=0,0,IF(AND(Z293=1,$H$3=1),D293*U293,IF($H$3=2,D293,"N/A")))</f>
        <v>0</v>
      </c>
      <c r="F293" s="111" t="n">
        <f aca="false">E293*Y293</f>
        <v>0</v>
      </c>
      <c r="G293" s="124" t="n">
        <f aca="false">VLOOKUP($A293,Table,MATCH(G$4,Curves,0))</f>
        <v>3</v>
      </c>
      <c r="H293" s="125" t="n">
        <f aca="false">G293+$H$7</f>
        <v>3</v>
      </c>
      <c r="I293" s="124" t="n">
        <f aca="false">H293</f>
        <v>3</v>
      </c>
      <c r="J293" s="124" t="n">
        <f aca="false">VLOOKUP($A293,Table,MATCH(J$4,Curves,0))</f>
        <v>4</v>
      </c>
      <c r="K293" s="125" t="n">
        <f aca="false">J293+$K$7</f>
        <v>4</v>
      </c>
      <c r="L293" s="126" t="n">
        <f aca="false">K293</f>
        <v>4</v>
      </c>
      <c r="M293" s="124" t="n">
        <f aca="false">VLOOKUP($A293,Table,MATCH(M$4,Curves,0))</f>
        <v>4</v>
      </c>
      <c r="N293" s="125" t="n">
        <f aca="false">M293+$N$7</f>
        <v>4</v>
      </c>
      <c r="O293" s="126" t="n">
        <v>0.25</v>
      </c>
      <c r="P293" s="114"/>
      <c r="Q293" s="126" t="n">
        <f aca="false">M293+J293+G293</f>
        <v>11</v>
      </c>
      <c r="R293" s="126" t="n">
        <f aca="false">N293+K293+H293</f>
        <v>11</v>
      </c>
      <c r="S293" s="126" t="n">
        <f aca="false">O293+L293+I293</f>
        <v>7.25</v>
      </c>
      <c r="T293" s="127"/>
      <c r="U293" s="5" t="n">
        <f aca="false">A294-A293</f>
        <v>30</v>
      </c>
      <c r="V293" s="128" t="n">
        <f aca="false">CHOOSE(F$3,A294+24,A293)</f>
        <v>45901</v>
      </c>
      <c r="W293" s="5" t="n">
        <f aca="false">V293-C$3</f>
        <v>8670</v>
      </c>
      <c r="X293" s="124" t="n">
        <f aca="false">VLOOKUP($A293,Table,MATCH(X$4,Curves,0))</f>
        <v>2</v>
      </c>
      <c r="Y293" s="129" t="n">
        <f aca="false">1/(1+CHOOSE(F$3,(X294+($K$3/10000))/2,(X293+($K$3/10000))/2))^(2*W293/365.25)</f>
        <v>5.11448428554961E-015</v>
      </c>
      <c r="Z293" s="5" t="n">
        <f aca="false">IF(AND(mthbeg&lt;=A293,mthend&gt;=A293),1,0)</f>
        <v>0</v>
      </c>
      <c r="AA293" s="5" t="n">
        <f aca="false">U293*Z293</f>
        <v>0</v>
      </c>
      <c r="AC293" s="115" t="n">
        <f aca="false">IF(G286=2,F293*(S293-Q293),F293*(Q293-S293))</f>
        <v>0</v>
      </c>
      <c r="AE293" s="116" t="n">
        <f aca="false">IF($G$3=1,F293*(R293-Q293),F293*(Q293-R293))</f>
        <v>0</v>
      </c>
      <c r="AG293" s="116" t="n">
        <f aca="false">AC293+AE293</f>
        <v>0</v>
      </c>
    </row>
    <row r="294" customFormat="false" ht="12" hidden="false" customHeight="true" outlineLevel="0" collapsed="false">
      <c r="A294" s="120" t="n">
        <f aca="false">EDATE(A293,1)</f>
        <v>45931</v>
      </c>
      <c r="B294" s="121" t="e">
        <f aca="false">VLOOKUP(A294,'Inputs-Summary'!$A$32:$E$41,4,FALSE())</f>
        <v>#N/A</v>
      </c>
      <c r="C294" s="122"/>
      <c r="D294" s="123" t="e">
        <f aca="false">B294+C294</f>
        <v>#N/A</v>
      </c>
      <c r="E294" s="111" t="n">
        <f aca="false">IF(Z294=0,0,IF(AND(Z294=1,$H$3=1),D294*U294,IF($H$3=2,D294,"N/A")))</f>
        <v>0</v>
      </c>
      <c r="F294" s="111" t="n">
        <f aca="false">E294*Y294</f>
        <v>0</v>
      </c>
      <c r="G294" s="124" t="n">
        <f aca="false">VLOOKUP($A294,Table,MATCH(G$4,Curves,0))</f>
        <v>3</v>
      </c>
      <c r="H294" s="125" t="n">
        <f aca="false">G294+$H$7</f>
        <v>3</v>
      </c>
      <c r="I294" s="124" t="n">
        <f aca="false">H294</f>
        <v>3</v>
      </c>
      <c r="J294" s="124" t="n">
        <f aca="false">VLOOKUP($A294,Table,MATCH(J$4,Curves,0))</f>
        <v>4</v>
      </c>
      <c r="K294" s="125" t="n">
        <f aca="false">J294+$K$7</f>
        <v>4</v>
      </c>
      <c r="L294" s="126" t="n">
        <f aca="false">K294</f>
        <v>4</v>
      </c>
      <c r="M294" s="124" t="n">
        <f aca="false">VLOOKUP($A294,Table,MATCH(M$4,Curves,0))</f>
        <v>4</v>
      </c>
      <c r="N294" s="125" t="n">
        <f aca="false">M294+$N$7</f>
        <v>4</v>
      </c>
      <c r="O294" s="126" t="n">
        <v>0.25</v>
      </c>
      <c r="P294" s="114"/>
      <c r="Q294" s="126" t="n">
        <f aca="false">M294+J294+G294</f>
        <v>11</v>
      </c>
      <c r="R294" s="126" t="n">
        <f aca="false">N294+K294+H294</f>
        <v>11</v>
      </c>
      <c r="S294" s="126" t="n">
        <f aca="false">O294+L294+I294</f>
        <v>7.25</v>
      </c>
      <c r="T294" s="127"/>
      <c r="U294" s="5" t="n">
        <f aca="false">A295-A294</f>
        <v>31</v>
      </c>
      <c r="V294" s="128" t="n">
        <f aca="false">CHOOSE(F$3,A295+24,A294)</f>
        <v>45931</v>
      </c>
      <c r="W294" s="5" t="n">
        <f aca="false">V294-C$3</f>
        <v>8700</v>
      </c>
      <c r="X294" s="124" t="n">
        <f aca="false">VLOOKUP($A294,Table,MATCH(X$4,Curves,0))</f>
        <v>2</v>
      </c>
      <c r="Y294" s="129" t="n">
        <f aca="false">1/(1+CHOOSE(F$3,(X295+($K$3/10000))/2,(X294+($K$3/10000))/2))^(2*W294/365.25)</f>
        <v>4.56405990356653E-015</v>
      </c>
      <c r="Z294" s="5" t="n">
        <f aca="false">IF(AND(mthbeg&lt;=A294,mthend&gt;=A294),1,0)</f>
        <v>0</v>
      </c>
      <c r="AA294" s="5" t="n">
        <f aca="false">U294*Z294</f>
        <v>0</v>
      </c>
      <c r="AC294" s="115" t="n">
        <f aca="false">IF(G287=2,F294*(S294-Q294),F294*(Q294-S294))</f>
        <v>0</v>
      </c>
      <c r="AE294" s="116" t="n">
        <f aca="false">IF($G$3=1,F294*(R294-Q294),F294*(Q294-R294))</f>
        <v>0</v>
      </c>
      <c r="AG294" s="116" t="n">
        <f aca="false">AC294+AE294</f>
        <v>0</v>
      </c>
    </row>
    <row r="295" customFormat="false" ht="12" hidden="false" customHeight="true" outlineLevel="0" collapsed="false">
      <c r="A295" s="120" t="n">
        <f aca="false">EDATE(A294,1)</f>
        <v>45962</v>
      </c>
      <c r="B295" s="121" t="e">
        <f aca="false">VLOOKUP(A295,'Inputs-Summary'!$A$32:$E$41,4,FALSE())</f>
        <v>#N/A</v>
      </c>
      <c r="C295" s="122"/>
      <c r="D295" s="123" t="e">
        <f aca="false">B295+C295</f>
        <v>#N/A</v>
      </c>
      <c r="E295" s="111" t="n">
        <f aca="false">IF(Z295=0,0,IF(AND(Z295=1,$H$3=1),D295*U295,IF($H$3=2,D295,"N/A")))</f>
        <v>0</v>
      </c>
      <c r="F295" s="111" t="n">
        <f aca="false">E295*Y295</f>
        <v>0</v>
      </c>
      <c r="G295" s="124" t="n">
        <f aca="false">VLOOKUP($A295,Table,MATCH(G$4,Curves,0))</f>
        <v>3</v>
      </c>
      <c r="H295" s="125" t="n">
        <f aca="false">G295+$H$7</f>
        <v>3</v>
      </c>
      <c r="I295" s="124" t="n">
        <f aca="false">H295</f>
        <v>3</v>
      </c>
      <c r="J295" s="124" t="n">
        <f aca="false">VLOOKUP($A295,Table,MATCH(J$4,Curves,0))</f>
        <v>4</v>
      </c>
      <c r="K295" s="125" t="n">
        <f aca="false">J295+$K$7</f>
        <v>4</v>
      </c>
      <c r="L295" s="126" t="n">
        <f aca="false">K295</f>
        <v>4</v>
      </c>
      <c r="M295" s="124" t="n">
        <f aca="false">VLOOKUP($A295,Table,MATCH(M$4,Curves,0))</f>
        <v>4</v>
      </c>
      <c r="N295" s="125" t="n">
        <f aca="false">M295+$N$7</f>
        <v>4</v>
      </c>
      <c r="O295" s="126" t="n">
        <v>0.25</v>
      </c>
      <c r="P295" s="114"/>
      <c r="Q295" s="126" t="n">
        <f aca="false">M295+J295+G295</f>
        <v>11</v>
      </c>
      <c r="R295" s="126" t="n">
        <f aca="false">N295+K295+H295</f>
        <v>11</v>
      </c>
      <c r="S295" s="126" t="n">
        <f aca="false">O295+L295+I295</f>
        <v>7.25</v>
      </c>
      <c r="T295" s="127"/>
      <c r="U295" s="5" t="n">
        <f aca="false">A296-A295</f>
        <v>30</v>
      </c>
      <c r="V295" s="128" t="n">
        <f aca="false">CHOOSE(F$3,A296+24,A295)</f>
        <v>45962</v>
      </c>
      <c r="W295" s="5" t="n">
        <f aca="false">V295-C$3</f>
        <v>8731</v>
      </c>
      <c r="X295" s="124" t="n">
        <f aca="false">VLOOKUP($A295,Table,MATCH(X$4,Curves,0))</f>
        <v>2</v>
      </c>
      <c r="Y295" s="129" t="n">
        <f aca="false">1/(1+CHOOSE(F$3,(X296+($K$3/10000))/2,(X295+($K$3/10000))/2))^(2*W295/365.25)</f>
        <v>4.05744342423464E-015</v>
      </c>
      <c r="Z295" s="5" t="n">
        <f aca="false">IF(AND(mthbeg&lt;=A295,mthend&gt;=A295),1,0)</f>
        <v>0</v>
      </c>
      <c r="AA295" s="5" t="n">
        <f aca="false">U295*Z295</f>
        <v>0</v>
      </c>
      <c r="AC295" s="115" t="n">
        <f aca="false">IF(G288=2,F295*(S295-Q295),F295*(Q295-S295))</f>
        <v>0</v>
      </c>
      <c r="AE295" s="116" t="n">
        <f aca="false">IF($G$3=1,F295*(R295-Q295),F295*(Q295-R295))</f>
        <v>0</v>
      </c>
      <c r="AG295" s="116" t="n">
        <f aca="false">AC295+AE295</f>
        <v>0</v>
      </c>
    </row>
    <row r="296" customFormat="false" ht="12" hidden="false" customHeight="true" outlineLevel="0" collapsed="false">
      <c r="A296" s="120" t="n">
        <f aca="false">EDATE(A295,1)</f>
        <v>45992</v>
      </c>
      <c r="B296" s="121" t="e">
        <f aca="false">VLOOKUP(A296,'Inputs-Summary'!$A$32:$E$41,4,FALSE())</f>
        <v>#N/A</v>
      </c>
      <c r="C296" s="122"/>
      <c r="D296" s="123" t="e">
        <f aca="false">B296+C296</f>
        <v>#N/A</v>
      </c>
      <c r="E296" s="111" t="n">
        <f aca="false">IF(Z296=0,0,IF(AND(Z296=1,$H$3=1),D296*U296,IF($H$3=2,D296,"N/A")))</f>
        <v>0</v>
      </c>
      <c r="F296" s="111" t="n">
        <f aca="false">E296*Y296</f>
        <v>0</v>
      </c>
      <c r="G296" s="124" t="n">
        <f aca="false">VLOOKUP($A296,Table,MATCH(G$4,Curves,0))</f>
        <v>3</v>
      </c>
      <c r="H296" s="125" t="n">
        <f aca="false">G296+$H$7</f>
        <v>3</v>
      </c>
      <c r="I296" s="124" t="n">
        <f aca="false">H296</f>
        <v>3</v>
      </c>
      <c r="J296" s="124" t="n">
        <f aca="false">VLOOKUP($A296,Table,MATCH(J$4,Curves,0))</f>
        <v>4</v>
      </c>
      <c r="K296" s="125" t="n">
        <f aca="false">J296+$K$7</f>
        <v>4</v>
      </c>
      <c r="L296" s="126" t="n">
        <f aca="false">K296</f>
        <v>4</v>
      </c>
      <c r="M296" s="124" t="n">
        <f aca="false">VLOOKUP($A296,Table,MATCH(M$4,Curves,0))</f>
        <v>4</v>
      </c>
      <c r="N296" s="125" t="n">
        <f aca="false">M296+$N$7</f>
        <v>4</v>
      </c>
      <c r="O296" s="126" t="n">
        <v>0.25</v>
      </c>
      <c r="P296" s="114"/>
      <c r="Q296" s="126" t="n">
        <f aca="false">M296+J296+G296</f>
        <v>11</v>
      </c>
      <c r="R296" s="126" t="n">
        <f aca="false">N296+K296+H296</f>
        <v>11</v>
      </c>
      <c r="S296" s="126" t="n">
        <f aca="false">O296+L296+I296</f>
        <v>7.25</v>
      </c>
      <c r="T296" s="127"/>
      <c r="U296" s="5" t="n">
        <f aca="false">A297-A296</f>
        <v>31</v>
      </c>
      <c r="V296" s="128" t="n">
        <f aca="false">CHOOSE(F$3,A297+24,A296)</f>
        <v>45992</v>
      </c>
      <c r="W296" s="5" t="n">
        <f aca="false">V296-C$3</f>
        <v>8761</v>
      </c>
      <c r="X296" s="124" t="n">
        <f aca="false">VLOOKUP($A296,Table,MATCH(X$4,Curves,0))</f>
        <v>2</v>
      </c>
      <c r="Y296" s="129" t="n">
        <f aca="false">1/(1+CHOOSE(F$3,(X297+($K$3/10000))/2,(X296+($K$3/10000))/2))^(2*W296/365.25)</f>
        <v>3.62077852030178E-015</v>
      </c>
      <c r="Z296" s="5" t="n">
        <f aca="false">IF(AND(mthbeg&lt;=A296,mthend&gt;=A296),1,0)</f>
        <v>0</v>
      </c>
      <c r="AA296" s="5" t="n">
        <f aca="false">U296*Z296</f>
        <v>0</v>
      </c>
      <c r="AC296" s="115" t="n">
        <f aca="false">IF(G289=2,F296*(S296-Q296),F296*(Q296-S296))</f>
        <v>0</v>
      </c>
      <c r="AE296" s="116" t="n">
        <f aca="false">IF($G$3=1,F296*(R296-Q296),F296*(Q296-R296))</f>
        <v>0</v>
      </c>
      <c r="AG296" s="116" t="n">
        <f aca="false">AC296+AE296</f>
        <v>0</v>
      </c>
    </row>
    <row r="297" customFormat="false" ht="12" hidden="false" customHeight="true" outlineLevel="0" collapsed="false">
      <c r="A297" s="120" t="n">
        <f aca="false">EDATE(A296,1)</f>
        <v>46023</v>
      </c>
      <c r="B297" s="121" t="e">
        <f aca="false">VLOOKUP(A297,'Inputs-Summary'!$A$32:$E$41,4,FALSE())</f>
        <v>#N/A</v>
      </c>
      <c r="C297" s="122"/>
      <c r="D297" s="123" t="e">
        <f aca="false">B297+C297</f>
        <v>#N/A</v>
      </c>
      <c r="E297" s="111" t="n">
        <f aca="false">IF(Z297=0,0,IF(AND(Z297=1,$H$3=1),D297*U297,IF($H$3=2,D297,"N/A")))</f>
        <v>0</v>
      </c>
      <c r="F297" s="111" t="n">
        <f aca="false">E297*Y297</f>
        <v>0</v>
      </c>
      <c r="G297" s="124" t="n">
        <f aca="false">VLOOKUP($A297,Table,MATCH(G$4,Curves,0))</f>
        <v>3</v>
      </c>
      <c r="H297" s="125" t="n">
        <f aca="false">G297+$H$7</f>
        <v>3</v>
      </c>
      <c r="I297" s="124" t="n">
        <f aca="false">H297</f>
        <v>3</v>
      </c>
      <c r="J297" s="124" t="n">
        <f aca="false">VLOOKUP($A297,Table,MATCH(J$4,Curves,0))</f>
        <v>4</v>
      </c>
      <c r="K297" s="125" t="n">
        <f aca="false">J297+$K$7</f>
        <v>4</v>
      </c>
      <c r="L297" s="126" t="n">
        <f aca="false">K297</f>
        <v>4</v>
      </c>
      <c r="M297" s="124" t="n">
        <f aca="false">VLOOKUP($A297,Table,MATCH(M$4,Curves,0))</f>
        <v>4</v>
      </c>
      <c r="N297" s="125" t="n">
        <f aca="false">M297+$N$7</f>
        <v>4</v>
      </c>
      <c r="O297" s="126" t="n">
        <v>0.25</v>
      </c>
      <c r="P297" s="114"/>
      <c r="Q297" s="126" t="n">
        <f aca="false">M297+J297+G297</f>
        <v>11</v>
      </c>
      <c r="R297" s="126" t="n">
        <f aca="false">N297+K297+H297</f>
        <v>11</v>
      </c>
      <c r="S297" s="126" t="n">
        <f aca="false">O297+L297+I297</f>
        <v>7.25</v>
      </c>
      <c r="T297" s="127"/>
      <c r="U297" s="5" t="n">
        <f aca="false">A298-A297</f>
        <v>31</v>
      </c>
      <c r="V297" s="128" t="n">
        <f aca="false">CHOOSE(F$3,A298+24,A297)</f>
        <v>46023</v>
      </c>
      <c r="W297" s="5" t="n">
        <f aca="false">V297-C$3</f>
        <v>8792</v>
      </c>
      <c r="X297" s="124" t="n">
        <f aca="false">VLOOKUP($A297,Table,MATCH(X$4,Curves,0))</f>
        <v>2</v>
      </c>
      <c r="Y297" s="129" t="n">
        <f aca="false">1/(1+CHOOSE(F$3,(X298+($K$3/10000))/2,(X297+($K$3/10000))/2))^(2*W297/365.25)</f>
        <v>3.21886747944047E-015</v>
      </c>
      <c r="Z297" s="5" t="n">
        <f aca="false">IF(AND(mthbeg&lt;=A297,mthend&gt;=A297),1,0)</f>
        <v>0</v>
      </c>
      <c r="AA297" s="5" t="n">
        <f aca="false">U297*Z297</f>
        <v>0</v>
      </c>
      <c r="AC297" s="115" t="n">
        <f aca="false">IF(G290=2,F297*(S297-Q297),F297*(Q297-S297))</f>
        <v>0</v>
      </c>
      <c r="AE297" s="116" t="n">
        <f aca="false">IF($G$3=1,F297*(R297-Q297),F297*(Q297-R297))</f>
        <v>0</v>
      </c>
      <c r="AG297" s="116" t="n">
        <f aca="false">AC297+AE297</f>
        <v>0</v>
      </c>
    </row>
    <row r="298" customFormat="false" ht="12" hidden="false" customHeight="true" outlineLevel="0" collapsed="false">
      <c r="A298" s="120" t="n">
        <f aca="false">EDATE(A297,1)</f>
        <v>46054</v>
      </c>
      <c r="B298" s="121" t="e">
        <f aca="false">VLOOKUP(A298,'Inputs-Summary'!$A$32:$E$41,4,FALSE())</f>
        <v>#N/A</v>
      </c>
      <c r="C298" s="122"/>
      <c r="D298" s="123" t="e">
        <f aca="false">B298+C298</f>
        <v>#N/A</v>
      </c>
      <c r="E298" s="111" t="n">
        <f aca="false">IF(Z298=0,0,IF(AND(Z298=1,$H$3=1),D298*U298,IF($H$3=2,D298,"N/A")))</f>
        <v>0</v>
      </c>
      <c r="F298" s="111" t="n">
        <f aca="false">E298*Y298</f>
        <v>0</v>
      </c>
      <c r="G298" s="124" t="n">
        <f aca="false">VLOOKUP($A298,Table,MATCH(G$4,Curves,0))</f>
        <v>3</v>
      </c>
      <c r="H298" s="125" t="n">
        <f aca="false">G298+$H$7</f>
        <v>3</v>
      </c>
      <c r="I298" s="124" t="n">
        <f aca="false">H298</f>
        <v>3</v>
      </c>
      <c r="J298" s="124" t="n">
        <f aca="false">VLOOKUP($A298,Table,MATCH(J$4,Curves,0))</f>
        <v>4</v>
      </c>
      <c r="K298" s="125" t="n">
        <f aca="false">J298+$K$7</f>
        <v>4</v>
      </c>
      <c r="L298" s="126" t="n">
        <f aca="false">K298</f>
        <v>4</v>
      </c>
      <c r="M298" s="124" t="n">
        <f aca="false">VLOOKUP($A298,Table,MATCH(M$4,Curves,0))</f>
        <v>4</v>
      </c>
      <c r="N298" s="125" t="n">
        <f aca="false">M298+$N$7</f>
        <v>4</v>
      </c>
      <c r="O298" s="126" t="n">
        <v>0.25</v>
      </c>
      <c r="P298" s="114"/>
      <c r="Q298" s="126" t="n">
        <f aca="false">M298+J298+G298</f>
        <v>11</v>
      </c>
      <c r="R298" s="126" t="n">
        <f aca="false">N298+K298+H298</f>
        <v>11</v>
      </c>
      <c r="S298" s="126" t="n">
        <f aca="false">O298+L298+I298</f>
        <v>7.25</v>
      </c>
      <c r="T298" s="127"/>
      <c r="U298" s="5" t="n">
        <f aca="false">A299-A298</f>
        <v>28</v>
      </c>
      <c r="V298" s="128" t="n">
        <f aca="false">CHOOSE(F$3,A299+24,A298)</f>
        <v>46054</v>
      </c>
      <c r="W298" s="5" t="n">
        <f aca="false">V298-C$3</f>
        <v>8823</v>
      </c>
      <c r="X298" s="124" t="n">
        <f aca="false">VLOOKUP($A298,Table,MATCH(X$4,Curves,0))</f>
        <v>2</v>
      </c>
      <c r="Y298" s="129" t="n">
        <f aca="false">1/(1+CHOOSE(F$3,(X299+($K$3/10000))/2,(X298+($K$3/10000))/2))^(2*W298/365.25)</f>
        <v>2.86156907750764E-015</v>
      </c>
      <c r="Z298" s="5" t="n">
        <f aca="false">IF(AND(mthbeg&lt;=A298,mthend&gt;=A298),1,0)</f>
        <v>0</v>
      </c>
      <c r="AA298" s="5" t="n">
        <f aca="false">U298*Z298</f>
        <v>0</v>
      </c>
      <c r="AC298" s="115" t="n">
        <f aca="false">IF(G291=2,F298*(S298-Q298),F298*(Q298-S298))</f>
        <v>0</v>
      </c>
      <c r="AE298" s="116" t="n">
        <f aca="false">IF($G$3=1,F298*(R298-Q298),F298*(Q298-R298))</f>
        <v>0</v>
      </c>
      <c r="AG298" s="116" t="n">
        <f aca="false">AC298+AE298</f>
        <v>0</v>
      </c>
    </row>
    <row r="299" customFormat="false" ht="12" hidden="false" customHeight="true" outlineLevel="0" collapsed="false">
      <c r="A299" s="120" t="n">
        <f aca="false">EDATE(A298,1)</f>
        <v>46082</v>
      </c>
      <c r="B299" s="121" t="e">
        <f aca="false">VLOOKUP(A299,'Inputs-Summary'!$A$32:$E$41,4,FALSE())</f>
        <v>#N/A</v>
      </c>
      <c r="C299" s="122"/>
      <c r="D299" s="123" t="e">
        <f aca="false">B299+C299</f>
        <v>#N/A</v>
      </c>
      <c r="E299" s="111" t="n">
        <f aca="false">IF(Z299=0,0,IF(AND(Z299=1,$H$3=1),D299*U299,IF($H$3=2,D299,"N/A")))</f>
        <v>0</v>
      </c>
      <c r="F299" s="111" t="n">
        <f aca="false">E299*Y299</f>
        <v>0</v>
      </c>
      <c r="G299" s="124" t="n">
        <f aca="false">VLOOKUP($A299,Table,MATCH(G$4,Curves,0))</f>
        <v>3</v>
      </c>
      <c r="H299" s="125" t="n">
        <f aca="false">G299+$H$7</f>
        <v>3</v>
      </c>
      <c r="I299" s="124" t="n">
        <f aca="false">H299</f>
        <v>3</v>
      </c>
      <c r="J299" s="124" t="n">
        <f aca="false">VLOOKUP($A299,Table,MATCH(J$4,Curves,0))</f>
        <v>4</v>
      </c>
      <c r="K299" s="125" t="n">
        <f aca="false">J299+$K$7</f>
        <v>4</v>
      </c>
      <c r="L299" s="126" t="n">
        <f aca="false">K299</f>
        <v>4</v>
      </c>
      <c r="M299" s="124" t="n">
        <f aca="false">VLOOKUP($A299,Table,MATCH(M$4,Curves,0))</f>
        <v>4</v>
      </c>
      <c r="N299" s="125" t="n">
        <f aca="false">M299+$N$7</f>
        <v>4</v>
      </c>
      <c r="O299" s="126" t="n">
        <v>0.25</v>
      </c>
      <c r="P299" s="114"/>
      <c r="Q299" s="126" t="n">
        <f aca="false">M299+J299+G299</f>
        <v>11</v>
      </c>
      <c r="R299" s="126" t="n">
        <f aca="false">N299+K299+H299</f>
        <v>11</v>
      </c>
      <c r="S299" s="126" t="n">
        <f aca="false">O299+L299+I299</f>
        <v>7.25</v>
      </c>
      <c r="T299" s="127"/>
      <c r="U299" s="5" t="n">
        <f aca="false">A300-A299</f>
        <v>31</v>
      </c>
      <c r="V299" s="128" t="n">
        <f aca="false">CHOOSE(F$3,A300+24,A299)</f>
        <v>46082</v>
      </c>
      <c r="W299" s="5" t="n">
        <f aca="false">V299-C$3</f>
        <v>8851</v>
      </c>
      <c r="X299" s="124" t="n">
        <f aca="false">VLOOKUP($A299,Table,MATCH(X$4,Curves,0))</f>
        <v>2</v>
      </c>
      <c r="Y299" s="129" t="n">
        <f aca="false">1/(1+CHOOSE(F$3,(X300+($K$3/10000))/2,(X299+($K$3/10000))/2))^(2*W299/365.25)</f>
        <v>2.57306301501248E-015</v>
      </c>
      <c r="Z299" s="5" t="n">
        <f aca="false">IF(AND(mthbeg&lt;=A299,mthend&gt;=A299),1,0)</f>
        <v>0</v>
      </c>
      <c r="AA299" s="5" t="n">
        <f aca="false">U299*Z299</f>
        <v>0</v>
      </c>
      <c r="AC299" s="115" t="n">
        <f aca="false">IF(G292=2,F299*(S299-Q299),F299*(Q299-S299))</f>
        <v>0</v>
      </c>
      <c r="AE299" s="116" t="n">
        <f aca="false">IF($G$3=1,F299*(R299-Q299),F299*(Q299-R299))</f>
        <v>0</v>
      </c>
      <c r="AG299" s="116" t="n">
        <f aca="false">AC299+AE299</f>
        <v>0</v>
      </c>
    </row>
    <row r="300" customFormat="false" ht="12" hidden="false" customHeight="true" outlineLevel="0" collapsed="false">
      <c r="A300" s="120" t="n">
        <f aca="false">EDATE(A299,1)</f>
        <v>46113</v>
      </c>
      <c r="B300" s="121" t="e">
        <f aca="false">VLOOKUP(A300,'Inputs-Summary'!$A$32:$E$41,4,FALSE())</f>
        <v>#N/A</v>
      </c>
      <c r="C300" s="122"/>
      <c r="D300" s="123" t="e">
        <f aca="false">B300+C300</f>
        <v>#N/A</v>
      </c>
      <c r="E300" s="111" t="n">
        <f aca="false">IF(Z300=0,0,IF(AND(Z300=1,$H$3=1),D300*U300,IF($H$3=2,D300,"N/A")))</f>
        <v>0</v>
      </c>
      <c r="F300" s="111" t="n">
        <f aca="false">E300*Y300</f>
        <v>0</v>
      </c>
      <c r="G300" s="124" t="n">
        <f aca="false">VLOOKUP($A300,Table,MATCH(G$4,Curves,0))</f>
        <v>3</v>
      </c>
      <c r="H300" s="125" t="n">
        <f aca="false">G300+$H$7</f>
        <v>3</v>
      </c>
      <c r="I300" s="124" t="n">
        <f aca="false">H300</f>
        <v>3</v>
      </c>
      <c r="J300" s="124" t="n">
        <f aca="false">VLOOKUP($A300,Table,MATCH(J$4,Curves,0))</f>
        <v>4</v>
      </c>
      <c r="K300" s="125" t="n">
        <f aca="false">J300+$K$7</f>
        <v>4</v>
      </c>
      <c r="L300" s="126" t="n">
        <f aca="false">K300</f>
        <v>4</v>
      </c>
      <c r="M300" s="124" t="n">
        <f aca="false">VLOOKUP($A300,Table,MATCH(M$4,Curves,0))</f>
        <v>4</v>
      </c>
      <c r="N300" s="125" t="n">
        <f aca="false">M300+$N$7</f>
        <v>4</v>
      </c>
      <c r="O300" s="126" t="n">
        <v>0.25</v>
      </c>
      <c r="P300" s="114"/>
      <c r="Q300" s="126" t="n">
        <f aca="false">M300+J300+G300</f>
        <v>11</v>
      </c>
      <c r="R300" s="126" t="n">
        <f aca="false">N300+K300+H300</f>
        <v>11</v>
      </c>
      <c r="S300" s="126" t="n">
        <f aca="false">O300+L300+I300</f>
        <v>7.25</v>
      </c>
      <c r="T300" s="127"/>
      <c r="U300" s="5" t="n">
        <f aca="false">A301-A300</f>
        <v>30</v>
      </c>
      <c r="V300" s="128" t="n">
        <f aca="false">CHOOSE(F$3,A301+24,A300)</f>
        <v>46113</v>
      </c>
      <c r="W300" s="5" t="n">
        <f aca="false">V300-C$3</f>
        <v>8882</v>
      </c>
      <c r="X300" s="124" t="n">
        <f aca="false">VLOOKUP($A300,Table,MATCH(X$4,Curves,0))</f>
        <v>2</v>
      </c>
      <c r="Y300" s="129" t="n">
        <f aca="false">1/(1+CHOOSE(F$3,(X301+($K$3/10000))/2,(X300+($K$3/10000))/2))^(2*W300/365.25)</f>
        <v>2.28744973356847E-015</v>
      </c>
      <c r="Z300" s="5" t="n">
        <f aca="false">IF(AND(mthbeg&lt;=A300,mthend&gt;=A300),1,0)</f>
        <v>0</v>
      </c>
      <c r="AA300" s="5" t="n">
        <f aca="false">U300*Z300</f>
        <v>0</v>
      </c>
      <c r="AC300" s="115" t="n">
        <f aca="false">IF(G293=2,F300*(S300-Q300),F300*(Q300-S300))</f>
        <v>0</v>
      </c>
      <c r="AE300" s="116" t="n">
        <f aca="false">IF($G$3=1,F300*(R300-Q300),F300*(Q300-R300))</f>
        <v>0</v>
      </c>
      <c r="AG300" s="116" t="n">
        <f aca="false">AC300+AE300</f>
        <v>0</v>
      </c>
    </row>
    <row r="301" customFormat="false" ht="12" hidden="false" customHeight="true" outlineLevel="0" collapsed="false">
      <c r="A301" s="120" t="n">
        <f aca="false">EDATE(A300,1)</f>
        <v>46143</v>
      </c>
      <c r="B301" s="121" t="e">
        <f aca="false">VLOOKUP(A301,'Inputs-Summary'!$A$32:$E$41,4,FALSE())</f>
        <v>#N/A</v>
      </c>
      <c r="C301" s="122"/>
      <c r="D301" s="123" t="e">
        <f aca="false">B301+C301</f>
        <v>#N/A</v>
      </c>
      <c r="E301" s="111" t="n">
        <f aca="false">IF(Z301=0,0,IF(AND(Z301=1,$H$3=1),D301*U301,IF($H$3=2,D301,"N/A")))</f>
        <v>0</v>
      </c>
      <c r="F301" s="111" t="n">
        <f aca="false">E301*Y301</f>
        <v>0</v>
      </c>
      <c r="G301" s="124" t="n">
        <f aca="false">VLOOKUP($A301,Table,MATCH(G$4,Curves,0))</f>
        <v>3</v>
      </c>
      <c r="H301" s="125" t="n">
        <f aca="false">G301+$H$7</f>
        <v>3</v>
      </c>
      <c r="I301" s="124" t="n">
        <f aca="false">H301</f>
        <v>3</v>
      </c>
      <c r="J301" s="124" t="n">
        <f aca="false">VLOOKUP($A301,Table,MATCH(J$4,Curves,0))</f>
        <v>4</v>
      </c>
      <c r="K301" s="125" t="n">
        <f aca="false">J301+$K$7</f>
        <v>4</v>
      </c>
      <c r="L301" s="126" t="n">
        <f aca="false">K301</f>
        <v>4</v>
      </c>
      <c r="M301" s="124" t="n">
        <f aca="false">VLOOKUP($A301,Table,MATCH(M$4,Curves,0))</f>
        <v>4</v>
      </c>
      <c r="N301" s="125" t="n">
        <f aca="false">M301+$N$7</f>
        <v>4</v>
      </c>
      <c r="O301" s="126" t="n">
        <v>0.25</v>
      </c>
      <c r="P301" s="114"/>
      <c r="Q301" s="126" t="n">
        <f aca="false">M301+J301+G301</f>
        <v>11</v>
      </c>
      <c r="R301" s="126" t="n">
        <f aca="false">N301+K301+H301</f>
        <v>11</v>
      </c>
      <c r="S301" s="126" t="n">
        <f aca="false">O301+L301+I301</f>
        <v>7.25</v>
      </c>
      <c r="T301" s="127"/>
      <c r="U301" s="5" t="n">
        <f aca="false">A302-A301</f>
        <v>31</v>
      </c>
      <c r="V301" s="128" t="n">
        <f aca="false">CHOOSE(F$3,A302+24,A301)</f>
        <v>46143</v>
      </c>
      <c r="W301" s="5" t="n">
        <f aca="false">V301-C$3</f>
        <v>8912</v>
      </c>
      <c r="X301" s="124" t="n">
        <f aca="false">VLOOKUP($A301,Table,MATCH(X$4,Curves,0))</f>
        <v>2</v>
      </c>
      <c r="Y301" s="129" t="n">
        <f aca="false">1/(1+CHOOSE(F$3,(X302+($K$3/10000))/2,(X301+($K$3/10000))/2))^(2*W301/365.25)</f>
        <v>2.0412727906704E-015</v>
      </c>
      <c r="Z301" s="5" t="n">
        <f aca="false">IF(AND(mthbeg&lt;=A301,mthend&gt;=A301),1,0)</f>
        <v>0</v>
      </c>
      <c r="AA301" s="5" t="n">
        <f aca="false">U301*Z301</f>
        <v>0</v>
      </c>
      <c r="AC301" s="115" t="n">
        <f aca="false">IF(G294=2,F301*(S301-Q301),F301*(Q301-S301))</f>
        <v>0</v>
      </c>
      <c r="AE301" s="116" t="n">
        <f aca="false">IF($G$3=1,F301*(R301-Q301),F301*(Q301-R301))</f>
        <v>0</v>
      </c>
      <c r="AG301" s="116" t="n">
        <f aca="false">AC301+AE301</f>
        <v>0</v>
      </c>
    </row>
    <row r="302" customFormat="false" ht="12" hidden="false" customHeight="true" outlineLevel="0" collapsed="false">
      <c r="A302" s="120" t="n">
        <f aca="false">EDATE(A301,1)</f>
        <v>46174</v>
      </c>
      <c r="B302" s="121" t="e">
        <f aca="false">VLOOKUP(A302,'Inputs-Summary'!$A$32:$E$41,4,FALSE())</f>
        <v>#N/A</v>
      </c>
      <c r="C302" s="122"/>
      <c r="D302" s="123" t="e">
        <f aca="false">B302+C302</f>
        <v>#N/A</v>
      </c>
      <c r="E302" s="111" t="n">
        <f aca="false">IF(Z302=0,0,IF(AND(Z302=1,$H$3=1),D302*U302,IF($H$3=2,D302,"N/A")))</f>
        <v>0</v>
      </c>
      <c r="F302" s="111" t="n">
        <f aca="false">E302*Y302</f>
        <v>0</v>
      </c>
      <c r="G302" s="124" t="n">
        <f aca="false">VLOOKUP($A302,Table,MATCH(G$4,Curves,0))</f>
        <v>3</v>
      </c>
      <c r="H302" s="125" t="n">
        <f aca="false">G302+$H$7</f>
        <v>3</v>
      </c>
      <c r="I302" s="124" t="n">
        <f aca="false">H302</f>
        <v>3</v>
      </c>
      <c r="J302" s="124" t="n">
        <f aca="false">VLOOKUP($A302,Table,MATCH(J$4,Curves,0))</f>
        <v>4</v>
      </c>
      <c r="K302" s="125" t="n">
        <f aca="false">J302+$K$7</f>
        <v>4</v>
      </c>
      <c r="L302" s="126" t="n">
        <f aca="false">K302</f>
        <v>4</v>
      </c>
      <c r="M302" s="124" t="n">
        <f aca="false">VLOOKUP($A302,Table,MATCH(M$4,Curves,0))</f>
        <v>4</v>
      </c>
      <c r="N302" s="125" t="n">
        <f aca="false">M302+$N$7</f>
        <v>4</v>
      </c>
      <c r="O302" s="126" t="n">
        <v>0.25</v>
      </c>
      <c r="P302" s="114"/>
      <c r="Q302" s="126" t="n">
        <f aca="false">M302+J302+G302</f>
        <v>11</v>
      </c>
      <c r="R302" s="126" t="n">
        <f aca="false">N302+K302+H302</f>
        <v>11</v>
      </c>
      <c r="S302" s="126" t="n">
        <f aca="false">O302+L302+I302</f>
        <v>7.25</v>
      </c>
      <c r="T302" s="127"/>
      <c r="U302" s="5" t="n">
        <f aca="false">A303-A302</f>
        <v>30</v>
      </c>
      <c r="V302" s="128" t="n">
        <f aca="false">CHOOSE(F$3,A303+24,A302)</f>
        <v>46174</v>
      </c>
      <c r="W302" s="5" t="n">
        <f aca="false">V302-C$3</f>
        <v>8943</v>
      </c>
      <c r="X302" s="124" t="n">
        <f aca="false">VLOOKUP($A302,Table,MATCH(X$4,Curves,0))</f>
        <v>2</v>
      </c>
      <c r="Y302" s="129" t="n">
        <f aca="false">1/(1+CHOOSE(F$3,(X303+($K$3/10000))/2,(X302+($K$3/10000))/2))^(2*W302/365.25)</f>
        <v>1.81468890342622E-015</v>
      </c>
      <c r="Z302" s="5" t="n">
        <f aca="false">IF(AND(mthbeg&lt;=A302,mthend&gt;=A302),1,0)</f>
        <v>0</v>
      </c>
      <c r="AA302" s="5" t="n">
        <f aca="false">U302*Z302</f>
        <v>0</v>
      </c>
      <c r="AC302" s="115" t="n">
        <f aca="false">IF(G295=2,F302*(S302-Q302),F302*(Q302-S302))</f>
        <v>0</v>
      </c>
      <c r="AE302" s="116" t="n">
        <f aca="false">IF($G$3=1,F302*(R302-Q302),F302*(Q302-R302))</f>
        <v>0</v>
      </c>
      <c r="AG302" s="116" t="n">
        <f aca="false">AC302+AE302</f>
        <v>0</v>
      </c>
    </row>
    <row r="303" customFormat="false" ht="12" hidden="false" customHeight="true" outlineLevel="0" collapsed="false">
      <c r="A303" s="120" t="n">
        <f aca="false">EDATE(A302,1)</f>
        <v>46204</v>
      </c>
      <c r="B303" s="121" t="e">
        <f aca="false">VLOOKUP(A303,'Inputs-Summary'!$A$32:$E$41,4,FALSE())</f>
        <v>#N/A</v>
      </c>
      <c r="C303" s="122"/>
      <c r="D303" s="123" t="e">
        <f aca="false">B303+C303</f>
        <v>#N/A</v>
      </c>
      <c r="E303" s="111" t="n">
        <f aca="false">IF(Z303=0,0,IF(AND(Z303=1,$H$3=1),D303*U303,IF($H$3=2,D303,"N/A")))</f>
        <v>0</v>
      </c>
      <c r="F303" s="111" t="n">
        <f aca="false">E303*Y303</f>
        <v>0</v>
      </c>
      <c r="G303" s="124" t="n">
        <f aca="false">VLOOKUP($A303,Table,MATCH(G$4,Curves,0))</f>
        <v>3</v>
      </c>
      <c r="H303" s="125" t="n">
        <f aca="false">G303+$H$7</f>
        <v>3</v>
      </c>
      <c r="I303" s="124" t="n">
        <f aca="false">H303</f>
        <v>3</v>
      </c>
      <c r="J303" s="124" t="n">
        <f aca="false">VLOOKUP($A303,Table,MATCH(J$4,Curves,0))</f>
        <v>4</v>
      </c>
      <c r="K303" s="125" t="n">
        <f aca="false">J303+$K$7</f>
        <v>4</v>
      </c>
      <c r="L303" s="126" t="n">
        <f aca="false">K303</f>
        <v>4</v>
      </c>
      <c r="M303" s="124" t="n">
        <f aca="false">VLOOKUP($A303,Table,MATCH(M$4,Curves,0))</f>
        <v>4</v>
      </c>
      <c r="N303" s="125" t="n">
        <f aca="false">M303+$N$7</f>
        <v>4</v>
      </c>
      <c r="O303" s="126" t="n">
        <v>0.25</v>
      </c>
      <c r="P303" s="114"/>
      <c r="Q303" s="126" t="n">
        <f aca="false">M303+J303+G303</f>
        <v>11</v>
      </c>
      <c r="R303" s="126" t="n">
        <f aca="false">N303+K303+H303</f>
        <v>11</v>
      </c>
      <c r="S303" s="126" t="n">
        <f aca="false">O303+L303+I303</f>
        <v>7.25</v>
      </c>
      <c r="T303" s="127"/>
      <c r="U303" s="5" t="n">
        <f aca="false">A304-A303</f>
        <v>31</v>
      </c>
      <c r="V303" s="128" t="n">
        <f aca="false">CHOOSE(F$3,A304+24,A303)</f>
        <v>46204</v>
      </c>
      <c r="W303" s="5" t="n">
        <f aca="false">V303-C$3</f>
        <v>8973</v>
      </c>
      <c r="X303" s="124" t="n">
        <f aca="false">VLOOKUP($A303,Table,MATCH(X$4,Curves,0))</f>
        <v>2</v>
      </c>
      <c r="Y303" s="129" t="n">
        <f aca="false">1/(1+CHOOSE(F$3,(X304+($K$3/10000))/2,(X303+($K$3/10000))/2))^(2*W303/365.25)</f>
        <v>1.61939081228103E-015</v>
      </c>
      <c r="Z303" s="5" t="n">
        <f aca="false">IF(AND(mthbeg&lt;=A303,mthend&gt;=A303),1,0)</f>
        <v>0</v>
      </c>
      <c r="AA303" s="5" t="n">
        <f aca="false">U303*Z303</f>
        <v>0</v>
      </c>
      <c r="AC303" s="115" t="n">
        <f aca="false">IF(G296=2,F303*(S303-Q303),F303*(Q303-S303))</f>
        <v>0</v>
      </c>
      <c r="AE303" s="116" t="n">
        <f aca="false">IF($G$3=1,F303*(R303-Q303),F303*(Q303-R303))</f>
        <v>0</v>
      </c>
      <c r="AG303" s="116" t="n">
        <f aca="false">AC303+AE303</f>
        <v>0</v>
      </c>
    </row>
    <row r="304" customFormat="false" ht="12" hidden="false" customHeight="true" outlineLevel="0" collapsed="false">
      <c r="A304" s="120" t="n">
        <f aca="false">EDATE(A303,1)</f>
        <v>46235</v>
      </c>
      <c r="B304" s="121" t="e">
        <f aca="false">VLOOKUP(A304,'Inputs-Summary'!$A$32:$E$41,4,FALSE())</f>
        <v>#N/A</v>
      </c>
      <c r="C304" s="122"/>
      <c r="D304" s="123" t="e">
        <f aca="false">B304+C304</f>
        <v>#N/A</v>
      </c>
      <c r="E304" s="111" t="n">
        <f aca="false">IF(Z304=0,0,IF(AND(Z304=1,$H$3=1),D304*U304,IF($H$3=2,D304,"N/A")))</f>
        <v>0</v>
      </c>
      <c r="F304" s="111" t="n">
        <f aca="false">E304*Y304</f>
        <v>0</v>
      </c>
      <c r="G304" s="124" t="n">
        <f aca="false">VLOOKUP($A304,Table,MATCH(G$4,Curves,0))</f>
        <v>3</v>
      </c>
      <c r="H304" s="125" t="n">
        <f aca="false">G304+$H$7</f>
        <v>3</v>
      </c>
      <c r="I304" s="124" t="n">
        <f aca="false">H304</f>
        <v>3</v>
      </c>
      <c r="J304" s="124" t="n">
        <f aca="false">VLOOKUP($A304,Table,MATCH(J$4,Curves,0))</f>
        <v>4</v>
      </c>
      <c r="K304" s="125" t="n">
        <f aca="false">J304+$K$7</f>
        <v>4</v>
      </c>
      <c r="L304" s="126" t="n">
        <f aca="false">K304</f>
        <v>4</v>
      </c>
      <c r="M304" s="124" t="n">
        <f aca="false">VLOOKUP($A304,Table,MATCH(M$4,Curves,0))</f>
        <v>4</v>
      </c>
      <c r="N304" s="125" t="n">
        <f aca="false">M304+$N$7</f>
        <v>4</v>
      </c>
      <c r="O304" s="126" t="n">
        <v>0.25</v>
      </c>
      <c r="P304" s="114"/>
      <c r="Q304" s="126" t="n">
        <f aca="false">M304+J304+G304</f>
        <v>11</v>
      </c>
      <c r="R304" s="126" t="n">
        <f aca="false">N304+K304+H304</f>
        <v>11</v>
      </c>
      <c r="S304" s="126" t="n">
        <f aca="false">O304+L304+I304</f>
        <v>7.25</v>
      </c>
      <c r="T304" s="127"/>
      <c r="U304" s="5" t="n">
        <f aca="false">A305-A304</f>
        <v>31</v>
      </c>
      <c r="V304" s="128" t="n">
        <f aca="false">CHOOSE(F$3,A305+24,A304)</f>
        <v>46235</v>
      </c>
      <c r="W304" s="5" t="n">
        <f aca="false">V304-C$3</f>
        <v>9004</v>
      </c>
      <c r="X304" s="124" t="n">
        <f aca="false">VLOOKUP($A304,Table,MATCH(X$4,Curves,0))</f>
        <v>2</v>
      </c>
      <c r="Y304" s="129" t="n">
        <f aca="false">1/(1+CHOOSE(F$3,(X305+($K$3/10000))/2,(X304+($K$3/10000))/2))^(2*W304/365.25)</f>
        <v>1.43963636354141E-015</v>
      </c>
      <c r="Z304" s="5" t="n">
        <f aca="false">IF(AND(mthbeg&lt;=A304,mthend&gt;=A304),1,0)</f>
        <v>0</v>
      </c>
      <c r="AA304" s="5" t="n">
        <f aca="false">U304*Z304</f>
        <v>0</v>
      </c>
      <c r="AC304" s="115" t="n">
        <f aca="false">IF(G297=2,F304*(S304-Q304),F304*(Q304-S304))</f>
        <v>0</v>
      </c>
      <c r="AE304" s="116" t="n">
        <f aca="false">IF($G$3=1,F304*(R304-Q304),F304*(Q304-R304))</f>
        <v>0</v>
      </c>
      <c r="AG304" s="116" t="n">
        <f aca="false">AC304+AE304</f>
        <v>0</v>
      </c>
    </row>
    <row r="305" customFormat="false" ht="12" hidden="false" customHeight="true" outlineLevel="0" collapsed="false">
      <c r="A305" s="120" t="n">
        <f aca="false">EDATE(A304,1)</f>
        <v>46266</v>
      </c>
      <c r="B305" s="121" t="e">
        <f aca="false">VLOOKUP(A305,'Inputs-Summary'!$A$32:$E$41,4,FALSE())</f>
        <v>#N/A</v>
      </c>
      <c r="C305" s="122"/>
      <c r="D305" s="123" t="e">
        <f aca="false">B305+C305</f>
        <v>#N/A</v>
      </c>
      <c r="E305" s="111" t="n">
        <f aca="false">IF(Z305=0,0,IF(AND(Z305=1,$H$3=1),D305*U305,IF($H$3=2,D305,"N/A")))</f>
        <v>0</v>
      </c>
      <c r="F305" s="111" t="n">
        <f aca="false">E305*Y305</f>
        <v>0</v>
      </c>
      <c r="G305" s="124" t="n">
        <f aca="false">VLOOKUP($A305,Table,MATCH(G$4,Curves,0))</f>
        <v>3</v>
      </c>
      <c r="H305" s="125" t="n">
        <f aca="false">G305+$H$7</f>
        <v>3</v>
      </c>
      <c r="I305" s="124" t="n">
        <f aca="false">H305</f>
        <v>3</v>
      </c>
      <c r="J305" s="124" t="n">
        <f aca="false">VLOOKUP($A305,Table,MATCH(J$4,Curves,0))</f>
        <v>4</v>
      </c>
      <c r="K305" s="125" t="n">
        <f aca="false">J305+$K$7</f>
        <v>4</v>
      </c>
      <c r="L305" s="126" t="n">
        <f aca="false">K305</f>
        <v>4</v>
      </c>
      <c r="M305" s="124" t="n">
        <f aca="false">VLOOKUP($A305,Table,MATCH(M$4,Curves,0))</f>
        <v>4</v>
      </c>
      <c r="N305" s="125" t="n">
        <f aca="false">M305+$N$7</f>
        <v>4</v>
      </c>
      <c r="O305" s="126" t="n">
        <v>0.25</v>
      </c>
      <c r="P305" s="114"/>
      <c r="Q305" s="126" t="n">
        <f aca="false">M305+J305+G305</f>
        <v>11</v>
      </c>
      <c r="R305" s="126" t="n">
        <f aca="false">N305+K305+H305</f>
        <v>11</v>
      </c>
      <c r="S305" s="126" t="n">
        <f aca="false">O305+L305+I305</f>
        <v>7.25</v>
      </c>
      <c r="T305" s="127"/>
      <c r="U305" s="5" t="n">
        <f aca="false">A306-A305</f>
        <v>30</v>
      </c>
      <c r="V305" s="128" t="n">
        <f aca="false">CHOOSE(F$3,A306+24,A305)</f>
        <v>46266</v>
      </c>
      <c r="W305" s="5" t="n">
        <f aca="false">V305-C$3</f>
        <v>9035</v>
      </c>
      <c r="X305" s="124" t="n">
        <f aca="false">VLOOKUP($A305,Table,MATCH(X$4,Curves,0))</f>
        <v>2</v>
      </c>
      <c r="Y305" s="129" t="n">
        <f aca="false">1/(1+CHOOSE(F$3,(X306+($K$3/10000))/2,(X305+($K$3/10000))/2))^(2*W305/365.25)</f>
        <v>1.27983488822651E-015</v>
      </c>
      <c r="Z305" s="5" t="n">
        <f aca="false">IF(AND(mthbeg&lt;=A305,mthend&gt;=A305),1,0)</f>
        <v>0</v>
      </c>
      <c r="AA305" s="5" t="n">
        <f aca="false">U305*Z305</f>
        <v>0</v>
      </c>
      <c r="AC305" s="115" t="n">
        <f aca="false">IF(G298=2,F305*(S305-Q305),F305*(Q305-S305))</f>
        <v>0</v>
      </c>
      <c r="AE305" s="116" t="n">
        <f aca="false">IF($G$3=1,F305*(R305-Q305),F305*(Q305-R305))</f>
        <v>0</v>
      </c>
      <c r="AG305" s="116" t="n">
        <f aca="false">AC305+AE305</f>
        <v>0</v>
      </c>
    </row>
    <row r="306" customFormat="false" ht="12" hidden="false" customHeight="true" outlineLevel="0" collapsed="false">
      <c r="A306" s="120" t="n">
        <f aca="false">EDATE(A305,1)</f>
        <v>46296</v>
      </c>
      <c r="B306" s="121" t="e">
        <f aca="false">VLOOKUP(A306,'Inputs-Summary'!$A$32:$E$41,4,FALSE())</f>
        <v>#N/A</v>
      </c>
      <c r="C306" s="122"/>
      <c r="D306" s="123" t="e">
        <f aca="false">B306+C306</f>
        <v>#N/A</v>
      </c>
      <c r="E306" s="111" t="n">
        <f aca="false">IF(Z306=0,0,IF(AND(Z306=1,$H$3=1),D306*U306,IF($H$3=2,D306,"N/A")))</f>
        <v>0</v>
      </c>
      <c r="F306" s="111" t="n">
        <f aca="false">E306*Y306</f>
        <v>0</v>
      </c>
      <c r="G306" s="124" t="n">
        <f aca="false">VLOOKUP($A306,Table,MATCH(G$4,Curves,0))</f>
        <v>3</v>
      </c>
      <c r="H306" s="125" t="n">
        <f aca="false">G306+$H$7</f>
        <v>3</v>
      </c>
      <c r="I306" s="124" t="n">
        <f aca="false">H306</f>
        <v>3</v>
      </c>
      <c r="J306" s="124" t="n">
        <f aca="false">VLOOKUP($A306,Table,MATCH(J$4,Curves,0))</f>
        <v>4</v>
      </c>
      <c r="K306" s="125" t="n">
        <f aca="false">J306+$K$7</f>
        <v>4</v>
      </c>
      <c r="L306" s="126" t="n">
        <f aca="false">K306</f>
        <v>4</v>
      </c>
      <c r="M306" s="124" t="n">
        <f aca="false">VLOOKUP($A306,Table,MATCH(M$4,Curves,0))</f>
        <v>4</v>
      </c>
      <c r="N306" s="125" t="n">
        <f aca="false">M306+$N$7</f>
        <v>4</v>
      </c>
      <c r="O306" s="126" t="n">
        <v>0.25</v>
      </c>
      <c r="P306" s="114"/>
      <c r="Q306" s="126" t="n">
        <f aca="false">M306+J306+G306</f>
        <v>11</v>
      </c>
      <c r="R306" s="126" t="n">
        <f aca="false">N306+K306+H306</f>
        <v>11</v>
      </c>
      <c r="S306" s="126" t="n">
        <f aca="false">O306+L306+I306</f>
        <v>7.25</v>
      </c>
      <c r="T306" s="127"/>
      <c r="U306" s="5" t="n">
        <f aca="false">A307-A306</f>
        <v>31</v>
      </c>
      <c r="V306" s="128" t="n">
        <f aca="false">CHOOSE(F$3,A307+24,A306)</f>
        <v>46296</v>
      </c>
      <c r="W306" s="5" t="n">
        <f aca="false">V306-C$3</f>
        <v>9065</v>
      </c>
      <c r="X306" s="124" t="n">
        <f aca="false">VLOOKUP($A306,Table,MATCH(X$4,Curves,0))</f>
        <v>2</v>
      </c>
      <c r="Y306" s="129" t="n">
        <f aca="false">1/(1+CHOOSE(F$3,(X307+($K$3/10000))/2,(X306+($K$3/10000))/2))^(2*W306/365.25)</f>
        <v>1.14209816091212E-015</v>
      </c>
      <c r="Z306" s="5" t="n">
        <f aca="false">IF(AND(mthbeg&lt;=A306,mthend&gt;=A306),1,0)</f>
        <v>0</v>
      </c>
      <c r="AA306" s="5" t="n">
        <f aca="false">U306*Z306</f>
        <v>0</v>
      </c>
      <c r="AC306" s="115" t="n">
        <f aca="false">IF(G299=2,F306*(S306-Q306),F306*(Q306-S306))</f>
        <v>0</v>
      </c>
      <c r="AE306" s="116" t="n">
        <f aca="false">IF($G$3=1,F306*(R306-Q306),F306*(Q306-R306))</f>
        <v>0</v>
      </c>
      <c r="AG306" s="116" t="n">
        <f aca="false">AC306+AE306</f>
        <v>0</v>
      </c>
    </row>
    <row r="307" customFormat="false" ht="12" hidden="false" customHeight="true" outlineLevel="0" collapsed="false">
      <c r="A307" s="120" t="n">
        <f aca="false">EDATE(A306,1)</f>
        <v>46327</v>
      </c>
      <c r="B307" s="121" t="e">
        <f aca="false">VLOOKUP(A307,'Inputs-Summary'!$A$32:$E$41,4,FALSE())</f>
        <v>#N/A</v>
      </c>
      <c r="C307" s="122"/>
      <c r="D307" s="123" t="e">
        <f aca="false">B307+C307</f>
        <v>#N/A</v>
      </c>
      <c r="E307" s="111" t="n">
        <f aca="false">IF(Z307=0,0,IF(AND(Z307=1,$H$3=1),D307*U307,IF($H$3=2,D307,"N/A")))</f>
        <v>0</v>
      </c>
      <c r="F307" s="111" t="n">
        <f aca="false">E307*Y307</f>
        <v>0</v>
      </c>
      <c r="G307" s="124" t="n">
        <f aca="false">VLOOKUP($A307,Table,MATCH(G$4,Curves,0))</f>
        <v>3</v>
      </c>
      <c r="H307" s="125" t="n">
        <f aca="false">G307+$H$7</f>
        <v>3</v>
      </c>
      <c r="I307" s="124" t="n">
        <f aca="false">H307</f>
        <v>3</v>
      </c>
      <c r="J307" s="124" t="n">
        <f aca="false">VLOOKUP($A307,Table,MATCH(J$4,Curves,0))</f>
        <v>4</v>
      </c>
      <c r="K307" s="125" t="n">
        <f aca="false">J307+$K$7</f>
        <v>4</v>
      </c>
      <c r="L307" s="126" t="n">
        <f aca="false">K307</f>
        <v>4</v>
      </c>
      <c r="M307" s="124" t="n">
        <f aca="false">VLOOKUP($A307,Table,MATCH(M$4,Curves,0))</f>
        <v>4</v>
      </c>
      <c r="N307" s="125" t="n">
        <f aca="false">M307+$N$7</f>
        <v>4</v>
      </c>
      <c r="O307" s="126" t="n">
        <v>0.25</v>
      </c>
      <c r="P307" s="114"/>
      <c r="Q307" s="126" t="n">
        <f aca="false">M307+J307+G307</f>
        <v>11</v>
      </c>
      <c r="R307" s="126" t="n">
        <f aca="false">N307+K307+H307</f>
        <v>11</v>
      </c>
      <c r="S307" s="126" t="n">
        <f aca="false">O307+L307+I307</f>
        <v>7.25</v>
      </c>
      <c r="T307" s="127"/>
      <c r="U307" s="5" t="n">
        <f aca="false">A308-A307</f>
        <v>30</v>
      </c>
      <c r="V307" s="128" t="n">
        <f aca="false">CHOOSE(F$3,A308+24,A307)</f>
        <v>46327</v>
      </c>
      <c r="W307" s="5" t="n">
        <f aca="false">V307-C$3</f>
        <v>9096</v>
      </c>
      <c r="X307" s="124" t="n">
        <f aca="false">VLOOKUP($A307,Table,MATCH(X$4,Curves,0))</f>
        <v>2</v>
      </c>
      <c r="Y307" s="129" t="n">
        <f aca="false">1/(1+CHOOSE(F$3,(X308+($K$3/10000))/2,(X307+($K$3/10000))/2))^(2*W307/365.25)</f>
        <v>1.01532380615824E-015</v>
      </c>
      <c r="Z307" s="5" t="n">
        <f aca="false">IF(AND(mthbeg&lt;=A307,mthend&gt;=A307),1,0)</f>
        <v>0</v>
      </c>
      <c r="AA307" s="5" t="n">
        <f aca="false">U307*Z307</f>
        <v>0</v>
      </c>
      <c r="AC307" s="115" t="n">
        <f aca="false">IF(G300=2,F307*(S307-Q307),F307*(Q307-S307))</f>
        <v>0</v>
      </c>
      <c r="AE307" s="116" t="n">
        <f aca="false">IF($G$3=1,F307*(R307-Q307),F307*(Q307-R307))</f>
        <v>0</v>
      </c>
      <c r="AG307" s="116" t="n">
        <f aca="false">AC307+AE307</f>
        <v>0</v>
      </c>
    </row>
    <row r="308" customFormat="false" ht="12" hidden="false" customHeight="true" outlineLevel="0" collapsed="false">
      <c r="A308" s="120" t="n">
        <f aca="false">EDATE(A307,1)</f>
        <v>46357</v>
      </c>
      <c r="B308" s="121" t="e">
        <f aca="false">VLOOKUP(A308,'Inputs-Summary'!$A$32:$E$41,4,FALSE())</f>
        <v>#N/A</v>
      </c>
      <c r="C308" s="122"/>
      <c r="D308" s="123" t="e">
        <f aca="false">B308+C308</f>
        <v>#N/A</v>
      </c>
      <c r="E308" s="111" t="n">
        <f aca="false">IF(Z308=0,0,IF(AND(Z308=1,$H$3=1),D308*U308,IF($H$3=2,D308,"N/A")))</f>
        <v>0</v>
      </c>
      <c r="F308" s="111" t="n">
        <f aca="false">E308*Y308</f>
        <v>0</v>
      </c>
      <c r="G308" s="124" t="n">
        <f aca="false">VLOOKUP($A308,Table,MATCH(G$4,Curves,0))</f>
        <v>3</v>
      </c>
      <c r="H308" s="125" t="n">
        <f aca="false">G308+$H$7</f>
        <v>3</v>
      </c>
      <c r="I308" s="124" t="n">
        <f aca="false">H308</f>
        <v>3</v>
      </c>
      <c r="J308" s="124" t="n">
        <f aca="false">VLOOKUP($A308,Table,MATCH(J$4,Curves,0))</f>
        <v>4</v>
      </c>
      <c r="K308" s="125" t="n">
        <f aca="false">J308+$K$7</f>
        <v>4</v>
      </c>
      <c r="L308" s="126" t="n">
        <f aca="false">K308</f>
        <v>4</v>
      </c>
      <c r="M308" s="124" t="n">
        <f aca="false">VLOOKUP($A308,Table,MATCH(M$4,Curves,0))</f>
        <v>4</v>
      </c>
      <c r="N308" s="125" t="n">
        <f aca="false">M308+$N$7</f>
        <v>4</v>
      </c>
      <c r="O308" s="126" t="n">
        <v>0.25</v>
      </c>
      <c r="P308" s="114"/>
      <c r="Q308" s="126" t="n">
        <f aca="false">M308+J308+G308</f>
        <v>11</v>
      </c>
      <c r="R308" s="126" t="n">
        <f aca="false">N308+K308+H308</f>
        <v>11</v>
      </c>
      <c r="S308" s="126" t="n">
        <f aca="false">O308+L308+I308</f>
        <v>7.25</v>
      </c>
      <c r="T308" s="127"/>
      <c r="U308" s="5" t="n">
        <f aca="false">A309-A308</f>
        <v>31</v>
      </c>
      <c r="V308" s="128" t="n">
        <f aca="false">CHOOSE(F$3,A309+24,A308)</f>
        <v>46357</v>
      </c>
      <c r="W308" s="5" t="n">
        <f aca="false">V308-C$3</f>
        <v>9126</v>
      </c>
      <c r="X308" s="124" t="n">
        <f aca="false">VLOOKUP($A308,Table,MATCH(X$4,Curves,0))</f>
        <v>2</v>
      </c>
      <c r="Y308" s="129" t="n">
        <f aca="false">1/(1+CHOOSE(F$3,(X309+($K$3/10000))/2,(X308+($K$3/10000))/2))^(2*W308/365.25)</f>
        <v>9.06053946810674E-016</v>
      </c>
      <c r="Z308" s="5" t="n">
        <f aca="false">IF(AND(mthbeg&lt;=A308,mthend&gt;=A308),1,0)</f>
        <v>0</v>
      </c>
      <c r="AA308" s="5" t="n">
        <f aca="false">U308*Z308</f>
        <v>0</v>
      </c>
      <c r="AC308" s="115" t="n">
        <f aca="false">IF(G301=2,F308*(S308-Q308),F308*(Q308-S308))</f>
        <v>0</v>
      </c>
      <c r="AE308" s="116" t="n">
        <f aca="false">IF($G$3=1,F308*(R308-Q308),F308*(Q308-R308))</f>
        <v>0</v>
      </c>
      <c r="AG308" s="116" t="n">
        <f aca="false">AC308+AE308</f>
        <v>0</v>
      </c>
    </row>
    <row r="309" customFormat="false" ht="12" hidden="false" customHeight="true" outlineLevel="0" collapsed="false">
      <c r="A309" s="120" t="n">
        <f aca="false">EDATE(A308,1)</f>
        <v>46388</v>
      </c>
      <c r="B309" s="121" t="e">
        <f aca="false">VLOOKUP(A309,'Inputs-Summary'!$A$32:$E$41,4,FALSE())</f>
        <v>#N/A</v>
      </c>
      <c r="C309" s="122"/>
      <c r="D309" s="123" t="e">
        <f aca="false">B309+C309</f>
        <v>#N/A</v>
      </c>
      <c r="E309" s="111" t="n">
        <f aca="false">IF(Z309=0,0,IF(AND(Z309=1,$H$3=1),D309*U309,IF($H$3=2,D309,"N/A")))</f>
        <v>0</v>
      </c>
      <c r="F309" s="111" t="n">
        <f aca="false">E309*Y309</f>
        <v>0</v>
      </c>
      <c r="G309" s="124" t="n">
        <f aca="false">VLOOKUP($A309,Table,MATCH(G$4,Curves,0))</f>
        <v>3</v>
      </c>
      <c r="H309" s="125" t="n">
        <f aca="false">G309+$H$7</f>
        <v>3</v>
      </c>
      <c r="I309" s="124" t="n">
        <f aca="false">H309</f>
        <v>3</v>
      </c>
      <c r="J309" s="124" t="n">
        <f aca="false">VLOOKUP($A309,Table,MATCH(J$4,Curves,0))</f>
        <v>4</v>
      </c>
      <c r="K309" s="125" t="n">
        <f aca="false">J309+$K$7</f>
        <v>4</v>
      </c>
      <c r="L309" s="126" t="n">
        <f aca="false">K309</f>
        <v>4</v>
      </c>
      <c r="M309" s="124" t="n">
        <f aca="false">VLOOKUP($A309,Table,MATCH(M$4,Curves,0))</f>
        <v>4</v>
      </c>
      <c r="N309" s="125" t="n">
        <f aca="false">M309+$N$7</f>
        <v>4</v>
      </c>
      <c r="O309" s="126" t="n">
        <v>0.25</v>
      </c>
      <c r="P309" s="114"/>
      <c r="Q309" s="126" t="n">
        <f aca="false">M309+J309+G309</f>
        <v>11</v>
      </c>
      <c r="R309" s="126" t="n">
        <f aca="false">N309+K309+H309</f>
        <v>11</v>
      </c>
      <c r="S309" s="126" t="n">
        <f aca="false">O309+L309+I309</f>
        <v>7.25</v>
      </c>
      <c r="T309" s="127"/>
      <c r="U309" s="5" t="n">
        <f aca="false">A310-A309</f>
        <v>31</v>
      </c>
      <c r="V309" s="128" t="n">
        <f aca="false">CHOOSE(F$3,A310+24,A309)</f>
        <v>46388</v>
      </c>
      <c r="W309" s="5" t="n">
        <f aca="false">V309-C$3</f>
        <v>9157</v>
      </c>
      <c r="X309" s="124" t="n">
        <f aca="false">VLOOKUP($A309,Table,MATCH(X$4,Curves,0))</f>
        <v>2</v>
      </c>
      <c r="Y309" s="129" t="n">
        <f aca="false">1/(1+CHOOSE(F$3,(X310+($K$3/10000))/2,(X309+($K$3/10000))/2))^(2*W309/365.25)</f>
        <v>8.05480801340063E-016</v>
      </c>
      <c r="Z309" s="5" t="n">
        <f aca="false">IF(AND(mthbeg&lt;=A309,mthend&gt;=A309),1,0)</f>
        <v>0</v>
      </c>
      <c r="AA309" s="5" t="n">
        <f aca="false">U309*Z309</f>
        <v>0</v>
      </c>
      <c r="AC309" s="115" t="n">
        <f aca="false">IF(G302=2,F309*(S309-Q309),F309*(Q309-S309))</f>
        <v>0</v>
      </c>
      <c r="AE309" s="116" t="n">
        <f aca="false">IF($G$3=1,F309*(R309-Q309),F309*(Q309-R309))</f>
        <v>0</v>
      </c>
      <c r="AG309" s="116" t="n">
        <f aca="false">AC309+AE309</f>
        <v>0</v>
      </c>
    </row>
    <row r="310" customFormat="false" ht="12" hidden="false" customHeight="true" outlineLevel="0" collapsed="false">
      <c r="A310" s="120" t="n">
        <f aca="false">EDATE(A309,1)</f>
        <v>46419</v>
      </c>
      <c r="B310" s="121" t="e">
        <f aca="false">VLOOKUP(A310,'Inputs-Summary'!$A$32:$E$41,4,FALSE())</f>
        <v>#N/A</v>
      </c>
      <c r="C310" s="122"/>
      <c r="D310" s="123" t="e">
        <f aca="false">B310+C310</f>
        <v>#N/A</v>
      </c>
      <c r="E310" s="111" t="n">
        <f aca="false">IF(Z310=0,0,IF(AND(Z310=1,$H$3=1),D310*U310,IF($H$3=2,D310,"N/A")))</f>
        <v>0</v>
      </c>
      <c r="F310" s="111" t="n">
        <f aca="false">E310*Y310</f>
        <v>0</v>
      </c>
      <c r="G310" s="124" t="n">
        <f aca="false">VLOOKUP($A310,Table,MATCH(G$4,Curves,0))</f>
        <v>3</v>
      </c>
      <c r="H310" s="125" t="n">
        <f aca="false">G310+$H$7</f>
        <v>3</v>
      </c>
      <c r="I310" s="124" t="n">
        <f aca="false">H310</f>
        <v>3</v>
      </c>
      <c r="J310" s="124" t="n">
        <f aca="false">VLOOKUP($A310,Table,MATCH(J$4,Curves,0))</f>
        <v>4</v>
      </c>
      <c r="K310" s="125" t="n">
        <f aca="false">J310+$K$7</f>
        <v>4</v>
      </c>
      <c r="L310" s="126" t="n">
        <f aca="false">K310</f>
        <v>4</v>
      </c>
      <c r="M310" s="124" t="n">
        <f aca="false">VLOOKUP($A310,Table,MATCH(M$4,Curves,0))</f>
        <v>4</v>
      </c>
      <c r="N310" s="125" t="n">
        <f aca="false">M310+$N$7</f>
        <v>4</v>
      </c>
      <c r="O310" s="126" t="n">
        <v>0.25</v>
      </c>
      <c r="P310" s="114"/>
      <c r="Q310" s="126" t="n">
        <f aca="false">M310+J310+G310</f>
        <v>11</v>
      </c>
      <c r="R310" s="126" t="n">
        <f aca="false">N310+K310+H310</f>
        <v>11</v>
      </c>
      <c r="S310" s="126" t="n">
        <f aca="false">O310+L310+I310</f>
        <v>7.25</v>
      </c>
      <c r="T310" s="127"/>
      <c r="U310" s="5" t="n">
        <f aca="false">A311-A310</f>
        <v>28</v>
      </c>
      <c r="V310" s="128" t="n">
        <f aca="false">CHOOSE(F$3,A311+24,A310)</f>
        <v>46419</v>
      </c>
      <c r="W310" s="5" t="n">
        <f aca="false">V310-C$3</f>
        <v>9188</v>
      </c>
      <c r="X310" s="124" t="n">
        <f aca="false">VLOOKUP($A310,Table,MATCH(X$4,Curves,0))</f>
        <v>2</v>
      </c>
      <c r="Y310" s="129" t="n">
        <f aca="false">1/(1+CHOOSE(F$3,(X311+($K$3/10000))/2,(X310+($K$3/10000))/2))^(2*W310/365.25)</f>
        <v>7.16071403486751E-016</v>
      </c>
      <c r="Z310" s="5" t="n">
        <f aca="false">IF(AND(mthbeg&lt;=A310,mthend&gt;=A310),1,0)</f>
        <v>0</v>
      </c>
      <c r="AA310" s="5" t="n">
        <f aca="false">U310*Z310</f>
        <v>0</v>
      </c>
      <c r="AC310" s="115" t="n">
        <f aca="false">IF(G303=2,F310*(S310-Q310),F310*(Q310-S310))</f>
        <v>0</v>
      </c>
      <c r="AE310" s="116" t="n">
        <f aca="false">IF($G$3=1,F310*(R310-Q310),F310*(Q310-R310))</f>
        <v>0</v>
      </c>
      <c r="AG310" s="116" t="n">
        <f aca="false">AC310+AE310</f>
        <v>0</v>
      </c>
    </row>
    <row r="311" customFormat="false" ht="12" hidden="false" customHeight="true" outlineLevel="0" collapsed="false">
      <c r="A311" s="120" t="n">
        <f aca="false">EDATE(A310,1)</f>
        <v>46447</v>
      </c>
      <c r="B311" s="121" t="e">
        <f aca="false">VLOOKUP(A311,'Inputs-Summary'!$A$32:$E$41,4,FALSE())</f>
        <v>#N/A</v>
      </c>
      <c r="C311" s="122"/>
      <c r="D311" s="123" t="e">
        <f aca="false">B311+C311</f>
        <v>#N/A</v>
      </c>
      <c r="E311" s="111" t="n">
        <f aca="false">IF(Z311=0,0,IF(AND(Z311=1,$H$3=1),D311*U311,IF($H$3=2,D311,"N/A")))</f>
        <v>0</v>
      </c>
      <c r="F311" s="111" t="n">
        <f aca="false">E311*Y311</f>
        <v>0</v>
      </c>
      <c r="G311" s="124" t="n">
        <f aca="false">VLOOKUP($A311,Table,MATCH(G$4,Curves,0))</f>
        <v>3</v>
      </c>
      <c r="H311" s="125" t="n">
        <f aca="false">G311+$H$7</f>
        <v>3</v>
      </c>
      <c r="I311" s="124" t="n">
        <f aca="false">H311</f>
        <v>3</v>
      </c>
      <c r="J311" s="124" t="n">
        <f aca="false">VLOOKUP($A311,Table,MATCH(J$4,Curves,0))</f>
        <v>4</v>
      </c>
      <c r="K311" s="125" t="n">
        <f aca="false">J311+$K$7</f>
        <v>4</v>
      </c>
      <c r="L311" s="126" t="n">
        <f aca="false">K311</f>
        <v>4</v>
      </c>
      <c r="M311" s="124" t="n">
        <f aca="false">VLOOKUP($A311,Table,MATCH(M$4,Curves,0))</f>
        <v>4</v>
      </c>
      <c r="N311" s="125" t="n">
        <f aca="false">M311+$N$7</f>
        <v>4</v>
      </c>
      <c r="O311" s="126" t="n">
        <v>0.25</v>
      </c>
      <c r="P311" s="114"/>
      <c r="Q311" s="126" t="n">
        <f aca="false">M311+J311+G311</f>
        <v>11</v>
      </c>
      <c r="R311" s="126" t="n">
        <f aca="false">N311+K311+H311</f>
        <v>11</v>
      </c>
      <c r="S311" s="126" t="n">
        <f aca="false">O311+L311+I311</f>
        <v>7.25</v>
      </c>
      <c r="T311" s="127"/>
      <c r="U311" s="5" t="n">
        <f aca="false">A312-A311</f>
        <v>31</v>
      </c>
      <c r="V311" s="128" t="n">
        <f aca="false">CHOOSE(F$3,A312+24,A311)</f>
        <v>46447</v>
      </c>
      <c r="W311" s="5" t="n">
        <f aca="false">V311-C$3</f>
        <v>9216</v>
      </c>
      <c r="X311" s="124" t="n">
        <f aca="false">VLOOKUP($A311,Table,MATCH(X$4,Curves,0))</f>
        <v>2</v>
      </c>
      <c r="Y311" s="129" t="n">
        <f aca="false">1/(1+CHOOSE(F$3,(X312+($K$3/10000))/2,(X311+($K$3/10000))/2))^(2*W311/365.25)</f>
        <v>6.43876416928787E-016</v>
      </c>
      <c r="Z311" s="5" t="n">
        <f aca="false">IF(AND(mthbeg&lt;=A311,mthend&gt;=A311),1,0)</f>
        <v>0</v>
      </c>
      <c r="AA311" s="5" t="n">
        <f aca="false">U311*Z311</f>
        <v>0</v>
      </c>
      <c r="AC311" s="115" t="n">
        <f aca="false">IF(G304=2,F311*(S311-Q311),F311*(Q311-S311))</f>
        <v>0</v>
      </c>
      <c r="AE311" s="116" t="n">
        <f aca="false">IF($G$3=1,F311*(R311-Q311),F311*(Q311-R311))</f>
        <v>0</v>
      </c>
      <c r="AG311" s="116" t="n">
        <f aca="false">AC311+AE311</f>
        <v>0</v>
      </c>
    </row>
    <row r="312" customFormat="false" ht="12" hidden="false" customHeight="true" outlineLevel="0" collapsed="false">
      <c r="A312" s="120" t="n">
        <f aca="false">EDATE(A311,1)</f>
        <v>46478</v>
      </c>
      <c r="B312" s="121" t="e">
        <f aca="false">VLOOKUP(A312,'Inputs-Summary'!$A$32:$E$41,4,FALSE())</f>
        <v>#N/A</v>
      </c>
      <c r="C312" s="122"/>
      <c r="D312" s="123" t="e">
        <f aca="false">B312+C312</f>
        <v>#N/A</v>
      </c>
      <c r="E312" s="111" t="n">
        <f aca="false">IF(Z312=0,0,IF(AND(Z312=1,$H$3=1),D312*U312,IF($H$3=2,D312,"N/A")))</f>
        <v>0</v>
      </c>
      <c r="F312" s="111" t="n">
        <f aca="false">E312*Y312</f>
        <v>0</v>
      </c>
      <c r="G312" s="124" t="n">
        <f aca="false">VLOOKUP($A312,Table,MATCH(G$4,Curves,0))</f>
        <v>3</v>
      </c>
      <c r="H312" s="125" t="n">
        <f aca="false">G312+$H$7</f>
        <v>3</v>
      </c>
      <c r="I312" s="124" t="n">
        <f aca="false">H312</f>
        <v>3</v>
      </c>
      <c r="J312" s="124" t="n">
        <f aca="false">VLOOKUP($A312,Table,MATCH(J$4,Curves,0))</f>
        <v>4</v>
      </c>
      <c r="K312" s="125" t="n">
        <f aca="false">J312+$K$7</f>
        <v>4</v>
      </c>
      <c r="L312" s="126" t="n">
        <f aca="false">K312</f>
        <v>4</v>
      </c>
      <c r="M312" s="124" t="n">
        <f aca="false">VLOOKUP($A312,Table,MATCH(M$4,Curves,0))</f>
        <v>4</v>
      </c>
      <c r="N312" s="125" t="n">
        <f aca="false">M312+$N$7</f>
        <v>4</v>
      </c>
      <c r="O312" s="126" t="n">
        <v>0.25</v>
      </c>
      <c r="P312" s="114"/>
      <c r="Q312" s="126" t="n">
        <f aca="false">M312+J312+G312</f>
        <v>11</v>
      </c>
      <c r="R312" s="126" t="n">
        <f aca="false">N312+K312+H312</f>
        <v>11</v>
      </c>
      <c r="S312" s="126" t="n">
        <f aca="false">O312+L312+I312</f>
        <v>7.25</v>
      </c>
      <c r="T312" s="127"/>
      <c r="U312" s="5" t="n">
        <f aca="false">A313-A312</f>
        <v>30</v>
      </c>
      <c r="V312" s="128" t="n">
        <f aca="false">CHOOSE(F$3,A313+24,A312)</f>
        <v>46478</v>
      </c>
      <c r="W312" s="5" t="n">
        <f aca="false">V312-C$3</f>
        <v>9247</v>
      </c>
      <c r="X312" s="124" t="n">
        <f aca="false">VLOOKUP($A312,Table,MATCH(X$4,Curves,0))</f>
        <v>2</v>
      </c>
      <c r="Y312" s="129" t="n">
        <f aca="false">1/(1+CHOOSE(F$3,(X313+($K$3/10000))/2,(X312+($K$3/10000))/2))^(2*W312/365.25)</f>
        <v>5.72405312175235E-016</v>
      </c>
      <c r="Z312" s="5" t="n">
        <f aca="false">IF(AND(mthbeg&lt;=A312,mthend&gt;=A312),1,0)</f>
        <v>0</v>
      </c>
      <c r="AA312" s="5" t="n">
        <f aca="false">U312*Z312</f>
        <v>0</v>
      </c>
      <c r="AC312" s="115" t="n">
        <f aca="false">IF(G305=2,F312*(S312-Q312),F312*(Q312-S312))</f>
        <v>0</v>
      </c>
      <c r="AE312" s="116" t="n">
        <f aca="false">IF($G$3=1,F312*(R312-Q312),F312*(Q312-R312))</f>
        <v>0</v>
      </c>
      <c r="AG312" s="116" t="n">
        <f aca="false">AC312+AE312</f>
        <v>0</v>
      </c>
    </row>
    <row r="313" customFormat="false" ht="12" hidden="false" customHeight="true" outlineLevel="0" collapsed="false">
      <c r="A313" s="120" t="n">
        <f aca="false">EDATE(A312,1)</f>
        <v>46508</v>
      </c>
      <c r="B313" s="121" t="e">
        <f aca="false">VLOOKUP(A313,'Inputs-Summary'!$A$32:$E$41,4,FALSE())</f>
        <v>#N/A</v>
      </c>
      <c r="C313" s="122"/>
      <c r="D313" s="123" t="e">
        <f aca="false">B313+C313</f>
        <v>#N/A</v>
      </c>
      <c r="E313" s="111" t="n">
        <f aca="false">IF(Z313=0,0,IF(AND(Z313=1,$H$3=1),D313*U313,IF($H$3=2,D313,"N/A")))</f>
        <v>0</v>
      </c>
      <c r="F313" s="111" t="n">
        <f aca="false">E313*Y313</f>
        <v>0</v>
      </c>
      <c r="G313" s="124" t="n">
        <f aca="false">VLOOKUP($A313,Table,MATCH(G$4,Curves,0))</f>
        <v>3</v>
      </c>
      <c r="H313" s="125" t="n">
        <f aca="false">G313+$H$7</f>
        <v>3</v>
      </c>
      <c r="I313" s="124" t="n">
        <f aca="false">H313</f>
        <v>3</v>
      </c>
      <c r="J313" s="124" t="n">
        <f aca="false">VLOOKUP($A313,Table,MATCH(J$4,Curves,0))</f>
        <v>4</v>
      </c>
      <c r="K313" s="125" t="n">
        <f aca="false">J313+$K$7</f>
        <v>4</v>
      </c>
      <c r="L313" s="126" t="n">
        <f aca="false">K313</f>
        <v>4</v>
      </c>
      <c r="M313" s="124" t="n">
        <f aca="false">VLOOKUP($A313,Table,MATCH(M$4,Curves,0))</f>
        <v>4</v>
      </c>
      <c r="N313" s="125" t="n">
        <f aca="false">M313+$N$7</f>
        <v>4</v>
      </c>
      <c r="O313" s="126" t="n">
        <v>0.25</v>
      </c>
      <c r="P313" s="114"/>
      <c r="Q313" s="126" t="n">
        <f aca="false">M313+J313+G313</f>
        <v>11</v>
      </c>
      <c r="R313" s="126" t="n">
        <f aca="false">N313+K313+H313</f>
        <v>11</v>
      </c>
      <c r="S313" s="126" t="n">
        <f aca="false">O313+L313+I313</f>
        <v>7.25</v>
      </c>
      <c r="T313" s="127"/>
      <c r="U313" s="5" t="n">
        <f aca="false">A314-A313</f>
        <v>31</v>
      </c>
      <c r="V313" s="128" t="n">
        <f aca="false">CHOOSE(F$3,A314+24,A313)</f>
        <v>46508</v>
      </c>
      <c r="W313" s="5" t="n">
        <f aca="false">V313-C$3</f>
        <v>9277</v>
      </c>
      <c r="X313" s="124" t="n">
        <f aca="false">VLOOKUP($A313,Table,MATCH(X$4,Curves,0))</f>
        <v>2</v>
      </c>
      <c r="Y313" s="129" t="n">
        <f aca="false">1/(1+CHOOSE(F$3,(X314+($K$3/10000))/2,(X313+($K$3/10000))/2))^(2*W313/365.25)</f>
        <v>5.10802651455743E-016</v>
      </c>
      <c r="Z313" s="5" t="n">
        <f aca="false">IF(AND(mthbeg&lt;=A313,mthend&gt;=A313),1,0)</f>
        <v>0</v>
      </c>
      <c r="AA313" s="5" t="n">
        <f aca="false">U313*Z313</f>
        <v>0</v>
      </c>
      <c r="AC313" s="115" t="n">
        <f aca="false">IF(G306=2,F313*(S313-Q313),F313*(Q313-S313))</f>
        <v>0</v>
      </c>
      <c r="AE313" s="116" t="n">
        <f aca="false">IF($G$3=1,F313*(R313-Q313),F313*(Q313-R313))</f>
        <v>0</v>
      </c>
      <c r="AG313" s="116" t="n">
        <f aca="false">AC313+AE313</f>
        <v>0</v>
      </c>
    </row>
    <row r="314" customFormat="false" ht="12" hidden="false" customHeight="true" outlineLevel="0" collapsed="false">
      <c r="A314" s="120" t="n">
        <f aca="false">EDATE(A313,1)</f>
        <v>46539</v>
      </c>
      <c r="B314" s="121" t="e">
        <f aca="false">VLOOKUP(A314,'Inputs-Summary'!$A$32:$E$41,4,FALSE())</f>
        <v>#N/A</v>
      </c>
      <c r="C314" s="122"/>
      <c r="D314" s="123" t="e">
        <f aca="false">B314+C314</f>
        <v>#N/A</v>
      </c>
      <c r="E314" s="111" t="n">
        <f aca="false">IF(Z314=0,0,IF(AND(Z314=1,$H$3=1),D314*U314,IF($H$3=2,D314,"N/A")))</f>
        <v>0</v>
      </c>
      <c r="F314" s="111" t="n">
        <f aca="false">E314*Y314</f>
        <v>0</v>
      </c>
      <c r="G314" s="124" t="n">
        <f aca="false">VLOOKUP($A314,Table,MATCH(G$4,Curves,0))</f>
        <v>3</v>
      </c>
      <c r="H314" s="125" t="n">
        <f aca="false">G314+$H$7</f>
        <v>3</v>
      </c>
      <c r="I314" s="124" t="n">
        <f aca="false">H314</f>
        <v>3</v>
      </c>
      <c r="J314" s="124" t="n">
        <f aca="false">VLOOKUP($A314,Table,MATCH(J$4,Curves,0))</f>
        <v>4</v>
      </c>
      <c r="K314" s="125" t="n">
        <f aca="false">J314+$K$7</f>
        <v>4</v>
      </c>
      <c r="L314" s="126" t="n">
        <f aca="false">K314</f>
        <v>4</v>
      </c>
      <c r="M314" s="124" t="n">
        <f aca="false">VLOOKUP($A314,Table,MATCH(M$4,Curves,0))</f>
        <v>4</v>
      </c>
      <c r="N314" s="125" t="n">
        <f aca="false">M314+$N$7</f>
        <v>4</v>
      </c>
      <c r="O314" s="126" t="n">
        <v>0.25</v>
      </c>
      <c r="P314" s="114"/>
      <c r="Q314" s="126" t="n">
        <f aca="false">M314+J314+G314</f>
        <v>11</v>
      </c>
      <c r="R314" s="126" t="n">
        <f aca="false">N314+K314+H314</f>
        <v>11</v>
      </c>
      <c r="S314" s="126" t="n">
        <f aca="false">O314+L314+I314</f>
        <v>7.25</v>
      </c>
      <c r="T314" s="127"/>
      <c r="U314" s="5" t="n">
        <f aca="false">A315-A314</f>
        <v>30</v>
      </c>
      <c r="V314" s="128" t="n">
        <f aca="false">CHOOSE(F$3,A315+24,A314)</f>
        <v>46539</v>
      </c>
      <c r="W314" s="5" t="n">
        <f aca="false">V314-C$3</f>
        <v>9308</v>
      </c>
      <c r="X314" s="124" t="n">
        <f aca="false">VLOOKUP($A314,Table,MATCH(X$4,Curves,0))</f>
        <v>2</v>
      </c>
      <c r="Y314" s="129" t="n">
        <f aca="false">1/(1+CHOOSE(F$3,(X315+($K$3/10000))/2,(X314+($K$3/10000))/2))^(2*W314/365.25)</f>
        <v>4.54102904655382E-016</v>
      </c>
      <c r="Z314" s="5" t="n">
        <f aca="false">IF(AND(mthbeg&lt;=A314,mthend&gt;=A314),1,0)</f>
        <v>0</v>
      </c>
      <c r="AA314" s="5" t="n">
        <f aca="false">U314*Z314</f>
        <v>0</v>
      </c>
      <c r="AC314" s="115" t="n">
        <f aca="false">IF(G307=2,F314*(S314-Q314),F314*(Q314-S314))</f>
        <v>0</v>
      </c>
      <c r="AE314" s="116" t="n">
        <f aca="false">IF($G$3=1,F314*(R314-Q314),F314*(Q314-R314))</f>
        <v>0</v>
      </c>
      <c r="AG314" s="116" t="n">
        <f aca="false">AC314+AE314</f>
        <v>0</v>
      </c>
    </row>
    <row r="315" customFormat="false" ht="12" hidden="false" customHeight="true" outlineLevel="0" collapsed="false">
      <c r="A315" s="120" t="n">
        <f aca="false">EDATE(A314,1)</f>
        <v>46569</v>
      </c>
      <c r="B315" s="121" t="e">
        <f aca="false">VLOOKUP(A315,'Inputs-Summary'!$A$32:$E$41,4,FALSE())</f>
        <v>#N/A</v>
      </c>
      <c r="C315" s="122"/>
      <c r="D315" s="123" t="e">
        <f aca="false">B315+C315</f>
        <v>#N/A</v>
      </c>
      <c r="E315" s="111" t="n">
        <f aca="false">IF(Z315=0,0,IF(AND(Z315=1,$H$3=1),D315*U315,IF($H$3=2,D315,"N/A")))</f>
        <v>0</v>
      </c>
      <c r="F315" s="111" t="n">
        <f aca="false">E315*Y315</f>
        <v>0</v>
      </c>
      <c r="G315" s="124" t="n">
        <f aca="false">VLOOKUP($A315,Table,MATCH(G$4,Curves,0))</f>
        <v>3</v>
      </c>
      <c r="H315" s="125" t="n">
        <f aca="false">G315+$H$7</f>
        <v>3</v>
      </c>
      <c r="I315" s="124" t="n">
        <f aca="false">H315</f>
        <v>3</v>
      </c>
      <c r="J315" s="124" t="n">
        <f aca="false">VLOOKUP($A315,Table,MATCH(J$4,Curves,0))</f>
        <v>4</v>
      </c>
      <c r="K315" s="125" t="n">
        <f aca="false">J315+$K$7</f>
        <v>4</v>
      </c>
      <c r="L315" s="126" t="n">
        <f aca="false">K315</f>
        <v>4</v>
      </c>
      <c r="M315" s="124" t="n">
        <f aca="false">VLOOKUP($A315,Table,MATCH(M$4,Curves,0))</f>
        <v>4</v>
      </c>
      <c r="N315" s="125" t="n">
        <f aca="false">M315+$N$7</f>
        <v>4</v>
      </c>
      <c r="O315" s="126" t="n">
        <v>0.25</v>
      </c>
      <c r="P315" s="114"/>
      <c r="Q315" s="126" t="n">
        <f aca="false">M315+J315+G315</f>
        <v>11</v>
      </c>
      <c r="R315" s="126" t="n">
        <f aca="false">N315+K315+H315</f>
        <v>11</v>
      </c>
      <c r="S315" s="126" t="n">
        <f aca="false">O315+L315+I315</f>
        <v>7.25</v>
      </c>
      <c r="T315" s="127"/>
      <c r="U315" s="5" t="n">
        <f aca="false">A316-A315</f>
        <v>31</v>
      </c>
      <c r="V315" s="128" t="n">
        <f aca="false">CHOOSE(F$3,A316+24,A315)</f>
        <v>46569</v>
      </c>
      <c r="W315" s="5" t="n">
        <f aca="false">V315-C$3</f>
        <v>9338</v>
      </c>
      <c r="X315" s="124" t="n">
        <f aca="false">VLOOKUP($A315,Table,MATCH(X$4,Curves,0))</f>
        <v>2</v>
      </c>
      <c r="Y315" s="129" t="n">
        <f aca="false">1/(1+CHOOSE(F$3,(X316+($K$3/10000))/2,(X315+($K$3/10000))/2))^(2*W315/365.25)</f>
        <v>4.05232031915025E-016</v>
      </c>
      <c r="Z315" s="5" t="n">
        <f aca="false">IF(AND(mthbeg&lt;=A315,mthend&gt;=A315),1,0)</f>
        <v>0</v>
      </c>
      <c r="AA315" s="5" t="n">
        <f aca="false">U315*Z315</f>
        <v>0</v>
      </c>
      <c r="AC315" s="115" t="n">
        <f aca="false">IF(G308=2,F315*(S315-Q315),F315*(Q315-S315))</f>
        <v>0</v>
      </c>
      <c r="AE315" s="116" t="n">
        <f aca="false">IF($G$3=1,F315*(R315-Q315),F315*(Q315-R315))</f>
        <v>0</v>
      </c>
      <c r="AG315" s="116" t="n">
        <f aca="false">AC315+AE315</f>
        <v>0</v>
      </c>
    </row>
    <row r="316" customFormat="false" ht="12" hidden="false" customHeight="true" outlineLevel="0" collapsed="false">
      <c r="A316" s="120" t="n">
        <f aca="false">EDATE(A315,1)</f>
        <v>46600</v>
      </c>
      <c r="B316" s="121" t="e">
        <f aca="false">VLOOKUP(A316,'Inputs-Summary'!$A$32:$E$41,4,FALSE())</f>
        <v>#N/A</v>
      </c>
      <c r="C316" s="122"/>
      <c r="D316" s="123" t="e">
        <f aca="false">B316+C316</f>
        <v>#N/A</v>
      </c>
      <c r="E316" s="111" t="n">
        <f aca="false">IF(Z316=0,0,IF(AND(Z316=1,$H$3=1),D316*U316,IF($H$3=2,D316,"N/A")))</f>
        <v>0</v>
      </c>
      <c r="F316" s="111" t="n">
        <f aca="false">E316*Y316</f>
        <v>0</v>
      </c>
      <c r="G316" s="124" t="n">
        <f aca="false">VLOOKUP($A316,Table,MATCH(G$4,Curves,0))</f>
        <v>3</v>
      </c>
      <c r="H316" s="125" t="n">
        <f aca="false">G316+$H$7</f>
        <v>3</v>
      </c>
      <c r="I316" s="124" t="n">
        <f aca="false">H316</f>
        <v>3</v>
      </c>
      <c r="J316" s="124" t="n">
        <f aca="false">VLOOKUP($A316,Table,MATCH(J$4,Curves,0))</f>
        <v>4</v>
      </c>
      <c r="K316" s="125" t="n">
        <f aca="false">J316+$K$7</f>
        <v>4</v>
      </c>
      <c r="L316" s="126" t="n">
        <f aca="false">K316</f>
        <v>4</v>
      </c>
      <c r="M316" s="124" t="n">
        <f aca="false">VLOOKUP($A316,Table,MATCH(M$4,Curves,0))</f>
        <v>4</v>
      </c>
      <c r="N316" s="125" t="n">
        <f aca="false">M316+$N$7</f>
        <v>4</v>
      </c>
      <c r="O316" s="126" t="n">
        <v>0.25</v>
      </c>
      <c r="P316" s="114"/>
      <c r="Q316" s="126" t="n">
        <f aca="false">M316+J316+G316</f>
        <v>11</v>
      </c>
      <c r="R316" s="126" t="n">
        <f aca="false">N316+K316+H316</f>
        <v>11</v>
      </c>
      <c r="S316" s="126" t="n">
        <f aca="false">O316+L316+I316</f>
        <v>7.25</v>
      </c>
      <c r="T316" s="127"/>
      <c r="U316" s="5" t="n">
        <f aca="false">A317-A316</f>
        <v>31</v>
      </c>
      <c r="V316" s="128" t="n">
        <f aca="false">CHOOSE(F$3,A317+24,A316)</f>
        <v>46600</v>
      </c>
      <c r="W316" s="5" t="n">
        <f aca="false">V316-C$3</f>
        <v>9369</v>
      </c>
      <c r="X316" s="124" t="n">
        <f aca="false">VLOOKUP($A316,Table,MATCH(X$4,Curves,0))</f>
        <v>2</v>
      </c>
      <c r="Y316" s="129" t="n">
        <f aca="false">1/(1+CHOOSE(F$3,(X317+($K$3/10000))/2,(X316+($K$3/10000))/2))^(2*W316/365.25)</f>
        <v>3.60250758737417E-016</v>
      </c>
      <c r="Z316" s="5" t="n">
        <f aca="false">IF(AND(mthbeg&lt;=A316,mthend&gt;=A316),1,0)</f>
        <v>0</v>
      </c>
      <c r="AA316" s="5" t="n">
        <f aca="false">U316*Z316</f>
        <v>0</v>
      </c>
      <c r="AC316" s="115" t="n">
        <f aca="false">IF(G309=2,F316*(S316-Q316),F316*(Q316-S316))</f>
        <v>0</v>
      </c>
      <c r="AE316" s="116" t="n">
        <f aca="false">IF($G$3=1,F316*(R316-Q316),F316*(Q316-R316))</f>
        <v>0</v>
      </c>
      <c r="AG316" s="116" t="n">
        <f aca="false">AC316+AE316</f>
        <v>0</v>
      </c>
    </row>
    <row r="317" customFormat="false" ht="12" hidden="false" customHeight="true" outlineLevel="0" collapsed="false">
      <c r="A317" s="120" t="n">
        <f aca="false">EDATE(A316,1)</f>
        <v>46631</v>
      </c>
      <c r="B317" s="121" t="e">
        <f aca="false">VLOOKUP(A317,'Inputs-Summary'!$A$32:$E$41,4,FALSE())</f>
        <v>#N/A</v>
      </c>
      <c r="C317" s="122"/>
      <c r="D317" s="123" t="e">
        <f aca="false">B317+C317</f>
        <v>#N/A</v>
      </c>
      <c r="E317" s="111" t="n">
        <f aca="false">IF(Z317=0,0,IF(AND(Z317=1,$H$3=1),D317*U317,IF($H$3=2,D317,"N/A")))</f>
        <v>0</v>
      </c>
      <c r="F317" s="111" t="n">
        <f aca="false">E317*Y317</f>
        <v>0</v>
      </c>
      <c r="G317" s="124" t="n">
        <f aca="false">VLOOKUP($A317,Table,MATCH(G$4,Curves,0))</f>
        <v>3</v>
      </c>
      <c r="H317" s="125" t="n">
        <f aca="false">G317+$H$7</f>
        <v>3</v>
      </c>
      <c r="I317" s="124" t="n">
        <f aca="false">H317</f>
        <v>3</v>
      </c>
      <c r="J317" s="124" t="n">
        <f aca="false">VLOOKUP($A317,Table,MATCH(J$4,Curves,0))</f>
        <v>4</v>
      </c>
      <c r="K317" s="125" t="n">
        <f aca="false">J317+$K$7</f>
        <v>4</v>
      </c>
      <c r="L317" s="126" t="n">
        <f aca="false">K317</f>
        <v>4</v>
      </c>
      <c r="M317" s="124" t="n">
        <f aca="false">VLOOKUP($A317,Table,MATCH(M$4,Curves,0))</f>
        <v>4</v>
      </c>
      <c r="N317" s="125" t="n">
        <f aca="false">M317+$N$7</f>
        <v>4</v>
      </c>
      <c r="O317" s="126" t="n">
        <v>0.25</v>
      </c>
      <c r="P317" s="114"/>
      <c r="Q317" s="126" t="n">
        <f aca="false">M317+J317+G317</f>
        <v>11</v>
      </c>
      <c r="R317" s="126" t="n">
        <f aca="false">N317+K317+H317</f>
        <v>11</v>
      </c>
      <c r="S317" s="126" t="n">
        <f aca="false">O317+L317+I317</f>
        <v>7.25</v>
      </c>
      <c r="T317" s="127"/>
      <c r="U317" s="5" t="n">
        <f aca="false">A318-A317</f>
        <v>30</v>
      </c>
      <c r="V317" s="128" t="n">
        <f aca="false">CHOOSE(F$3,A318+24,A317)</f>
        <v>46631</v>
      </c>
      <c r="W317" s="5" t="n">
        <f aca="false">V317-C$3</f>
        <v>9400</v>
      </c>
      <c r="X317" s="124" t="n">
        <f aca="false">VLOOKUP($A317,Table,MATCH(X$4,Curves,0))</f>
        <v>2</v>
      </c>
      <c r="Y317" s="129" t="n">
        <f aca="false">1/(1+CHOOSE(F$3,(X318+($K$3/10000))/2,(X317+($K$3/10000))/2))^(2*W317/365.25)</f>
        <v>3.20262464340674E-016</v>
      </c>
      <c r="Z317" s="5" t="n">
        <f aca="false">IF(AND(mthbeg&lt;=A317,mthend&gt;=A317),1,0)</f>
        <v>0</v>
      </c>
      <c r="AA317" s="5" t="n">
        <f aca="false">U317*Z317</f>
        <v>0</v>
      </c>
      <c r="AC317" s="115" t="n">
        <f aca="false">IF(G310=2,F317*(S317-Q317),F317*(Q317-S317))</f>
        <v>0</v>
      </c>
      <c r="AE317" s="116" t="n">
        <f aca="false">IF($G$3=1,F317*(R317-Q317),F317*(Q317-R317))</f>
        <v>0</v>
      </c>
      <c r="AG317" s="116" t="n">
        <f aca="false">AC317+AE317</f>
        <v>0</v>
      </c>
    </row>
    <row r="318" customFormat="false" ht="12" hidden="false" customHeight="true" outlineLevel="0" collapsed="false">
      <c r="A318" s="120" t="n">
        <f aca="false">EDATE(A317,1)</f>
        <v>46661</v>
      </c>
      <c r="B318" s="121" t="e">
        <f aca="false">VLOOKUP(A318,'Inputs-Summary'!$A$32:$E$41,4,FALSE())</f>
        <v>#N/A</v>
      </c>
      <c r="C318" s="122"/>
      <c r="D318" s="123" t="e">
        <f aca="false">B318+C318</f>
        <v>#N/A</v>
      </c>
      <c r="E318" s="111" t="n">
        <f aca="false">IF(Z318=0,0,IF(AND(Z318=1,$H$3=1),D318*U318,IF($H$3=2,D318,"N/A")))</f>
        <v>0</v>
      </c>
      <c r="F318" s="111" t="n">
        <f aca="false">E318*Y318</f>
        <v>0</v>
      </c>
      <c r="G318" s="124" t="n">
        <f aca="false">VLOOKUP($A318,Table,MATCH(G$4,Curves,0))</f>
        <v>3</v>
      </c>
      <c r="H318" s="125" t="n">
        <f aca="false">G318+$H$7</f>
        <v>3</v>
      </c>
      <c r="I318" s="124" t="n">
        <f aca="false">H318</f>
        <v>3</v>
      </c>
      <c r="J318" s="124" t="n">
        <f aca="false">VLOOKUP($A318,Table,MATCH(J$4,Curves,0))</f>
        <v>4</v>
      </c>
      <c r="K318" s="125" t="n">
        <f aca="false">J318+$K$7</f>
        <v>4</v>
      </c>
      <c r="L318" s="126" t="n">
        <f aca="false">K318</f>
        <v>4</v>
      </c>
      <c r="M318" s="124" t="n">
        <f aca="false">VLOOKUP($A318,Table,MATCH(M$4,Curves,0))</f>
        <v>4</v>
      </c>
      <c r="N318" s="125" t="n">
        <f aca="false">M318+$N$7</f>
        <v>4</v>
      </c>
      <c r="O318" s="126" t="n">
        <v>0.25</v>
      </c>
      <c r="P318" s="114"/>
      <c r="Q318" s="126" t="n">
        <f aca="false">M318+J318+G318</f>
        <v>11</v>
      </c>
      <c r="R318" s="126" t="n">
        <f aca="false">N318+K318+H318</f>
        <v>11</v>
      </c>
      <c r="S318" s="126" t="n">
        <f aca="false">O318+L318+I318</f>
        <v>7.25</v>
      </c>
      <c r="T318" s="127"/>
      <c r="U318" s="5" t="n">
        <f aca="false">A319-A318</f>
        <v>31</v>
      </c>
      <c r="V318" s="128" t="n">
        <f aca="false">CHOOSE(F$3,A319+24,A318)</f>
        <v>46661</v>
      </c>
      <c r="W318" s="5" t="n">
        <f aca="false">V318-C$3</f>
        <v>9430</v>
      </c>
      <c r="X318" s="124" t="n">
        <f aca="false">VLOOKUP($A318,Table,MATCH(X$4,Curves,0))</f>
        <v>2</v>
      </c>
      <c r="Y318" s="129" t="n">
        <f aca="false">1/(1+CHOOSE(F$3,(X319+($K$3/10000))/2,(X318+($K$3/10000))/2))^(2*W318/365.25)</f>
        <v>2.85795593554668E-016</v>
      </c>
      <c r="Z318" s="5" t="n">
        <f aca="false">IF(AND(mthbeg&lt;=A318,mthend&gt;=A318),1,0)</f>
        <v>0</v>
      </c>
      <c r="AA318" s="5" t="n">
        <f aca="false">U318*Z318</f>
        <v>0</v>
      </c>
      <c r="AC318" s="115" t="n">
        <f aca="false">IF(G311=2,F318*(S318-Q318),F318*(Q318-S318))</f>
        <v>0</v>
      </c>
      <c r="AE318" s="116" t="n">
        <f aca="false">IF($G$3=1,F318*(R318-Q318),F318*(Q318-R318))</f>
        <v>0</v>
      </c>
      <c r="AG318" s="116" t="n">
        <f aca="false">AC318+AE318</f>
        <v>0</v>
      </c>
    </row>
    <row r="319" customFormat="false" ht="12" hidden="false" customHeight="true" outlineLevel="0" collapsed="false">
      <c r="A319" s="120" t="n">
        <f aca="false">EDATE(A318,1)</f>
        <v>46692</v>
      </c>
      <c r="B319" s="121" t="e">
        <f aca="false">VLOOKUP(A319,'Inputs-Summary'!$A$32:$E$41,4,FALSE())</f>
        <v>#N/A</v>
      </c>
      <c r="C319" s="122"/>
      <c r="D319" s="123" t="e">
        <f aca="false">B319+C319</f>
        <v>#N/A</v>
      </c>
      <c r="E319" s="111" t="n">
        <f aca="false">IF(Z319=0,0,IF(AND(Z319=1,$H$3=1),D319*U319,IF($H$3=2,D319,"N/A")))</f>
        <v>0</v>
      </c>
      <c r="F319" s="111" t="n">
        <f aca="false">E319*Y319</f>
        <v>0</v>
      </c>
      <c r="G319" s="124" t="n">
        <f aca="false">VLOOKUP($A319,Table,MATCH(G$4,Curves,0))</f>
        <v>3</v>
      </c>
      <c r="H319" s="125" t="n">
        <f aca="false">G319+$H$7</f>
        <v>3</v>
      </c>
      <c r="I319" s="124" t="n">
        <f aca="false">H319</f>
        <v>3</v>
      </c>
      <c r="J319" s="124" t="n">
        <f aca="false">VLOOKUP($A319,Table,MATCH(J$4,Curves,0))</f>
        <v>4</v>
      </c>
      <c r="K319" s="125" t="n">
        <f aca="false">J319+$K$7</f>
        <v>4</v>
      </c>
      <c r="L319" s="126" t="n">
        <f aca="false">K319</f>
        <v>4</v>
      </c>
      <c r="M319" s="124" t="n">
        <f aca="false">VLOOKUP($A319,Table,MATCH(M$4,Curves,0))</f>
        <v>4</v>
      </c>
      <c r="N319" s="125" t="n">
        <f aca="false">M319+$N$7</f>
        <v>4</v>
      </c>
      <c r="O319" s="126" t="n">
        <v>0.25</v>
      </c>
      <c r="P319" s="114"/>
      <c r="Q319" s="126" t="n">
        <f aca="false">M319+J319+G319</f>
        <v>11</v>
      </c>
      <c r="R319" s="126" t="n">
        <f aca="false">N319+K319+H319</f>
        <v>11</v>
      </c>
      <c r="S319" s="126" t="n">
        <f aca="false">O319+L319+I319</f>
        <v>7.25</v>
      </c>
      <c r="T319" s="127"/>
      <c r="U319" s="5" t="n">
        <f aca="false">A320-A319</f>
        <v>30</v>
      </c>
      <c r="V319" s="128" t="n">
        <f aca="false">CHOOSE(F$3,A320+24,A319)</f>
        <v>46692</v>
      </c>
      <c r="W319" s="5" t="n">
        <f aca="false">V319-C$3</f>
        <v>9461</v>
      </c>
      <c r="X319" s="124" t="n">
        <f aca="false">VLOOKUP($A319,Table,MATCH(X$4,Curves,0))</f>
        <v>2</v>
      </c>
      <c r="Y319" s="129" t="n">
        <f aca="false">1/(1+CHOOSE(F$3,(X320+($K$3/10000))/2,(X319+($K$3/10000))/2))^(2*W319/365.25)</f>
        <v>2.54071917600703E-016</v>
      </c>
      <c r="Z319" s="5" t="n">
        <f aca="false">IF(AND(mthbeg&lt;=A319,mthend&gt;=A319),1,0)</f>
        <v>0</v>
      </c>
      <c r="AA319" s="5" t="n">
        <f aca="false">U319*Z319</f>
        <v>0</v>
      </c>
      <c r="AC319" s="115" t="n">
        <f aca="false">IF(G312=2,F319*(S319-Q319),F319*(Q319-S319))</f>
        <v>0</v>
      </c>
      <c r="AE319" s="116" t="n">
        <f aca="false">IF($G$3=1,F319*(R319-Q319),F319*(Q319-R319))</f>
        <v>0</v>
      </c>
      <c r="AG319" s="116" t="n">
        <f aca="false">AC319+AE319</f>
        <v>0</v>
      </c>
    </row>
    <row r="320" customFormat="false" ht="12" hidden="false" customHeight="true" outlineLevel="0" collapsed="false">
      <c r="A320" s="120" t="n">
        <f aca="false">EDATE(A319,1)</f>
        <v>46722</v>
      </c>
      <c r="B320" s="121" t="e">
        <f aca="false">VLOOKUP(A320,'Inputs-Summary'!$A$32:$E$41,4,FALSE())</f>
        <v>#N/A</v>
      </c>
      <c r="C320" s="122"/>
      <c r="D320" s="123" t="e">
        <f aca="false">B320+C320</f>
        <v>#N/A</v>
      </c>
      <c r="E320" s="111" t="n">
        <f aca="false">IF(Z320=0,0,IF(AND(Z320=1,$H$3=1),D320*U320,IF($H$3=2,D320,"N/A")))</f>
        <v>0</v>
      </c>
      <c r="F320" s="111" t="n">
        <f aca="false">E320*Y320</f>
        <v>0</v>
      </c>
      <c r="G320" s="124" t="n">
        <f aca="false">VLOOKUP($A320,Table,MATCH(G$4,Curves,0))</f>
        <v>3</v>
      </c>
      <c r="H320" s="125" t="n">
        <f aca="false">G320+$H$7</f>
        <v>3</v>
      </c>
      <c r="I320" s="124" t="n">
        <f aca="false">H320</f>
        <v>3</v>
      </c>
      <c r="J320" s="124" t="n">
        <f aca="false">VLOOKUP($A320,Table,MATCH(J$4,Curves,0))</f>
        <v>4</v>
      </c>
      <c r="K320" s="125" t="n">
        <f aca="false">J320+$K$7</f>
        <v>4</v>
      </c>
      <c r="L320" s="126" t="n">
        <f aca="false">K320</f>
        <v>4</v>
      </c>
      <c r="M320" s="124" t="n">
        <f aca="false">VLOOKUP($A320,Table,MATCH(M$4,Curves,0))</f>
        <v>4</v>
      </c>
      <c r="N320" s="125" t="n">
        <f aca="false">M320+$N$7</f>
        <v>4</v>
      </c>
      <c r="O320" s="126" t="n">
        <v>0.25</v>
      </c>
      <c r="P320" s="114"/>
      <c r="Q320" s="126" t="n">
        <f aca="false">M320+J320+G320</f>
        <v>11</v>
      </c>
      <c r="R320" s="126" t="n">
        <f aca="false">N320+K320+H320</f>
        <v>11</v>
      </c>
      <c r="S320" s="126" t="n">
        <f aca="false">O320+L320+I320</f>
        <v>7.25</v>
      </c>
      <c r="T320" s="127"/>
      <c r="U320" s="5" t="n">
        <f aca="false">A321-A320</f>
        <v>31</v>
      </c>
      <c r="V320" s="128" t="n">
        <f aca="false">CHOOSE(F$3,A321+24,A320)</f>
        <v>46722</v>
      </c>
      <c r="W320" s="5" t="n">
        <f aca="false">V320-C$3</f>
        <v>9491</v>
      </c>
      <c r="X320" s="124" t="n">
        <f aca="false">VLOOKUP($A320,Table,MATCH(X$4,Curves,0))</f>
        <v>2</v>
      </c>
      <c r="Y320" s="129" t="n">
        <f aca="false">1/(1+CHOOSE(F$3,(X321+($K$3/10000))/2,(X320+($K$3/10000))/2))^(2*W320/365.25)</f>
        <v>2.26728519827491E-016</v>
      </c>
      <c r="Z320" s="5" t="n">
        <f aca="false">IF(AND(mthbeg&lt;=A320,mthend&gt;=A320),1,0)</f>
        <v>0</v>
      </c>
      <c r="AA320" s="5" t="n">
        <f aca="false">U320*Z320</f>
        <v>0</v>
      </c>
      <c r="AC320" s="115" t="n">
        <f aca="false">IF(G313=2,F320*(S320-Q320),F320*(Q320-S320))</f>
        <v>0</v>
      </c>
      <c r="AE320" s="116" t="n">
        <f aca="false">IF($G$3=1,F320*(R320-Q320),F320*(Q320-R320))</f>
        <v>0</v>
      </c>
      <c r="AG320" s="116" t="n">
        <f aca="false">AC320+AE320</f>
        <v>0</v>
      </c>
    </row>
    <row r="321" customFormat="false" ht="12" hidden="false" customHeight="true" outlineLevel="0" collapsed="false">
      <c r="A321" s="120" t="n">
        <f aca="false">EDATE(A320,1)</f>
        <v>46753</v>
      </c>
      <c r="B321" s="121" t="e">
        <f aca="false">VLOOKUP(A321,'Inputs-Summary'!$A$32:$E$41,4,FALSE())</f>
        <v>#N/A</v>
      </c>
      <c r="C321" s="122"/>
      <c r="D321" s="123" t="e">
        <f aca="false">B321+C321</f>
        <v>#N/A</v>
      </c>
      <c r="E321" s="111" t="n">
        <f aca="false">IF(Z321=0,0,IF(AND(Z321=1,$H$3=1),D321*U321,IF($H$3=2,D321,"N/A")))</f>
        <v>0</v>
      </c>
      <c r="F321" s="111" t="n">
        <f aca="false">E321*Y321</f>
        <v>0</v>
      </c>
      <c r="G321" s="124" t="n">
        <f aca="false">VLOOKUP($A321,Table,MATCH(G$4,Curves,0))</f>
        <v>3</v>
      </c>
      <c r="H321" s="125" t="n">
        <f aca="false">G321+$H$7</f>
        <v>3</v>
      </c>
      <c r="I321" s="124" t="n">
        <f aca="false">H321</f>
        <v>3</v>
      </c>
      <c r="J321" s="124" t="n">
        <f aca="false">VLOOKUP($A321,Table,MATCH(J$4,Curves,0))</f>
        <v>4</v>
      </c>
      <c r="K321" s="125" t="n">
        <f aca="false">J321+$K$7</f>
        <v>4</v>
      </c>
      <c r="L321" s="126" t="n">
        <f aca="false">K321</f>
        <v>4</v>
      </c>
      <c r="M321" s="124" t="n">
        <f aca="false">VLOOKUP($A321,Table,MATCH(M$4,Curves,0))</f>
        <v>4</v>
      </c>
      <c r="N321" s="125" t="n">
        <f aca="false">M321+$N$7</f>
        <v>4</v>
      </c>
      <c r="O321" s="126" t="n">
        <v>0.25</v>
      </c>
      <c r="P321" s="114"/>
      <c r="Q321" s="126" t="n">
        <f aca="false">M321+J321+G321</f>
        <v>11</v>
      </c>
      <c r="R321" s="126" t="n">
        <f aca="false">N321+K321+H321</f>
        <v>11</v>
      </c>
      <c r="S321" s="126" t="n">
        <f aca="false">O321+L321+I321</f>
        <v>7.25</v>
      </c>
      <c r="T321" s="127"/>
      <c r="U321" s="5" t="n">
        <f aca="false">A322-A321</f>
        <v>31</v>
      </c>
      <c r="V321" s="128" t="n">
        <f aca="false">CHOOSE(F$3,A322+24,A321)</f>
        <v>46753</v>
      </c>
      <c r="W321" s="5" t="n">
        <f aca="false">V321-C$3</f>
        <v>9522</v>
      </c>
      <c r="X321" s="124" t="n">
        <f aca="false">VLOOKUP($A321,Table,MATCH(X$4,Curves,0))</f>
        <v>2</v>
      </c>
      <c r="Y321" s="129" t="n">
        <f aca="false">1/(1+CHOOSE(F$3,(X322+($K$3/10000))/2,(X321+($K$3/10000))/2))^(2*W321/365.25)</f>
        <v>2.01561364508304E-016</v>
      </c>
      <c r="Z321" s="5" t="n">
        <f aca="false">IF(AND(mthbeg&lt;=A321,mthend&gt;=A321),1,0)</f>
        <v>0</v>
      </c>
      <c r="AA321" s="5" t="n">
        <f aca="false">U321*Z321</f>
        <v>0</v>
      </c>
      <c r="AC321" s="115" t="n">
        <f aca="false">IF(G314=2,F321*(S321-Q321),F321*(Q321-S321))</f>
        <v>0</v>
      </c>
      <c r="AE321" s="116" t="n">
        <f aca="false">IF($G$3=1,F321*(R321-Q321),F321*(Q321-R321))</f>
        <v>0</v>
      </c>
      <c r="AG321" s="116" t="n">
        <f aca="false">AC321+AE321</f>
        <v>0</v>
      </c>
    </row>
    <row r="322" customFormat="false" ht="12" hidden="false" customHeight="true" outlineLevel="0" collapsed="false">
      <c r="A322" s="120" t="n">
        <f aca="false">EDATE(A321,1)</f>
        <v>46784</v>
      </c>
      <c r="B322" s="121" t="e">
        <f aca="false">VLOOKUP(A322,'Inputs-Summary'!$A$32:$E$41,4,FALSE())</f>
        <v>#N/A</v>
      </c>
      <c r="C322" s="122"/>
      <c r="D322" s="123" t="e">
        <f aca="false">B322+C322</f>
        <v>#N/A</v>
      </c>
      <c r="E322" s="111" t="n">
        <f aca="false">IF(Z322=0,0,IF(AND(Z322=1,$H$3=1),D322*U322,IF($H$3=2,D322,"N/A")))</f>
        <v>0</v>
      </c>
      <c r="F322" s="111" t="n">
        <f aca="false">E322*Y322</f>
        <v>0</v>
      </c>
      <c r="G322" s="124" t="n">
        <f aca="false">VLOOKUP($A322,Table,MATCH(G$4,Curves,0))</f>
        <v>3</v>
      </c>
      <c r="H322" s="125" t="n">
        <f aca="false">G322+$H$7</f>
        <v>3</v>
      </c>
      <c r="I322" s="124" t="n">
        <f aca="false">H322</f>
        <v>3</v>
      </c>
      <c r="J322" s="124" t="n">
        <f aca="false">VLOOKUP($A322,Table,MATCH(J$4,Curves,0))</f>
        <v>4</v>
      </c>
      <c r="K322" s="125" t="n">
        <f aca="false">J322+$K$7</f>
        <v>4</v>
      </c>
      <c r="L322" s="126" t="n">
        <f aca="false">K322</f>
        <v>4</v>
      </c>
      <c r="M322" s="124" t="n">
        <f aca="false">VLOOKUP($A322,Table,MATCH(M$4,Curves,0))</f>
        <v>4</v>
      </c>
      <c r="N322" s="125" t="n">
        <f aca="false">M322+$N$7</f>
        <v>4</v>
      </c>
      <c r="O322" s="126" t="n">
        <v>0.25</v>
      </c>
      <c r="P322" s="114"/>
      <c r="Q322" s="126" t="n">
        <f aca="false">M322+J322+G322</f>
        <v>11</v>
      </c>
      <c r="R322" s="126" t="n">
        <f aca="false">N322+K322+H322</f>
        <v>11</v>
      </c>
      <c r="S322" s="126" t="n">
        <f aca="false">O322+L322+I322</f>
        <v>7.25</v>
      </c>
      <c r="T322" s="127"/>
      <c r="U322" s="5" t="n">
        <f aca="false">A323-A322</f>
        <v>29</v>
      </c>
      <c r="V322" s="128" t="n">
        <f aca="false">CHOOSE(F$3,A323+24,A322)</f>
        <v>46784</v>
      </c>
      <c r="W322" s="5" t="n">
        <f aca="false">V322-C$3</f>
        <v>9553</v>
      </c>
      <c r="X322" s="124" t="n">
        <f aca="false">VLOOKUP($A322,Table,MATCH(X$4,Curves,0))</f>
        <v>2</v>
      </c>
      <c r="Y322" s="129" t="n">
        <f aca="false">1/(1+CHOOSE(F$3,(X323+($K$3/10000))/2,(X322+($K$3/10000))/2))^(2*W322/365.25)</f>
        <v>1.79187795577552E-016</v>
      </c>
      <c r="Z322" s="5" t="n">
        <f aca="false">IF(AND(mthbeg&lt;=A322,mthend&gt;=A322),1,0)</f>
        <v>0</v>
      </c>
      <c r="AA322" s="5" t="n">
        <f aca="false">U322*Z322</f>
        <v>0</v>
      </c>
      <c r="AC322" s="115" t="n">
        <f aca="false">IF(G315=2,F322*(S322-Q322),F322*(Q322-S322))</f>
        <v>0</v>
      </c>
      <c r="AE322" s="116" t="n">
        <f aca="false">IF($G$3=1,F322*(R322-Q322),F322*(Q322-R322))</f>
        <v>0</v>
      </c>
      <c r="AG322" s="116" t="n">
        <f aca="false">AC322+AE322</f>
        <v>0</v>
      </c>
    </row>
    <row r="323" customFormat="false" ht="12" hidden="false" customHeight="true" outlineLevel="0" collapsed="false">
      <c r="A323" s="120" t="n">
        <f aca="false">EDATE(A322,1)</f>
        <v>46813</v>
      </c>
      <c r="B323" s="121" t="e">
        <f aca="false">VLOOKUP(A323,'Inputs-Summary'!$A$32:$E$41,4,FALSE())</f>
        <v>#N/A</v>
      </c>
      <c r="C323" s="122"/>
      <c r="D323" s="123" t="e">
        <f aca="false">B323+C323</f>
        <v>#N/A</v>
      </c>
      <c r="E323" s="111" t="n">
        <f aca="false">IF(Z323=0,0,IF(AND(Z323=1,$H$3=1),D323*U323,IF($H$3=2,D323,"N/A")))</f>
        <v>0</v>
      </c>
      <c r="F323" s="111" t="n">
        <f aca="false">E323*Y323</f>
        <v>0</v>
      </c>
      <c r="G323" s="124" t="n">
        <f aca="false">VLOOKUP($A323,Table,MATCH(G$4,Curves,0))</f>
        <v>3</v>
      </c>
      <c r="H323" s="125" t="n">
        <f aca="false">G323+$H$7</f>
        <v>3</v>
      </c>
      <c r="I323" s="124" t="n">
        <f aca="false">H323</f>
        <v>3</v>
      </c>
      <c r="J323" s="124" t="n">
        <f aca="false">VLOOKUP($A323,Table,MATCH(J$4,Curves,0))</f>
        <v>4</v>
      </c>
      <c r="K323" s="125" t="n">
        <f aca="false">J323+$K$7</f>
        <v>4</v>
      </c>
      <c r="L323" s="126" t="n">
        <f aca="false">K323</f>
        <v>4</v>
      </c>
      <c r="M323" s="124" t="n">
        <f aca="false">VLOOKUP($A323,Table,MATCH(M$4,Curves,0))</f>
        <v>4</v>
      </c>
      <c r="N323" s="125" t="n">
        <f aca="false">M323+$N$7</f>
        <v>4</v>
      </c>
      <c r="O323" s="126" t="n">
        <v>0.25</v>
      </c>
      <c r="P323" s="114"/>
      <c r="Q323" s="126" t="n">
        <f aca="false">M323+J323+G323</f>
        <v>11</v>
      </c>
      <c r="R323" s="126" t="n">
        <f aca="false">N323+K323+H323</f>
        <v>11</v>
      </c>
      <c r="S323" s="126" t="n">
        <f aca="false">O323+L323+I323</f>
        <v>7.25</v>
      </c>
      <c r="T323" s="127"/>
      <c r="U323" s="5" t="n">
        <f aca="false">A324-A323</f>
        <v>31</v>
      </c>
      <c r="V323" s="128" t="n">
        <f aca="false">CHOOSE(F$3,A324+24,A323)</f>
        <v>46813</v>
      </c>
      <c r="W323" s="5" t="n">
        <f aca="false">V323-C$3</f>
        <v>9582</v>
      </c>
      <c r="X323" s="124" t="n">
        <f aca="false">VLOOKUP($A323,Table,MATCH(X$4,Curves,0))</f>
        <v>2</v>
      </c>
      <c r="Y323" s="129" t="n">
        <f aca="false">1/(1+CHOOSE(F$3,(X324+($K$3/10000))/2,(X323+($K$3/10000))/2))^(2*W323/365.25)</f>
        <v>1.60511541085511E-016</v>
      </c>
      <c r="Z323" s="5" t="n">
        <f aca="false">IF(AND(mthbeg&lt;=A323,mthend&gt;=A323),1,0)</f>
        <v>0</v>
      </c>
      <c r="AA323" s="5" t="n">
        <f aca="false">U323*Z323</f>
        <v>0</v>
      </c>
      <c r="AC323" s="115" t="n">
        <f aca="false">IF(G316=2,F323*(S323-Q323),F323*(Q323-S323))</f>
        <v>0</v>
      </c>
      <c r="AE323" s="116" t="n">
        <f aca="false">IF($G$3=1,F323*(R323-Q323),F323*(Q323-R323))</f>
        <v>0</v>
      </c>
      <c r="AG323" s="116" t="n">
        <f aca="false">AC323+AE323</f>
        <v>0</v>
      </c>
    </row>
    <row r="324" customFormat="false" ht="12" hidden="false" customHeight="true" outlineLevel="0" collapsed="false">
      <c r="A324" s="120" t="n">
        <f aca="false">EDATE(A323,1)</f>
        <v>46844</v>
      </c>
      <c r="B324" s="121" t="e">
        <f aca="false">VLOOKUP(A324,'Inputs-Summary'!$A$32:$E$41,4,FALSE())</f>
        <v>#N/A</v>
      </c>
      <c r="C324" s="122"/>
      <c r="D324" s="123" t="e">
        <f aca="false">B324+C324</f>
        <v>#N/A</v>
      </c>
      <c r="E324" s="111" t="n">
        <f aca="false">IF(Z324=0,0,IF(AND(Z324=1,$H$3=1),D324*U324,IF($H$3=2,D324,"N/A")))</f>
        <v>0</v>
      </c>
      <c r="F324" s="111" t="n">
        <f aca="false">E324*Y324</f>
        <v>0</v>
      </c>
      <c r="G324" s="124" t="n">
        <f aca="false">VLOOKUP($A324,Table,MATCH(G$4,Curves,0))</f>
        <v>3</v>
      </c>
      <c r="H324" s="125" t="n">
        <f aca="false">G324+$H$7</f>
        <v>3</v>
      </c>
      <c r="I324" s="124" t="n">
        <f aca="false">H324</f>
        <v>3</v>
      </c>
      <c r="J324" s="124" t="n">
        <f aca="false">VLOOKUP($A324,Table,MATCH(J$4,Curves,0))</f>
        <v>4</v>
      </c>
      <c r="K324" s="125" t="n">
        <f aca="false">J324+$K$7</f>
        <v>4</v>
      </c>
      <c r="L324" s="126" t="n">
        <f aca="false">K324</f>
        <v>4</v>
      </c>
      <c r="M324" s="124" t="n">
        <f aca="false">VLOOKUP($A324,Table,MATCH(M$4,Curves,0))</f>
        <v>4</v>
      </c>
      <c r="N324" s="125" t="n">
        <f aca="false">M324+$N$7</f>
        <v>4</v>
      </c>
      <c r="O324" s="126" t="n">
        <v>0.25</v>
      </c>
      <c r="P324" s="114"/>
      <c r="Q324" s="126" t="n">
        <f aca="false">M324+J324+G324</f>
        <v>11</v>
      </c>
      <c r="R324" s="126" t="n">
        <f aca="false">N324+K324+H324</f>
        <v>11</v>
      </c>
      <c r="S324" s="126" t="n">
        <f aca="false">O324+L324+I324</f>
        <v>7.25</v>
      </c>
      <c r="T324" s="127"/>
      <c r="U324" s="5" t="n">
        <f aca="false">A325-A324</f>
        <v>30</v>
      </c>
      <c r="V324" s="128" t="n">
        <f aca="false">CHOOSE(F$3,A325+24,A324)</f>
        <v>46844</v>
      </c>
      <c r="W324" s="5" t="n">
        <f aca="false">V324-C$3</f>
        <v>9613</v>
      </c>
      <c r="X324" s="124" t="n">
        <f aca="false">VLOOKUP($A324,Table,MATCH(X$4,Curves,0))</f>
        <v>2</v>
      </c>
      <c r="Y324" s="129" t="n">
        <f aca="false">1/(1+CHOOSE(F$3,(X325+($K$3/10000))/2,(X324+($K$3/10000))/2))^(2*W324/365.25)</f>
        <v>1.42694554990887E-016</v>
      </c>
      <c r="Z324" s="5" t="n">
        <f aca="false">IF(AND(mthbeg&lt;=A324,mthend&gt;=A324),1,0)</f>
        <v>0</v>
      </c>
      <c r="AA324" s="5" t="n">
        <f aca="false">U324*Z324</f>
        <v>0</v>
      </c>
      <c r="AC324" s="115" t="n">
        <f aca="false">IF(G317=2,F324*(S324-Q324),F324*(Q324-S324))</f>
        <v>0</v>
      </c>
      <c r="AE324" s="116" t="n">
        <f aca="false">IF($G$3=1,F324*(R324-Q324),F324*(Q324-R324))</f>
        <v>0</v>
      </c>
      <c r="AG324" s="116" t="n">
        <f aca="false">AC324+AE324</f>
        <v>0</v>
      </c>
    </row>
    <row r="325" customFormat="false" ht="12" hidden="false" customHeight="true" outlineLevel="0" collapsed="false">
      <c r="A325" s="120" t="n">
        <f aca="false">EDATE(A324,1)</f>
        <v>46874</v>
      </c>
      <c r="B325" s="121" t="e">
        <f aca="false">VLOOKUP(A325,'Inputs-Summary'!$A$32:$E$41,4,FALSE())</f>
        <v>#N/A</v>
      </c>
      <c r="C325" s="122"/>
      <c r="D325" s="123" t="e">
        <f aca="false">B325+C325</f>
        <v>#N/A</v>
      </c>
      <c r="E325" s="111" t="n">
        <f aca="false">IF(Z325=0,0,IF(AND(Z325=1,$H$3=1),D325*U325,IF($H$3=2,D325,"N/A")))</f>
        <v>0</v>
      </c>
      <c r="F325" s="111" t="n">
        <f aca="false">E325*Y325</f>
        <v>0</v>
      </c>
      <c r="G325" s="124" t="n">
        <f aca="false">VLOOKUP($A325,Table,MATCH(G$4,Curves,0))</f>
        <v>3</v>
      </c>
      <c r="H325" s="125" t="n">
        <f aca="false">G325+$H$7</f>
        <v>3</v>
      </c>
      <c r="I325" s="124" t="n">
        <f aca="false">H325</f>
        <v>3</v>
      </c>
      <c r="J325" s="124" t="n">
        <f aca="false">VLOOKUP($A325,Table,MATCH(J$4,Curves,0))</f>
        <v>4</v>
      </c>
      <c r="K325" s="125" t="n">
        <f aca="false">J325+$K$7</f>
        <v>4</v>
      </c>
      <c r="L325" s="126" t="n">
        <f aca="false">K325</f>
        <v>4</v>
      </c>
      <c r="M325" s="124" t="n">
        <f aca="false">VLOOKUP($A325,Table,MATCH(M$4,Curves,0))</f>
        <v>4</v>
      </c>
      <c r="N325" s="125" t="n">
        <f aca="false">M325+$N$7</f>
        <v>4</v>
      </c>
      <c r="O325" s="126" t="n">
        <v>0.25</v>
      </c>
      <c r="P325" s="114"/>
      <c r="Q325" s="126" t="n">
        <f aca="false">M325+J325+G325</f>
        <v>11</v>
      </c>
      <c r="R325" s="126" t="n">
        <f aca="false">N325+K325+H325</f>
        <v>11</v>
      </c>
      <c r="S325" s="126" t="n">
        <f aca="false">O325+L325+I325</f>
        <v>7.25</v>
      </c>
      <c r="T325" s="127"/>
      <c r="U325" s="5" t="n">
        <f aca="false">A326-A325</f>
        <v>31</v>
      </c>
      <c r="V325" s="128" t="n">
        <f aca="false">CHOOSE(F$3,A326+24,A325)</f>
        <v>46874</v>
      </c>
      <c r="W325" s="5" t="n">
        <f aca="false">V325-C$3</f>
        <v>9643</v>
      </c>
      <c r="X325" s="124" t="n">
        <f aca="false">VLOOKUP($A325,Table,MATCH(X$4,Curves,0))</f>
        <v>2</v>
      </c>
      <c r="Y325" s="129" t="n">
        <f aca="false">1/(1+CHOOSE(F$3,(X326+($K$3/10000))/2,(X325+($K$3/10000))/2))^(2*W325/365.25)</f>
        <v>1.27337667011952E-016</v>
      </c>
      <c r="Z325" s="5" t="n">
        <f aca="false">IF(AND(mthbeg&lt;=A325,mthend&gt;=A325),1,0)</f>
        <v>0</v>
      </c>
      <c r="AA325" s="5" t="n">
        <f aca="false">U325*Z325</f>
        <v>0</v>
      </c>
      <c r="AC325" s="115" t="n">
        <f aca="false">IF(G318=2,F325*(S325-Q325),F325*(Q325-S325))</f>
        <v>0</v>
      </c>
      <c r="AE325" s="116" t="n">
        <f aca="false">IF($G$3=1,F325*(R325-Q325),F325*(Q325-R325))</f>
        <v>0</v>
      </c>
      <c r="AG325" s="116" t="n">
        <f aca="false">AC325+AE325</f>
        <v>0</v>
      </c>
    </row>
    <row r="326" customFormat="false" ht="12" hidden="false" customHeight="true" outlineLevel="0" collapsed="false">
      <c r="A326" s="120" t="n">
        <f aca="false">EDATE(A325,1)</f>
        <v>46905</v>
      </c>
      <c r="B326" s="121" t="e">
        <f aca="false">VLOOKUP(A326,'Inputs-Summary'!$A$32:$E$41,4,FALSE())</f>
        <v>#N/A</v>
      </c>
      <c r="C326" s="122"/>
      <c r="D326" s="123" t="e">
        <f aca="false">B326+C326</f>
        <v>#N/A</v>
      </c>
      <c r="E326" s="111" t="n">
        <f aca="false">IF(Z326=0,0,IF(AND(Z326=1,$H$3=1),D326*U326,IF($H$3=2,D326,"N/A")))</f>
        <v>0</v>
      </c>
      <c r="F326" s="111" t="n">
        <f aca="false">E326*Y326</f>
        <v>0</v>
      </c>
      <c r="G326" s="124" t="n">
        <f aca="false">VLOOKUP($A326,Table,MATCH(G$4,Curves,0))</f>
        <v>3</v>
      </c>
      <c r="H326" s="125" t="n">
        <f aca="false">G326+$H$7</f>
        <v>3</v>
      </c>
      <c r="I326" s="124" t="n">
        <f aca="false">H326</f>
        <v>3</v>
      </c>
      <c r="J326" s="124" t="n">
        <f aca="false">VLOOKUP($A326,Table,MATCH(J$4,Curves,0))</f>
        <v>4</v>
      </c>
      <c r="K326" s="125" t="n">
        <f aca="false">J326+$K$7</f>
        <v>4</v>
      </c>
      <c r="L326" s="126" t="n">
        <f aca="false">K326</f>
        <v>4</v>
      </c>
      <c r="M326" s="124" t="n">
        <f aca="false">VLOOKUP($A326,Table,MATCH(M$4,Curves,0))</f>
        <v>4</v>
      </c>
      <c r="N326" s="125" t="n">
        <f aca="false">M326+$N$7</f>
        <v>4</v>
      </c>
      <c r="O326" s="126" t="n">
        <v>0.25</v>
      </c>
      <c r="P326" s="114"/>
      <c r="Q326" s="126" t="n">
        <f aca="false">M326+J326+G326</f>
        <v>11</v>
      </c>
      <c r="R326" s="126" t="n">
        <f aca="false">N326+K326+H326</f>
        <v>11</v>
      </c>
      <c r="S326" s="126" t="n">
        <f aca="false">O326+L326+I326</f>
        <v>7.25</v>
      </c>
      <c r="T326" s="127"/>
      <c r="U326" s="5" t="n">
        <f aca="false">A327-A326</f>
        <v>30</v>
      </c>
      <c r="V326" s="128" t="n">
        <f aca="false">CHOOSE(F$3,A327+24,A326)</f>
        <v>46905</v>
      </c>
      <c r="W326" s="5" t="n">
        <f aca="false">V326-C$3</f>
        <v>9674</v>
      </c>
      <c r="X326" s="124" t="n">
        <f aca="false">VLOOKUP($A326,Table,MATCH(X$4,Curves,0))</f>
        <v>2</v>
      </c>
      <c r="Y326" s="129" t="n">
        <f aca="false">1/(1+CHOOSE(F$3,(X327+($K$3/10000))/2,(X326+($K$3/10000))/2))^(2*W326/365.25)</f>
        <v>1.13203023315115E-016</v>
      </c>
      <c r="Z326" s="5" t="n">
        <f aca="false">IF(AND(mthbeg&lt;=A326,mthend&gt;=A326),1,0)</f>
        <v>0</v>
      </c>
      <c r="AA326" s="5" t="n">
        <f aca="false">U326*Z326</f>
        <v>0</v>
      </c>
      <c r="AC326" s="115" t="n">
        <f aca="false">IF(G319=2,F326*(S326-Q326),F326*(Q326-S326))</f>
        <v>0</v>
      </c>
      <c r="AE326" s="116" t="n">
        <f aca="false">IF($G$3=1,F326*(R326-Q326),F326*(Q326-R326))</f>
        <v>0</v>
      </c>
      <c r="AG326" s="116" t="n">
        <f aca="false">AC326+AE326</f>
        <v>0</v>
      </c>
    </row>
    <row r="327" customFormat="false" ht="12" hidden="false" customHeight="true" outlineLevel="0" collapsed="false">
      <c r="A327" s="120" t="n">
        <f aca="false">EDATE(A326,1)</f>
        <v>46935</v>
      </c>
      <c r="B327" s="121" t="e">
        <f aca="false">VLOOKUP(A327,'Inputs-Summary'!$A$32:$E$41,4,FALSE())</f>
        <v>#N/A</v>
      </c>
      <c r="C327" s="122"/>
      <c r="D327" s="123" t="e">
        <f aca="false">B327+C327</f>
        <v>#N/A</v>
      </c>
      <c r="E327" s="111" t="n">
        <f aca="false">IF(Z327=0,0,IF(AND(Z327=1,$H$3=1),D327*U327,IF($H$3=2,D327,"N/A")))</f>
        <v>0</v>
      </c>
      <c r="F327" s="111" t="n">
        <f aca="false">E327*Y327</f>
        <v>0</v>
      </c>
      <c r="G327" s="124" t="n">
        <f aca="false">VLOOKUP($A327,Table,MATCH(G$4,Curves,0))</f>
        <v>3</v>
      </c>
      <c r="H327" s="125" t="n">
        <f aca="false">G327+$H$7</f>
        <v>3</v>
      </c>
      <c r="I327" s="124" t="n">
        <f aca="false">H327</f>
        <v>3</v>
      </c>
      <c r="J327" s="124" t="n">
        <f aca="false">VLOOKUP($A327,Table,MATCH(J$4,Curves,0))</f>
        <v>4</v>
      </c>
      <c r="K327" s="125" t="n">
        <f aca="false">J327+$K$7</f>
        <v>4</v>
      </c>
      <c r="L327" s="126" t="n">
        <f aca="false">K327</f>
        <v>4</v>
      </c>
      <c r="M327" s="124" t="n">
        <f aca="false">VLOOKUP($A327,Table,MATCH(M$4,Curves,0))</f>
        <v>4</v>
      </c>
      <c r="N327" s="125" t="n">
        <f aca="false">M327+$N$7</f>
        <v>4</v>
      </c>
      <c r="O327" s="126" t="n">
        <v>0.25</v>
      </c>
      <c r="P327" s="114"/>
      <c r="Q327" s="126" t="n">
        <f aca="false">M327+J327+G327</f>
        <v>11</v>
      </c>
      <c r="R327" s="126" t="n">
        <f aca="false">N327+K327+H327</f>
        <v>11</v>
      </c>
      <c r="S327" s="126" t="n">
        <f aca="false">O327+L327+I327</f>
        <v>7.25</v>
      </c>
      <c r="T327" s="127"/>
      <c r="U327" s="5" t="n">
        <f aca="false">A328-A327</f>
        <v>31</v>
      </c>
      <c r="V327" s="128" t="n">
        <f aca="false">CHOOSE(F$3,A328+24,A327)</f>
        <v>46935</v>
      </c>
      <c r="W327" s="5" t="n">
        <f aca="false">V327-C$3</f>
        <v>9704</v>
      </c>
      <c r="X327" s="124" t="n">
        <f aca="false">VLOOKUP($A327,Table,MATCH(X$4,Curves,0))</f>
        <v>2</v>
      </c>
      <c r="Y327" s="129" t="n">
        <f aca="false">1/(1+CHOOSE(F$3,(X328+($K$3/10000))/2,(X327+($K$3/10000))/2))^(2*W327/365.25)</f>
        <v>1.0102003463669E-016</v>
      </c>
      <c r="Z327" s="5" t="n">
        <f aca="false">IF(AND(mthbeg&lt;=A327,mthend&gt;=A327),1,0)</f>
        <v>0</v>
      </c>
      <c r="AA327" s="5" t="n">
        <f aca="false">U327*Z327</f>
        <v>0</v>
      </c>
      <c r="AC327" s="115" t="n">
        <f aca="false">IF(G320=2,F327*(S327-Q327),F327*(Q327-S327))</f>
        <v>0</v>
      </c>
      <c r="AE327" s="116" t="n">
        <f aca="false">IF($G$3=1,F327*(R327-Q327),F327*(Q327-R327))</f>
        <v>0</v>
      </c>
      <c r="AG327" s="116" t="n">
        <f aca="false">AC327+AE327</f>
        <v>0</v>
      </c>
    </row>
    <row r="328" customFormat="false" ht="12" hidden="false" customHeight="true" outlineLevel="0" collapsed="false">
      <c r="A328" s="120" t="n">
        <f aca="false">EDATE(A327,1)</f>
        <v>46966</v>
      </c>
      <c r="B328" s="121" t="e">
        <f aca="false">VLOOKUP(A328,'Inputs-Summary'!$A$32:$E$41,4,FALSE())</f>
        <v>#N/A</v>
      </c>
      <c r="C328" s="122"/>
      <c r="D328" s="123" t="e">
        <f aca="false">B328+C328</f>
        <v>#N/A</v>
      </c>
      <c r="E328" s="111" t="n">
        <f aca="false">IF(Z328=0,0,IF(AND(Z328=1,$H$3=1),D328*U328,IF($H$3=2,D328,"N/A")))</f>
        <v>0</v>
      </c>
      <c r="F328" s="111" t="n">
        <f aca="false">E328*Y328</f>
        <v>0</v>
      </c>
      <c r="G328" s="124" t="n">
        <f aca="false">VLOOKUP($A328,Table,MATCH(G$4,Curves,0))</f>
        <v>3</v>
      </c>
      <c r="H328" s="125" t="n">
        <f aca="false">G328+$H$7</f>
        <v>3</v>
      </c>
      <c r="I328" s="124" t="n">
        <f aca="false">H328</f>
        <v>3</v>
      </c>
      <c r="J328" s="124" t="n">
        <f aca="false">VLOOKUP($A328,Table,MATCH(J$4,Curves,0))</f>
        <v>4</v>
      </c>
      <c r="K328" s="125" t="n">
        <f aca="false">J328+$K$7</f>
        <v>4</v>
      </c>
      <c r="L328" s="126" t="n">
        <f aca="false">K328</f>
        <v>4</v>
      </c>
      <c r="M328" s="124" t="n">
        <f aca="false">VLOOKUP($A328,Table,MATCH(M$4,Curves,0))</f>
        <v>4</v>
      </c>
      <c r="N328" s="125" t="n">
        <f aca="false">M328+$N$7</f>
        <v>4</v>
      </c>
      <c r="O328" s="126" t="n">
        <v>0.25</v>
      </c>
      <c r="P328" s="114"/>
      <c r="Q328" s="126" t="n">
        <f aca="false">M328+J328+G328</f>
        <v>11</v>
      </c>
      <c r="R328" s="126" t="n">
        <f aca="false">N328+K328+H328</f>
        <v>11</v>
      </c>
      <c r="S328" s="126" t="n">
        <f aca="false">O328+L328+I328</f>
        <v>7.25</v>
      </c>
      <c r="T328" s="127"/>
      <c r="U328" s="5" t="n">
        <f aca="false">A329-A328</f>
        <v>31</v>
      </c>
      <c r="V328" s="128" t="n">
        <f aca="false">CHOOSE(F$3,A329+24,A328)</f>
        <v>46966</v>
      </c>
      <c r="W328" s="5" t="n">
        <f aca="false">V328-C$3</f>
        <v>9735</v>
      </c>
      <c r="X328" s="124" t="n">
        <f aca="false">VLOOKUP($A328,Table,MATCH(X$4,Curves,0))</f>
        <v>2</v>
      </c>
      <c r="Y328" s="129" t="n">
        <f aca="false">1/(1+CHOOSE(F$3,(X329+($K$3/10000))/2,(X328+($K$3/10000))/2))^(2*W328/365.25)</f>
        <v>8.98066817511082E-017</v>
      </c>
      <c r="Z328" s="5" t="n">
        <f aca="false">IF(AND(mthbeg&lt;=A328,mthend&gt;=A328),1,0)</f>
        <v>0</v>
      </c>
      <c r="AA328" s="5" t="n">
        <f aca="false">U328*Z328</f>
        <v>0</v>
      </c>
      <c r="AC328" s="115" t="n">
        <f aca="false">IF(G321=2,F328*(S328-Q328),F328*(Q328-S328))</f>
        <v>0</v>
      </c>
      <c r="AE328" s="116" t="n">
        <f aca="false">IF($G$3=1,F328*(R328-Q328),F328*(Q328-R328))</f>
        <v>0</v>
      </c>
      <c r="AG328" s="116" t="n">
        <f aca="false">AC328+AE328</f>
        <v>0</v>
      </c>
    </row>
    <row r="329" customFormat="false" ht="12" hidden="false" customHeight="true" outlineLevel="0" collapsed="false">
      <c r="A329" s="120" t="n">
        <f aca="false">EDATE(A328,1)</f>
        <v>46997</v>
      </c>
      <c r="B329" s="121" t="e">
        <f aca="false">VLOOKUP(A329,'Inputs-Summary'!$A$32:$E$41,4,FALSE())</f>
        <v>#N/A</v>
      </c>
      <c r="C329" s="122"/>
      <c r="D329" s="123" t="e">
        <f aca="false">B329+C329</f>
        <v>#N/A</v>
      </c>
      <c r="E329" s="111" t="n">
        <f aca="false">IF(Z329=0,0,IF(AND(Z329=1,$H$3=1),D329*U329,IF($H$3=2,D329,"N/A")))</f>
        <v>0</v>
      </c>
      <c r="F329" s="111" t="n">
        <f aca="false">E329*Y329</f>
        <v>0</v>
      </c>
      <c r="G329" s="124" t="n">
        <f aca="false">VLOOKUP($A329,Table,MATCH(G$4,Curves,0))</f>
        <v>3</v>
      </c>
      <c r="H329" s="125" t="n">
        <f aca="false">G329+$H$7</f>
        <v>3</v>
      </c>
      <c r="I329" s="124" t="n">
        <f aca="false">H329</f>
        <v>3</v>
      </c>
      <c r="J329" s="124" t="n">
        <f aca="false">VLOOKUP($A329,Table,MATCH(J$4,Curves,0))</f>
        <v>4</v>
      </c>
      <c r="K329" s="125" t="n">
        <f aca="false">J329+$K$7</f>
        <v>4</v>
      </c>
      <c r="L329" s="126" t="n">
        <f aca="false">K329</f>
        <v>4</v>
      </c>
      <c r="M329" s="124" t="n">
        <f aca="false">VLOOKUP($A329,Table,MATCH(M$4,Curves,0))</f>
        <v>4</v>
      </c>
      <c r="N329" s="125" t="n">
        <f aca="false">M329+$N$7</f>
        <v>4</v>
      </c>
      <c r="O329" s="126" t="n">
        <v>0.25</v>
      </c>
      <c r="P329" s="114"/>
      <c r="Q329" s="126" t="n">
        <f aca="false">M329+J329+G329</f>
        <v>11</v>
      </c>
      <c r="R329" s="126" t="n">
        <f aca="false">N329+K329+H329</f>
        <v>11</v>
      </c>
      <c r="S329" s="126" t="n">
        <f aca="false">O329+L329+I329</f>
        <v>7.25</v>
      </c>
      <c r="T329" s="127"/>
      <c r="U329" s="5" t="n">
        <f aca="false">A330-A329</f>
        <v>30</v>
      </c>
      <c r="V329" s="128" t="n">
        <f aca="false">CHOOSE(F$3,A330+24,A329)</f>
        <v>46997</v>
      </c>
      <c r="W329" s="5" t="n">
        <f aca="false">V329-C$3</f>
        <v>9766</v>
      </c>
      <c r="X329" s="124" t="n">
        <f aca="false">VLOOKUP($A329,Table,MATCH(X$4,Curves,0))</f>
        <v>2</v>
      </c>
      <c r="Y329" s="129" t="n">
        <f aca="false">1/(1+CHOOSE(F$3,(X330+($K$3/10000))/2,(X329+($K$3/10000))/2))^(2*W329/365.25)</f>
        <v>7.98380253595319E-017</v>
      </c>
      <c r="Z329" s="5" t="n">
        <f aca="false">IF(AND(mthbeg&lt;=A329,mthend&gt;=A329),1,0)</f>
        <v>0</v>
      </c>
      <c r="AA329" s="5" t="n">
        <f aca="false">U329*Z329</f>
        <v>0</v>
      </c>
      <c r="AC329" s="115" t="n">
        <f aca="false">IF(G322=2,F329*(S329-Q329),F329*(Q329-S329))</f>
        <v>0</v>
      </c>
      <c r="AE329" s="116" t="n">
        <f aca="false">IF($G$3=1,F329*(R329-Q329),F329*(Q329-R329))</f>
        <v>0</v>
      </c>
      <c r="AG329" s="116" t="n">
        <f aca="false">AC329+AE329</f>
        <v>0</v>
      </c>
    </row>
    <row r="330" customFormat="false" ht="12" hidden="false" customHeight="true" outlineLevel="0" collapsed="false">
      <c r="A330" s="120" t="n">
        <f aca="false">EDATE(A329,1)</f>
        <v>47027</v>
      </c>
      <c r="B330" s="121" t="e">
        <f aca="false">VLOOKUP(A330,'Inputs-Summary'!$A$32:$E$41,4,FALSE())</f>
        <v>#N/A</v>
      </c>
      <c r="C330" s="122"/>
      <c r="D330" s="123" t="e">
        <f aca="false">B330+C330</f>
        <v>#N/A</v>
      </c>
      <c r="E330" s="111" t="n">
        <f aca="false">IF(Z330=0,0,IF(AND(Z330=1,$H$3=1),D330*U330,IF($H$3=2,D330,"N/A")))</f>
        <v>0</v>
      </c>
      <c r="F330" s="111" t="n">
        <f aca="false">E330*Y330</f>
        <v>0</v>
      </c>
      <c r="G330" s="124" t="n">
        <f aca="false">VLOOKUP($A330,Table,MATCH(G$4,Curves,0))</f>
        <v>3</v>
      </c>
      <c r="H330" s="125" t="n">
        <f aca="false">G330+$H$7</f>
        <v>3</v>
      </c>
      <c r="I330" s="124" t="n">
        <f aca="false">H330</f>
        <v>3</v>
      </c>
      <c r="J330" s="124" t="n">
        <f aca="false">VLOOKUP($A330,Table,MATCH(J$4,Curves,0))</f>
        <v>4</v>
      </c>
      <c r="K330" s="125" t="n">
        <f aca="false">J330+$K$7</f>
        <v>4</v>
      </c>
      <c r="L330" s="126" t="n">
        <f aca="false">K330</f>
        <v>4</v>
      </c>
      <c r="M330" s="124" t="n">
        <f aca="false">VLOOKUP($A330,Table,MATCH(M$4,Curves,0))</f>
        <v>4</v>
      </c>
      <c r="N330" s="125" t="n">
        <f aca="false">M330+$N$7</f>
        <v>4</v>
      </c>
      <c r="O330" s="126" t="n">
        <v>0.25</v>
      </c>
      <c r="P330" s="114"/>
      <c r="Q330" s="126" t="n">
        <f aca="false">M330+J330+G330</f>
        <v>11</v>
      </c>
      <c r="R330" s="126" t="n">
        <f aca="false">N330+K330+H330</f>
        <v>11</v>
      </c>
      <c r="S330" s="126" t="n">
        <f aca="false">O330+L330+I330</f>
        <v>7.25</v>
      </c>
      <c r="T330" s="127"/>
      <c r="U330" s="5" t="n">
        <f aca="false">A331-A330</f>
        <v>31</v>
      </c>
      <c r="V330" s="128" t="n">
        <f aca="false">CHOOSE(F$3,A331+24,A330)</f>
        <v>47027</v>
      </c>
      <c r="W330" s="5" t="n">
        <f aca="false">V330-C$3</f>
        <v>9796</v>
      </c>
      <c r="X330" s="124" t="n">
        <f aca="false">VLOOKUP($A330,Table,MATCH(X$4,Curves,0))</f>
        <v>2</v>
      </c>
      <c r="Y330" s="129" t="n">
        <f aca="false">1/(1+CHOOSE(F$3,(X331+($K$3/10000))/2,(X330+($K$3/10000))/2))^(2*W330/365.25)</f>
        <v>7.1245801136372E-017</v>
      </c>
      <c r="Z330" s="5" t="n">
        <f aca="false">IF(AND(mthbeg&lt;=A330,mthend&gt;=A330),1,0)</f>
        <v>0</v>
      </c>
      <c r="AA330" s="5" t="n">
        <f aca="false">U330*Z330</f>
        <v>0</v>
      </c>
      <c r="AC330" s="115" t="n">
        <f aca="false">IF(G323=2,F330*(S330-Q330),F330*(Q330-S330))</f>
        <v>0</v>
      </c>
      <c r="AE330" s="116" t="n">
        <f aca="false">IF($G$3=1,F330*(R330-Q330),F330*(Q330-R330))</f>
        <v>0</v>
      </c>
      <c r="AG330" s="116" t="n">
        <f aca="false">AC330+AE330</f>
        <v>0</v>
      </c>
    </row>
    <row r="331" customFormat="false" ht="12" hidden="false" customHeight="true" outlineLevel="0" collapsed="false">
      <c r="A331" s="120" t="n">
        <f aca="false">EDATE(A330,1)</f>
        <v>47058</v>
      </c>
      <c r="B331" s="121" t="e">
        <f aca="false">VLOOKUP(A331,'Inputs-Summary'!$A$32:$E$41,4,FALSE())</f>
        <v>#N/A</v>
      </c>
      <c r="C331" s="122"/>
      <c r="D331" s="123" t="e">
        <f aca="false">B331+C331</f>
        <v>#N/A</v>
      </c>
      <c r="E331" s="111" t="n">
        <f aca="false">IF(Z331=0,0,IF(AND(Z331=1,$H$3=1),D331*U331,IF($H$3=2,D331,"N/A")))</f>
        <v>0</v>
      </c>
      <c r="F331" s="111" t="n">
        <f aca="false">E331*Y331</f>
        <v>0</v>
      </c>
      <c r="G331" s="124" t="n">
        <f aca="false">VLOOKUP($A331,Table,MATCH(G$4,Curves,0))</f>
        <v>3</v>
      </c>
      <c r="H331" s="125" t="n">
        <f aca="false">G331+$H$7</f>
        <v>3</v>
      </c>
      <c r="I331" s="124" t="n">
        <f aca="false">H331</f>
        <v>3</v>
      </c>
      <c r="J331" s="124" t="n">
        <f aca="false">VLOOKUP($A331,Table,MATCH(J$4,Curves,0))</f>
        <v>4</v>
      </c>
      <c r="K331" s="125" t="n">
        <f aca="false">J331+$K$7</f>
        <v>4</v>
      </c>
      <c r="L331" s="126" t="n">
        <f aca="false">K331</f>
        <v>4</v>
      </c>
      <c r="M331" s="124" t="n">
        <f aca="false">VLOOKUP($A331,Table,MATCH(M$4,Curves,0))</f>
        <v>4</v>
      </c>
      <c r="N331" s="125" t="n">
        <f aca="false">M331+$N$7</f>
        <v>4</v>
      </c>
      <c r="O331" s="126" t="n">
        <v>0.25</v>
      </c>
      <c r="P331" s="114"/>
      <c r="Q331" s="126" t="n">
        <f aca="false">M331+J331+G331</f>
        <v>11</v>
      </c>
      <c r="R331" s="126" t="n">
        <f aca="false">N331+K331+H331</f>
        <v>11</v>
      </c>
      <c r="S331" s="126" t="n">
        <f aca="false">O331+L331+I331</f>
        <v>7.25</v>
      </c>
      <c r="T331" s="127"/>
      <c r="U331" s="5" t="n">
        <f aca="false">A332-A331</f>
        <v>30</v>
      </c>
      <c r="V331" s="128" t="n">
        <f aca="false">CHOOSE(F$3,A332+24,A331)</f>
        <v>47058</v>
      </c>
      <c r="W331" s="5" t="n">
        <f aca="false">V331-C$3</f>
        <v>9827</v>
      </c>
      <c r="X331" s="124" t="n">
        <f aca="false">VLOOKUP($A331,Table,MATCH(X$4,Curves,0))</f>
        <v>2</v>
      </c>
      <c r="Y331" s="129" t="n">
        <f aca="false">1/(1+CHOOSE(F$3,(X332+($K$3/10000))/2,(X331+($K$3/10000))/2))^(2*W331/365.25)</f>
        <v>6.33374262023177E-017</v>
      </c>
      <c r="Z331" s="5" t="n">
        <f aca="false">IF(AND(mthbeg&lt;=A331,mthend&gt;=A331),1,0)</f>
        <v>0</v>
      </c>
      <c r="AA331" s="5" t="n">
        <f aca="false">U331*Z331</f>
        <v>0</v>
      </c>
      <c r="AC331" s="115" t="n">
        <f aca="false">IF(G324=2,F331*(S331-Q331),F331*(Q331-S331))</f>
        <v>0</v>
      </c>
      <c r="AE331" s="116" t="n">
        <f aca="false">IF($G$3=1,F331*(R331-Q331),F331*(Q331-R331))</f>
        <v>0</v>
      </c>
      <c r="AG331" s="116" t="n">
        <f aca="false">AC331+AE331</f>
        <v>0</v>
      </c>
    </row>
    <row r="332" customFormat="false" ht="12" hidden="false" customHeight="true" outlineLevel="0" collapsed="false">
      <c r="A332" s="120" t="n">
        <f aca="false">EDATE(A331,1)</f>
        <v>47088</v>
      </c>
      <c r="B332" s="121" t="e">
        <f aca="false">VLOOKUP(A332,'Inputs-Summary'!$A$32:$E$41,4,FALSE())</f>
        <v>#N/A</v>
      </c>
      <c r="C332" s="122"/>
      <c r="D332" s="123" t="e">
        <f aca="false">B332+C332</f>
        <v>#N/A</v>
      </c>
      <c r="E332" s="111" t="n">
        <f aca="false">IF(Z332=0,0,IF(AND(Z332=1,$H$3=1),D332*U332,IF($H$3=2,D332,"N/A")))</f>
        <v>0</v>
      </c>
      <c r="F332" s="111" t="n">
        <f aca="false">E332*Y332</f>
        <v>0</v>
      </c>
      <c r="G332" s="124" t="n">
        <f aca="false">VLOOKUP($A332,Table,MATCH(G$4,Curves,0))</f>
        <v>3</v>
      </c>
      <c r="H332" s="125" t="n">
        <f aca="false">G332+$H$7</f>
        <v>3</v>
      </c>
      <c r="I332" s="124" t="n">
        <f aca="false">H332</f>
        <v>3</v>
      </c>
      <c r="J332" s="124" t="n">
        <f aca="false">VLOOKUP($A332,Table,MATCH(J$4,Curves,0))</f>
        <v>4</v>
      </c>
      <c r="K332" s="125" t="n">
        <f aca="false">J332+$K$7</f>
        <v>4</v>
      </c>
      <c r="L332" s="126" t="n">
        <f aca="false">K332</f>
        <v>4</v>
      </c>
      <c r="M332" s="124" t="n">
        <f aca="false">VLOOKUP($A332,Table,MATCH(M$4,Curves,0))</f>
        <v>4</v>
      </c>
      <c r="N332" s="125" t="n">
        <f aca="false">M332+$N$7</f>
        <v>4</v>
      </c>
      <c r="O332" s="126" t="n">
        <v>0.25</v>
      </c>
      <c r="P332" s="114"/>
      <c r="Q332" s="126" t="n">
        <f aca="false">M332+J332+G332</f>
        <v>11</v>
      </c>
      <c r="R332" s="126" t="n">
        <f aca="false">N332+K332+H332</f>
        <v>11</v>
      </c>
      <c r="S332" s="126" t="n">
        <f aca="false">O332+L332+I332</f>
        <v>7.25</v>
      </c>
      <c r="T332" s="127"/>
      <c r="U332" s="5" t="n">
        <f aca="false">A333-A332</f>
        <v>31</v>
      </c>
      <c r="V332" s="128" t="n">
        <f aca="false">CHOOSE(F$3,A333+24,A332)</f>
        <v>47088</v>
      </c>
      <c r="W332" s="5" t="n">
        <f aca="false">V332-C$3</f>
        <v>9857</v>
      </c>
      <c r="X332" s="124" t="n">
        <f aca="false">VLOOKUP($A332,Table,MATCH(X$4,Curves,0))</f>
        <v>2</v>
      </c>
      <c r="Y332" s="129" t="n">
        <f aca="false">1/(1+CHOOSE(F$3,(X333+($K$3/10000))/2,(X332+($K$3/10000))/2))^(2*W332/365.25)</f>
        <v>5.65210080206625E-017</v>
      </c>
      <c r="Z332" s="5" t="n">
        <f aca="false">IF(AND(mthbeg&lt;=A332,mthend&gt;=A332),1,0)</f>
        <v>0</v>
      </c>
      <c r="AA332" s="5" t="n">
        <f aca="false">U332*Z332</f>
        <v>0</v>
      </c>
      <c r="AC332" s="115" t="n">
        <f aca="false">IF(G325=2,F332*(S332-Q332),F332*(Q332-S332))</f>
        <v>0</v>
      </c>
      <c r="AE332" s="116" t="n">
        <f aca="false">IF($G$3=1,F332*(R332-Q332),F332*(Q332-R332))</f>
        <v>0</v>
      </c>
      <c r="AG332" s="116" t="n">
        <f aca="false">AC332+AE332</f>
        <v>0</v>
      </c>
    </row>
    <row r="333" customFormat="false" ht="12" hidden="false" customHeight="true" outlineLevel="0" collapsed="false">
      <c r="A333" s="120" t="n">
        <f aca="false">EDATE(A332,1)</f>
        <v>47119</v>
      </c>
      <c r="B333" s="121" t="e">
        <f aca="false">VLOOKUP(A333,'Inputs-Summary'!$A$32:$E$41,4,FALSE())</f>
        <v>#N/A</v>
      </c>
      <c r="C333" s="122"/>
      <c r="D333" s="123" t="e">
        <f aca="false">B333+C333</f>
        <v>#N/A</v>
      </c>
      <c r="E333" s="111" t="n">
        <f aca="false">IF(Z333=0,0,IF(AND(Z333=1,$H$3=1),D333*U333,IF($H$3=2,D333,"N/A")))</f>
        <v>0</v>
      </c>
      <c r="F333" s="111" t="n">
        <f aca="false">E333*Y333</f>
        <v>0</v>
      </c>
      <c r="G333" s="124" t="n">
        <f aca="false">VLOOKUP($A333,Table,MATCH(G$4,Curves,0))</f>
        <v>3</v>
      </c>
      <c r="H333" s="125" t="n">
        <f aca="false">G333+$H$7</f>
        <v>3</v>
      </c>
      <c r="I333" s="124" t="n">
        <f aca="false">H333</f>
        <v>3</v>
      </c>
      <c r="J333" s="124" t="n">
        <f aca="false">VLOOKUP($A333,Table,MATCH(J$4,Curves,0))</f>
        <v>4</v>
      </c>
      <c r="K333" s="125" t="n">
        <f aca="false">J333+$K$7</f>
        <v>4</v>
      </c>
      <c r="L333" s="126" t="n">
        <f aca="false">K333</f>
        <v>4</v>
      </c>
      <c r="M333" s="124" t="n">
        <f aca="false">VLOOKUP($A333,Table,MATCH(M$4,Curves,0))</f>
        <v>4</v>
      </c>
      <c r="N333" s="125" t="n">
        <f aca="false">M333+$N$7</f>
        <v>4</v>
      </c>
      <c r="O333" s="126" t="n">
        <v>0.25</v>
      </c>
      <c r="P333" s="114"/>
      <c r="Q333" s="126" t="n">
        <f aca="false">M333+J333+G333</f>
        <v>11</v>
      </c>
      <c r="R333" s="126" t="n">
        <f aca="false">N333+K333+H333</f>
        <v>11</v>
      </c>
      <c r="S333" s="126" t="n">
        <f aca="false">O333+L333+I333</f>
        <v>7.25</v>
      </c>
      <c r="T333" s="127"/>
      <c r="U333" s="5" t="n">
        <f aca="false">A334-A333</f>
        <v>31</v>
      </c>
      <c r="V333" s="128" t="n">
        <f aca="false">CHOOSE(F$3,A334+24,A333)</f>
        <v>47119</v>
      </c>
      <c r="W333" s="5" t="n">
        <f aca="false">V333-C$3</f>
        <v>9888</v>
      </c>
      <c r="X333" s="124" t="n">
        <f aca="false">VLOOKUP($A333,Table,MATCH(X$4,Curves,0))</f>
        <v>2</v>
      </c>
      <c r="Y333" s="129" t="n">
        <f aca="false">1/(1+CHOOSE(F$3,(X334+($K$3/10000))/2,(X333+($K$3/10000))/2))^(2*W333/365.25)</f>
        <v>5.0247103931599E-017</v>
      </c>
      <c r="Z333" s="5" t="n">
        <f aca="false">IF(AND(mthbeg&lt;=A333,mthend&gt;=A333),1,0)</f>
        <v>0</v>
      </c>
      <c r="AA333" s="5" t="n">
        <f aca="false">U333*Z333</f>
        <v>0</v>
      </c>
      <c r="AC333" s="115" t="n">
        <f aca="false">IF(G326=2,F333*(S333-Q333),F333*(Q333-S333))</f>
        <v>0</v>
      </c>
      <c r="AE333" s="116" t="n">
        <f aca="false">IF($G$3=1,F333*(R333-Q333),F333*(Q333-R333))</f>
        <v>0</v>
      </c>
      <c r="AG333" s="116" t="n">
        <f aca="false">AC333+AE333</f>
        <v>0</v>
      </c>
    </row>
    <row r="334" customFormat="false" ht="12" hidden="false" customHeight="true" outlineLevel="0" collapsed="false">
      <c r="A334" s="120" t="n">
        <f aca="false">EDATE(A333,1)</f>
        <v>47150</v>
      </c>
      <c r="B334" s="121" t="e">
        <f aca="false">VLOOKUP(A334,'Inputs-Summary'!$A$32:$E$41,4,FALSE())</f>
        <v>#N/A</v>
      </c>
      <c r="C334" s="122"/>
      <c r="D334" s="123" t="e">
        <f aca="false">B334+C334</f>
        <v>#N/A</v>
      </c>
      <c r="E334" s="111" t="n">
        <f aca="false">IF(Z334=0,0,IF(AND(Z334=1,$H$3=1),D334*U334,IF($H$3=2,D334,"N/A")))</f>
        <v>0</v>
      </c>
      <c r="F334" s="111" t="n">
        <f aca="false">E334*Y334</f>
        <v>0</v>
      </c>
      <c r="G334" s="124" t="n">
        <f aca="false">VLOOKUP($A334,Table,MATCH(G$4,Curves,0))</f>
        <v>3</v>
      </c>
      <c r="H334" s="125" t="n">
        <f aca="false">G334+$H$7</f>
        <v>3</v>
      </c>
      <c r="I334" s="124" t="n">
        <f aca="false">H334</f>
        <v>3</v>
      </c>
      <c r="J334" s="124" t="n">
        <f aca="false">VLOOKUP($A334,Table,MATCH(J$4,Curves,0))</f>
        <v>4</v>
      </c>
      <c r="K334" s="125" t="n">
        <f aca="false">J334+$K$7</f>
        <v>4</v>
      </c>
      <c r="L334" s="126" t="n">
        <f aca="false">K334</f>
        <v>4</v>
      </c>
      <c r="M334" s="124" t="n">
        <f aca="false">VLOOKUP($A334,Table,MATCH(M$4,Curves,0))</f>
        <v>4</v>
      </c>
      <c r="N334" s="125" t="n">
        <f aca="false">M334+$N$7</f>
        <v>4</v>
      </c>
      <c r="O334" s="126" t="n">
        <v>0.25</v>
      </c>
      <c r="P334" s="114"/>
      <c r="Q334" s="126" t="n">
        <f aca="false">M334+J334+G334</f>
        <v>11</v>
      </c>
      <c r="R334" s="126" t="n">
        <f aca="false">N334+K334+H334</f>
        <v>11</v>
      </c>
      <c r="S334" s="126" t="n">
        <f aca="false">O334+L334+I334</f>
        <v>7.25</v>
      </c>
      <c r="T334" s="127"/>
      <c r="U334" s="5" t="n">
        <f aca="false">A335-A334</f>
        <v>28</v>
      </c>
      <c r="V334" s="128" t="n">
        <f aca="false">CHOOSE(F$3,A335+24,A334)</f>
        <v>47150</v>
      </c>
      <c r="W334" s="5" t="n">
        <f aca="false">V334-C$3</f>
        <v>9919</v>
      </c>
      <c r="X334" s="124" t="n">
        <f aca="false">VLOOKUP($A334,Table,MATCH(X$4,Curves,0))</f>
        <v>2</v>
      </c>
      <c r="Y334" s="129" t="n">
        <f aca="false">1/(1+CHOOSE(F$3,(X335+($K$3/10000))/2,(X334+($K$3/10000))/2))^(2*W334/365.25)</f>
        <v>4.46696112105772E-017</v>
      </c>
      <c r="Z334" s="5" t="n">
        <f aca="false">IF(AND(mthbeg&lt;=A334,mthend&gt;=A334),1,0)</f>
        <v>0</v>
      </c>
      <c r="AA334" s="5" t="n">
        <f aca="false">U334*Z334</f>
        <v>0</v>
      </c>
      <c r="AC334" s="115" t="n">
        <f aca="false">IF(G327=2,F334*(S334-Q334),F334*(Q334-S334))</f>
        <v>0</v>
      </c>
      <c r="AE334" s="116" t="n">
        <f aca="false">IF($G$3=1,F334*(R334-Q334),F334*(Q334-R334))</f>
        <v>0</v>
      </c>
      <c r="AG334" s="116" t="n">
        <f aca="false">AC334+AE334</f>
        <v>0</v>
      </c>
    </row>
    <row r="335" customFormat="false" ht="12" hidden="false" customHeight="true" outlineLevel="0" collapsed="false">
      <c r="A335" s="120" t="n">
        <f aca="false">EDATE(A334,1)</f>
        <v>47178</v>
      </c>
      <c r="B335" s="121" t="e">
        <f aca="false">VLOOKUP(A335,'Inputs-Summary'!$A$32:$E$41,4,FALSE())</f>
        <v>#N/A</v>
      </c>
      <c r="C335" s="122"/>
      <c r="D335" s="123" t="e">
        <f aca="false">B335+C335</f>
        <v>#N/A</v>
      </c>
      <c r="E335" s="111" t="n">
        <f aca="false">IF(Z335=0,0,IF(AND(Z335=1,$H$3=1),D335*U335,IF($H$3=2,D335,"N/A")))</f>
        <v>0</v>
      </c>
      <c r="F335" s="111" t="n">
        <f aca="false">E335*Y335</f>
        <v>0</v>
      </c>
      <c r="G335" s="124" t="n">
        <f aca="false">VLOOKUP($A335,Table,MATCH(G$4,Curves,0))</f>
        <v>3</v>
      </c>
      <c r="H335" s="125" t="n">
        <f aca="false">G335+$H$7</f>
        <v>3</v>
      </c>
      <c r="I335" s="124" t="n">
        <f aca="false">H335</f>
        <v>3</v>
      </c>
      <c r="J335" s="124" t="n">
        <f aca="false">VLOOKUP($A335,Table,MATCH(J$4,Curves,0))</f>
        <v>4</v>
      </c>
      <c r="K335" s="125" t="n">
        <f aca="false">J335+$K$7</f>
        <v>4</v>
      </c>
      <c r="L335" s="126" t="n">
        <f aca="false">K335</f>
        <v>4</v>
      </c>
      <c r="M335" s="124" t="n">
        <f aca="false">VLOOKUP($A335,Table,MATCH(M$4,Curves,0))</f>
        <v>4</v>
      </c>
      <c r="N335" s="125" t="n">
        <f aca="false">M335+$N$7</f>
        <v>4</v>
      </c>
      <c r="O335" s="126" t="n">
        <v>0.25</v>
      </c>
      <c r="P335" s="114"/>
      <c r="Q335" s="126" t="n">
        <f aca="false">M335+J335+G335</f>
        <v>11</v>
      </c>
      <c r="R335" s="126" t="n">
        <f aca="false">N335+K335+H335</f>
        <v>11</v>
      </c>
      <c r="S335" s="126" t="n">
        <f aca="false">O335+L335+I335</f>
        <v>7.25</v>
      </c>
      <c r="T335" s="127"/>
      <c r="U335" s="5" t="n">
        <f aca="false">A336-A335</f>
        <v>31</v>
      </c>
      <c r="V335" s="128" t="n">
        <f aca="false">CHOOSE(F$3,A336+24,A335)</f>
        <v>47178</v>
      </c>
      <c r="W335" s="5" t="n">
        <f aca="false">V335-C$3</f>
        <v>9947</v>
      </c>
      <c r="X335" s="124" t="n">
        <f aca="false">VLOOKUP($A335,Table,MATCH(X$4,Curves,0))</f>
        <v>2</v>
      </c>
      <c r="Y335" s="129" t="n">
        <f aca="false">1/(1+CHOOSE(F$3,(X336+($K$3/10000))/2,(X335+($K$3/10000))/2))^(2*W335/365.25)</f>
        <v>4.01659793587898E-017</v>
      </c>
      <c r="Z335" s="5" t="n">
        <f aca="false">IF(AND(mthbeg&lt;=A335,mthend&gt;=A335),1,0)</f>
        <v>0</v>
      </c>
      <c r="AA335" s="5" t="n">
        <f aca="false">U335*Z335</f>
        <v>0</v>
      </c>
      <c r="AC335" s="115" t="n">
        <f aca="false">IF(G328=2,F335*(S335-Q335),F335*(Q335-S335))</f>
        <v>0</v>
      </c>
      <c r="AE335" s="116" t="n">
        <f aca="false">IF($G$3=1,F335*(R335-Q335),F335*(Q335-R335))</f>
        <v>0</v>
      </c>
      <c r="AG335" s="116" t="n">
        <f aca="false">AC335+AE335</f>
        <v>0</v>
      </c>
    </row>
    <row r="336" customFormat="false" ht="12" hidden="false" customHeight="true" outlineLevel="0" collapsed="false">
      <c r="A336" s="120" t="n">
        <f aca="false">EDATE(A335,1)</f>
        <v>47209</v>
      </c>
      <c r="B336" s="121" t="e">
        <f aca="false">VLOOKUP(A336,'Inputs-Summary'!$A$32:$E$41,4,FALSE())</f>
        <v>#N/A</v>
      </c>
      <c r="C336" s="122"/>
      <c r="D336" s="123" t="e">
        <f aca="false">B336+C336</f>
        <v>#N/A</v>
      </c>
      <c r="E336" s="111" t="n">
        <f aca="false">IF(Z336=0,0,IF(AND(Z336=1,$H$3=1),D336*U336,IF($H$3=2,D336,"N/A")))</f>
        <v>0</v>
      </c>
      <c r="F336" s="111" t="n">
        <f aca="false">E336*Y336</f>
        <v>0</v>
      </c>
      <c r="G336" s="124" t="n">
        <f aca="false">VLOOKUP($A336,Table,MATCH(G$4,Curves,0))</f>
        <v>3</v>
      </c>
      <c r="H336" s="125" t="n">
        <f aca="false">G336+$H$7</f>
        <v>3</v>
      </c>
      <c r="I336" s="124" t="n">
        <f aca="false">H336</f>
        <v>3</v>
      </c>
      <c r="J336" s="124" t="n">
        <f aca="false">VLOOKUP($A336,Table,MATCH(J$4,Curves,0))</f>
        <v>4</v>
      </c>
      <c r="K336" s="125" t="n">
        <f aca="false">J336+$K$7</f>
        <v>4</v>
      </c>
      <c r="L336" s="126" t="n">
        <f aca="false">K336</f>
        <v>4</v>
      </c>
      <c r="M336" s="124" t="n">
        <f aca="false">VLOOKUP($A336,Table,MATCH(M$4,Curves,0))</f>
        <v>4</v>
      </c>
      <c r="N336" s="125" t="n">
        <f aca="false">M336+$N$7</f>
        <v>4</v>
      </c>
      <c r="O336" s="126" t="n">
        <v>0.25</v>
      </c>
      <c r="P336" s="114"/>
      <c r="Q336" s="126" t="n">
        <f aca="false">M336+J336+G336</f>
        <v>11</v>
      </c>
      <c r="R336" s="126" t="n">
        <f aca="false">N336+K336+H336</f>
        <v>11</v>
      </c>
      <c r="S336" s="126" t="n">
        <f aca="false">O336+L336+I336</f>
        <v>7.25</v>
      </c>
      <c r="T336" s="127"/>
      <c r="U336" s="5" t="n">
        <f aca="false">A337-A336</f>
        <v>30</v>
      </c>
      <c r="V336" s="128" t="n">
        <f aca="false">CHOOSE(F$3,A337+24,A336)</f>
        <v>47209</v>
      </c>
      <c r="W336" s="5" t="n">
        <f aca="false">V336-C$3</f>
        <v>9978</v>
      </c>
      <c r="X336" s="124" t="n">
        <f aca="false">VLOOKUP($A336,Table,MATCH(X$4,Curves,0))</f>
        <v>2</v>
      </c>
      <c r="Y336" s="129" t="n">
        <f aca="false">1/(1+CHOOSE(F$3,(X337+($K$3/10000))/2,(X336+($K$3/10000))/2))^(2*W336/365.25)</f>
        <v>3.57075043427705E-017</v>
      </c>
      <c r="Z336" s="5" t="n">
        <f aca="false">IF(AND(mthbeg&lt;=A336,mthend&gt;=A336),1,0)</f>
        <v>0</v>
      </c>
      <c r="AA336" s="5" t="n">
        <f aca="false">U336*Z336</f>
        <v>0</v>
      </c>
      <c r="AC336" s="115" t="n">
        <f aca="false">IF(G329=2,F336*(S336-Q336),F336*(Q336-S336))</f>
        <v>0</v>
      </c>
      <c r="AE336" s="116" t="n">
        <f aca="false">IF($G$3=1,F336*(R336-Q336),F336*(Q336-R336))</f>
        <v>0</v>
      </c>
      <c r="AG336" s="116" t="n">
        <f aca="false">AC336+AE336</f>
        <v>0</v>
      </c>
    </row>
    <row r="337" customFormat="false" ht="12" hidden="false" customHeight="true" outlineLevel="0" collapsed="false">
      <c r="A337" s="120" t="n">
        <f aca="false">EDATE(A336,1)</f>
        <v>47239</v>
      </c>
      <c r="B337" s="121" t="e">
        <f aca="false">VLOOKUP(A337,'Inputs-Summary'!$A$32:$E$41,4,FALSE())</f>
        <v>#N/A</v>
      </c>
      <c r="C337" s="122"/>
      <c r="D337" s="123" t="e">
        <f aca="false">B337+C337</f>
        <v>#N/A</v>
      </c>
      <c r="E337" s="111" t="n">
        <f aca="false">IF(Z337=0,0,IF(AND(Z337=1,$H$3=1),D337*U337,IF($H$3=2,D337,"N/A")))</f>
        <v>0</v>
      </c>
      <c r="F337" s="111" t="n">
        <f aca="false">E337*Y337</f>
        <v>0</v>
      </c>
      <c r="G337" s="124" t="n">
        <f aca="false">VLOOKUP($A337,Table,MATCH(G$4,Curves,0))</f>
        <v>3</v>
      </c>
      <c r="H337" s="125" t="n">
        <f aca="false">G337+$H$7</f>
        <v>3</v>
      </c>
      <c r="I337" s="124" t="n">
        <f aca="false">H337</f>
        <v>3</v>
      </c>
      <c r="J337" s="124" t="n">
        <f aca="false">VLOOKUP($A337,Table,MATCH(J$4,Curves,0))</f>
        <v>4</v>
      </c>
      <c r="K337" s="125" t="n">
        <f aca="false">J337+$K$7</f>
        <v>4</v>
      </c>
      <c r="L337" s="126" t="n">
        <f aca="false">K337</f>
        <v>4</v>
      </c>
      <c r="M337" s="124" t="n">
        <f aca="false">VLOOKUP($A337,Table,MATCH(M$4,Curves,0))</f>
        <v>4</v>
      </c>
      <c r="N337" s="125" t="n">
        <f aca="false">M337+$N$7</f>
        <v>4</v>
      </c>
      <c r="O337" s="126" t="n">
        <v>0.25</v>
      </c>
      <c r="P337" s="114"/>
      <c r="Q337" s="126" t="n">
        <f aca="false">M337+J337+G337</f>
        <v>11</v>
      </c>
      <c r="R337" s="126" t="n">
        <f aca="false">N337+K337+H337</f>
        <v>11</v>
      </c>
      <c r="S337" s="126" t="n">
        <f aca="false">O337+L337+I337</f>
        <v>7.25</v>
      </c>
      <c r="T337" s="127"/>
      <c r="U337" s="5" t="n">
        <f aca="false">A338-A337</f>
        <v>31</v>
      </c>
      <c r="V337" s="128" t="n">
        <f aca="false">CHOOSE(F$3,A338+24,A337)</f>
        <v>47239</v>
      </c>
      <c r="W337" s="5" t="n">
        <f aca="false">V337-C$3</f>
        <v>10008</v>
      </c>
      <c r="X337" s="124" t="n">
        <f aca="false">VLOOKUP($A337,Table,MATCH(X$4,Curves,0))</f>
        <v>2</v>
      </c>
      <c r="Y337" s="129" t="n">
        <f aca="false">1/(1+CHOOSE(F$3,(X338+($K$3/10000))/2,(X337+($K$3/10000))/2))^(2*W337/365.25)</f>
        <v>3.18646377089715E-017</v>
      </c>
      <c r="Z337" s="5" t="n">
        <f aca="false">IF(AND(mthbeg&lt;=A337,mthend&gt;=A337),1,0)</f>
        <v>0</v>
      </c>
      <c r="AA337" s="5" t="n">
        <f aca="false">U337*Z337</f>
        <v>0</v>
      </c>
      <c r="AC337" s="115" t="n">
        <f aca="false">IF(G330=2,F337*(S337-Q337),F337*(Q337-S337))</f>
        <v>0</v>
      </c>
      <c r="AE337" s="116" t="n">
        <f aca="false">IF($G$3=1,F337*(R337-Q337),F337*(Q337-R337))</f>
        <v>0</v>
      </c>
      <c r="AG337" s="116" t="n">
        <f aca="false">AC337+AE337</f>
        <v>0</v>
      </c>
    </row>
    <row r="338" customFormat="false" ht="12" hidden="false" customHeight="true" outlineLevel="0" collapsed="false">
      <c r="A338" s="120" t="n">
        <f aca="false">EDATE(A337,1)</f>
        <v>47270</v>
      </c>
      <c r="B338" s="121" t="e">
        <f aca="false">VLOOKUP(A338,'Inputs-Summary'!$A$32:$E$41,4,FALSE())</f>
        <v>#N/A</v>
      </c>
      <c r="C338" s="122"/>
      <c r="D338" s="123" t="e">
        <f aca="false">B338+C338</f>
        <v>#N/A</v>
      </c>
      <c r="E338" s="111" t="n">
        <f aca="false">IF(Z338=0,0,IF(AND(Z338=1,$H$3=1),D338*U338,IF($H$3=2,D338,"N/A")))</f>
        <v>0</v>
      </c>
      <c r="F338" s="111" t="n">
        <f aca="false">E338*Y338</f>
        <v>0</v>
      </c>
      <c r="G338" s="124" t="n">
        <f aca="false">VLOOKUP($A338,Table,MATCH(G$4,Curves,0))</f>
        <v>3</v>
      </c>
      <c r="H338" s="125" t="n">
        <f aca="false">G338+$H$7</f>
        <v>3</v>
      </c>
      <c r="I338" s="124" t="n">
        <f aca="false">H338</f>
        <v>3</v>
      </c>
      <c r="J338" s="124" t="n">
        <f aca="false">VLOOKUP($A338,Table,MATCH(J$4,Curves,0))</f>
        <v>4</v>
      </c>
      <c r="K338" s="125" t="n">
        <f aca="false">J338+$K$7</f>
        <v>4</v>
      </c>
      <c r="L338" s="126" t="n">
        <f aca="false">K338</f>
        <v>4</v>
      </c>
      <c r="M338" s="124" t="n">
        <f aca="false">VLOOKUP($A338,Table,MATCH(M$4,Curves,0))</f>
        <v>4</v>
      </c>
      <c r="N338" s="125" t="n">
        <f aca="false">M338+$N$7</f>
        <v>4</v>
      </c>
      <c r="O338" s="126" t="n">
        <v>0.25</v>
      </c>
      <c r="P338" s="114"/>
      <c r="Q338" s="126" t="n">
        <f aca="false">M338+J338+G338</f>
        <v>11</v>
      </c>
      <c r="R338" s="126" t="n">
        <f aca="false">N338+K338+H338</f>
        <v>11</v>
      </c>
      <c r="S338" s="126" t="n">
        <f aca="false">O338+L338+I338</f>
        <v>7.25</v>
      </c>
      <c r="T338" s="127"/>
      <c r="U338" s="5" t="n">
        <f aca="false">A339-A338</f>
        <v>30</v>
      </c>
      <c r="V338" s="128" t="n">
        <f aca="false">CHOOSE(F$3,A339+24,A338)</f>
        <v>47270</v>
      </c>
      <c r="W338" s="5" t="n">
        <f aca="false">V338-C$3</f>
        <v>10039</v>
      </c>
      <c r="X338" s="124" t="n">
        <f aca="false">VLOOKUP($A338,Table,MATCH(X$4,Curves,0))</f>
        <v>2</v>
      </c>
      <c r="Y338" s="129" t="n">
        <f aca="false">1/(1+CHOOSE(F$3,(X339+($K$3/10000))/2,(X338+($K$3/10000))/2))^(2*W338/365.25)</f>
        <v>2.83276222200446E-017</v>
      </c>
      <c r="Z338" s="5" t="n">
        <f aca="false">IF(AND(mthbeg&lt;=A338,mthend&gt;=A338),1,0)</f>
        <v>0</v>
      </c>
      <c r="AA338" s="5" t="n">
        <f aca="false">U338*Z338</f>
        <v>0</v>
      </c>
      <c r="AC338" s="115" t="n">
        <f aca="false">IF(G331=2,F338*(S338-Q338),F338*(Q338-S338))</f>
        <v>0</v>
      </c>
      <c r="AE338" s="116" t="n">
        <f aca="false">IF($G$3=1,F338*(R338-Q338),F338*(Q338-R338))</f>
        <v>0</v>
      </c>
      <c r="AG338" s="116" t="n">
        <f aca="false">AC338+AE338</f>
        <v>0</v>
      </c>
    </row>
    <row r="339" customFormat="false" ht="12" hidden="false" customHeight="true" outlineLevel="0" collapsed="false">
      <c r="A339" s="120" t="n">
        <f aca="false">EDATE(A338,1)</f>
        <v>47300</v>
      </c>
      <c r="B339" s="121" t="e">
        <f aca="false">VLOOKUP(A339,'Inputs-Summary'!$A$32:$E$41,4,FALSE())</f>
        <v>#N/A</v>
      </c>
      <c r="C339" s="122"/>
      <c r="D339" s="123" t="e">
        <f aca="false">B339+C339</f>
        <v>#N/A</v>
      </c>
      <c r="E339" s="111" t="n">
        <f aca="false">IF(Z339=0,0,IF(AND(Z339=1,$H$3=1),D339*U339,IF($H$3=2,D339,"N/A")))</f>
        <v>0</v>
      </c>
      <c r="F339" s="111" t="n">
        <f aca="false">E339*Y339</f>
        <v>0</v>
      </c>
      <c r="G339" s="124" t="n">
        <f aca="false">VLOOKUP($A339,Table,MATCH(G$4,Curves,0))</f>
        <v>3</v>
      </c>
      <c r="H339" s="125" t="n">
        <f aca="false">G339+$H$7</f>
        <v>3</v>
      </c>
      <c r="I339" s="124" t="n">
        <f aca="false">H339</f>
        <v>3</v>
      </c>
      <c r="J339" s="124" t="n">
        <f aca="false">VLOOKUP($A339,Table,MATCH(J$4,Curves,0))</f>
        <v>4</v>
      </c>
      <c r="K339" s="125" t="n">
        <f aca="false">J339+$K$7</f>
        <v>4</v>
      </c>
      <c r="L339" s="126" t="n">
        <f aca="false">K339</f>
        <v>4</v>
      </c>
      <c r="M339" s="124" t="n">
        <f aca="false">VLOOKUP($A339,Table,MATCH(M$4,Curves,0))</f>
        <v>4</v>
      </c>
      <c r="N339" s="125" t="n">
        <f aca="false">M339+$N$7</f>
        <v>4</v>
      </c>
      <c r="O339" s="126" t="n">
        <v>0.25</v>
      </c>
      <c r="P339" s="114"/>
      <c r="Q339" s="126" t="n">
        <f aca="false">M339+J339+G339</f>
        <v>11</v>
      </c>
      <c r="R339" s="126" t="n">
        <f aca="false">N339+K339+H339</f>
        <v>11</v>
      </c>
      <c r="S339" s="126" t="n">
        <f aca="false">O339+L339+I339</f>
        <v>7.25</v>
      </c>
      <c r="T339" s="127"/>
      <c r="U339" s="5" t="n">
        <f aca="false">A340-A339</f>
        <v>31</v>
      </c>
      <c r="V339" s="128" t="n">
        <f aca="false">CHOOSE(F$3,A340+24,A339)</f>
        <v>47300</v>
      </c>
      <c r="W339" s="5" t="n">
        <f aca="false">V339-C$3</f>
        <v>10069</v>
      </c>
      <c r="X339" s="124" t="n">
        <f aca="false">VLOOKUP($A339,Table,MATCH(X$4,Curves,0))</f>
        <v>2</v>
      </c>
      <c r="Y339" s="129" t="n">
        <f aca="false">1/(1+CHOOSE(F$3,(X340+($K$3/10000))/2,(X339+($K$3/10000))/2))^(2*W339/365.25)</f>
        <v>2.52789836705877E-017</v>
      </c>
      <c r="Z339" s="5" t="n">
        <f aca="false">IF(AND(mthbeg&lt;=A339,mthend&gt;=A339),1,0)</f>
        <v>0</v>
      </c>
      <c r="AA339" s="5" t="n">
        <f aca="false">U339*Z339</f>
        <v>0</v>
      </c>
      <c r="AC339" s="115" t="n">
        <f aca="false">IF(G332=2,F339*(S339-Q339),F339*(Q339-S339))</f>
        <v>0</v>
      </c>
      <c r="AE339" s="116" t="n">
        <f aca="false">IF($G$3=1,F339*(R339-Q339),F339*(Q339-R339))</f>
        <v>0</v>
      </c>
      <c r="AG339" s="116" t="n">
        <f aca="false">AC339+AE339</f>
        <v>0</v>
      </c>
    </row>
    <row r="340" customFormat="false" ht="12" hidden="false" customHeight="true" outlineLevel="0" collapsed="false">
      <c r="A340" s="120" t="n">
        <f aca="false">EDATE(A339,1)</f>
        <v>47331</v>
      </c>
      <c r="B340" s="121" t="e">
        <f aca="false">VLOOKUP(A340,'Inputs-Summary'!$A$32:$E$41,4,FALSE())</f>
        <v>#N/A</v>
      </c>
      <c r="C340" s="122"/>
      <c r="D340" s="123" t="e">
        <f aca="false">B340+C340</f>
        <v>#N/A</v>
      </c>
      <c r="E340" s="111" t="n">
        <f aca="false">IF(Z340=0,0,IF(AND(Z340=1,$H$3=1),D340*U340,IF($H$3=2,D340,"N/A")))</f>
        <v>0</v>
      </c>
      <c r="F340" s="111" t="n">
        <f aca="false">E340*Y340</f>
        <v>0</v>
      </c>
      <c r="G340" s="124" t="n">
        <f aca="false">VLOOKUP($A340,Table,MATCH(G$4,Curves,0))</f>
        <v>3</v>
      </c>
      <c r="H340" s="125" t="n">
        <f aca="false">G340+$H$7</f>
        <v>3</v>
      </c>
      <c r="I340" s="124" t="n">
        <f aca="false">H340</f>
        <v>3</v>
      </c>
      <c r="J340" s="124" t="n">
        <f aca="false">VLOOKUP($A340,Table,MATCH(J$4,Curves,0))</f>
        <v>4</v>
      </c>
      <c r="K340" s="125" t="n">
        <f aca="false">J340+$K$7</f>
        <v>4</v>
      </c>
      <c r="L340" s="126" t="n">
        <f aca="false">K340</f>
        <v>4</v>
      </c>
      <c r="M340" s="124" t="n">
        <f aca="false">VLOOKUP($A340,Table,MATCH(M$4,Curves,0))</f>
        <v>4</v>
      </c>
      <c r="N340" s="125" t="n">
        <f aca="false">M340+$N$7</f>
        <v>4</v>
      </c>
      <c r="O340" s="126" t="n">
        <v>0.25</v>
      </c>
      <c r="P340" s="114"/>
      <c r="Q340" s="126" t="n">
        <f aca="false">M340+J340+G340</f>
        <v>11</v>
      </c>
      <c r="R340" s="126" t="n">
        <f aca="false">N340+K340+H340</f>
        <v>11</v>
      </c>
      <c r="S340" s="126" t="n">
        <f aca="false">O340+L340+I340</f>
        <v>7.25</v>
      </c>
      <c r="T340" s="127"/>
      <c r="U340" s="5" t="n">
        <f aca="false">A341-A340</f>
        <v>31</v>
      </c>
      <c r="V340" s="128" t="n">
        <f aca="false">CHOOSE(F$3,A341+24,A340)</f>
        <v>47331</v>
      </c>
      <c r="W340" s="5" t="n">
        <f aca="false">V340-C$3</f>
        <v>10100</v>
      </c>
      <c r="X340" s="124" t="n">
        <f aca="false">VLOOKUP($A340,Table,MATCH(X$4,Curves,0))</f>
        <v>2</v>
      </c>
      <c r="Y340" s="129" t="n">
        <f aca="false">1/(1+CHOOSE(F$3,(X341+($K$3/10000))/2,(X340+($K$3/10000))/2))^(2*W340/365.25)</f>
        <v>2.24729841923E-017</v>
      </c>
      <c r="Z340" s="5" t="n">
        <f aca="false">IF(AND(mthbeg&lt;=A340,mthend&gt;=A340),1,0)</f>
        <v>0</v>
      </c>
      <c r="AA340" s="5" t="n">
        <f aca="false">U340*Z340</f>
        <v>0</v>
      </c>
      <c r="AC340" s="115" t="n">
        <f aca="false">IF(G333=2,F340*(S340-Q340),F340*(Q340-S340))</f>
        <v>0</v>
      </c>
      <c r="AE340" s="116" t="n">
        <f aca="false">IF($G$3=1,F340*(R340-Q340),F340*(Q340-R340))</f>
        <v>0</v>
      </c>
      <c r="AG340" s="116" t="n">
        <f aca="false">AC340+AE340</f>
        <v>0</v>
      </c>
    </row>
    <row r="341" customFormat="false" ht="12" hidden="false" customHeight="true" outlineLevel="0" collapsed="false">
      <c r="A341" s="120" t="n">
        <f aca="false">EDATE(A340,1)</f>
        <v>47362</v>
      </c>
      <c r="B341" s="121" t="e">
        <f aca="false">VLOOKUP(A341,'Inputs-Summary'!$A$32:$E$41,4,FALSE())</f>
        <v>#N/A</v>
      </c>
      <c r="C341" s="122"/>
      <c r="D341" s="123" t="e">
        <f aca="false">B341+C341</f>
        <v>#N/A</v>
      </c>
      <c r="E341" s="111" t="n">
        <f aca="false">IF(Z341=0,0,IF(AND(Z341=1,$H$3=1),D341*U341,IF($H$3=2,D341,"N/A")))</f>
        <v>0</v>
      </c>
      <c r="F341" s="111" t="n">
        <f aca="false">E341*Y341</f>
        <v>0</v>
      </c>
      <c r="G341" s="124" t="n">
        <f aca="false">VLOOKUP($A341,Table,MATCH(G$4,Curves,0))</f>
        <v>3</v>
      </c>
      <c r="H341" s="125" t="n">
        <f aca="false">G341+$H$7</f>
        <v>3</v>
      </c>
      <c r="I341" s="124" t="n">
        <f aca="false">H341</f>
        <v>3</v>
      </c>
      <c r="J341" s="124" t="n">
        <f aca="false">VLOOKUP($A341,Table,MATCH(J$4,Curves,0))</f>
        <v>4</v>
      </c>
      <c r="K341" s="125" t="n">
        <f aca="false">J341+$K$7</f>
        <v>4</v>
      </c>
      <c r="L341" s="126" t="n">
        <f aca="false">K341</f>
        <v>4</v>
      </c>
      <c r="M341" s="124" t="n">
        <f aca="false">VLOOKUP($A341,Table,MATCH(M$4,Curves,0))</f>
        <v>4</v>
      </c>
      <c r="N341" s="125" t="n">
        <f aca="false">M341+$N$7</f>
        <v>4</v>
      </c>
      <c r="O341" s="126" t="n">
        <v>0.25</v>
      </c>
      <c r="P341" s="114"/>
      <c r="Q341" s="126" t="n">
        <f aca="false">M341+J341+G341</f>
        <v>11</v>
      </c>
      <c r="R341" s="126" t="n">
        <f aca="false">N341+K341+H341</f>
        <v>11</v>
      </c>
      <c r="S341" s="126" t="n">
        <f aca="false">O341+L341+I341</f>
        <v>7.25</v>
      </c>
      <c r="T341" s="127"/>
      <c r="U341" s="5" t="n">
        <f aca="false">A342-A341</f>
        <v>30</v>
      </c>
      <c r="V341" s="128" t="n">
        <f aca="false">CHOOSE(F$3,A342+24,A341)</f>
        <v>47362</v>
      </c>
      <c r="W341" s="5" t="n">
        <f aca="false">V341-C$3</f>
        <v>10131</v>
      </c>
      <c r="X341" s="124" t="n">
        <f aca="false">VLOOKUP($A341,Table,MATCH(X$4,Curves,0))</f>
        <v>2</v>
      </c>
      <c r="Y341" s="129" t="n">
        <f aca="false">1/(1+CHOOSE(F$3,(X342+($K$3/10000))/2,(X341+($K$3/10000))/2))^(2*W341/365.25)</f>
        <v>1.99784542404282E-017</v>
      </c>
      <c r="Z341" s="5" t="n">
        <f aca="false">IF(AND(mthbeg&lt;=A341,mthend&gt;=A341),1,0)</f>
        <v>0</v>
      </c>
      <c r="AA341" s="5" t="n">
        <f aca="false">U341*Z341</f>
        <v>0</v>
      </c>
      <c r="AC341" s="115" t="n">
        <f aca="false">IF(G334=2,F341*(S341-Q341),F341*(Q341-S341))</f>
        <v>0</v>
      </c>
      <c r="AE341" s="116" t="n">
        <f aca="false">IF($G$3=1,F341*(R341-Q341),F341*(Q341-R341))</f>
        <v>0</v>
      </c>
      <c r="AG341" s="116" t="n">
        <f aca="false">AC341+AE341</f>
        <v>0</v>
      </c>
    </row>
    <row r="342" customFormat="false" ht="12" hidden="false" customHeight="true" outlineLevel="0" collapsed="false">
      <c r="A342" s="120" t="n">
        <f aca="false">EDATE(A341,1)</f>
        <v>47392</v>
      </c>
      <c r="B342" s="121" t="e">
        <f aca="false">VLOOKUP(A342,'Inputs-Summary'!$A$32:$E$41,4,FALSE())</f>
        <v>#N/A</v>
      </c>
      <c r="C342" s="122"/>
      <c r="D342" s="123" t="e">
        <f aca="false">B342+C342</f>
        <v>#N/A</v>
      </c>
      <c r="E342" s="111" t="n">
        <f aca="false">IF(Z342=0,0,IF(AND(Z342=1,$H$3=1),D342*U342,IF($H$3=2,D342,"N/A")))</f>
        <v>0</v>
      </c>
      <c r="F342" s="111" t="n">
        <f aca="false">E342*Y342</f>
        <v>0</v>
      </c>
      <c r="G342" s="124" t="n">
        <f aca="false">VLOOKUP($A342,Table,MATCH(G$4,Curves,0))</f>
        <v>3</v>
      </c>
      <c r="H342" s="125" t="n">
        <f aca="false">G342+$H$7</f>
        <v>3</v>
      </c>
      <c r="I342" s="124" t="n">
        <f aca="false">H342</f>
        <v>3</v>
      </c>
      <c r="J342" s="124" t="n">
        <f aca="false">VLOOKUP($A342,Table,MATCH(J$4,Curves,0))</f>
        <v>4</v>
      </c>
      <c r="K342" s="125" t="n">
        <f aca="false">J342+$K$7</f>
        <v>4</v>
      </c>
      <c r="L342" s="126" t="n">
        <f aca="false">K342</f>
        <v>4</v>
      </c>
      <c r="M342" s="124" t="n">
        <f aca="false">VLOOKUP($A342,Table,MATCH(M$4,Curves,0))</f>
        <v>4</v>
      </c>
      <c r="N342" s="125" t="n">
        <f aca="false">M342+$N$7</f>
        <v>4</v>
      </c>
      <c r="O342" s="126" t="n">
        <v>0.25</v>
      </c>
      <c r="P342" s="114"/>
      <c r="Q342" s="126" t="n">
        <f aca="false">M342+J342+G342</f>
        <v>11</v>
      </c>
      <c r="R342" s="126" t="n">
        <f aca="false">N342+K342+H342</f>
        <v>11</v>
      </c>
      <c r="S342" s="126" t="n">
        <f aca="false">O342+L342+I342</f>
        <v>7.25</v>
      </c>
      <c r="T342" s="127"/>
      <c r="U342" s="5" t="n">
        <f aca="false">A343-A342</f>
        <v>31</v>
      </c>
      <c r="V342" s="128" t="n">
        <f aca="false">CHOOSE(F$3,A343+24,A342)</f>
        <v>47392</v>
      </c>
      <c r="W342" s="5" t="n">
        <f aca="false">V342-C$3</f>
        <v>10161</v>
      </c>
      <c r="X342" s="124" t="n">
        <f aca="false">VLOOKUP($A342,Table,MATCH(X$4,Curves,0))</f>
        <v>2</v>
      </c>
      <c r="Y342" s="129" t="n">
        <f aca="false">1/(1+CHOOSE(F$3,(X343+($K$3/10000))/2,(X342+($K$3/10000))/2))^(2*W342/365.25)</f>
        <v>1.78283589983067E-017</v>
      </c>
      <c r="Z342" s="5" t="n">
        <f aca="false">IF(AND(mthbeg&lt;=A342,mthend&gt;=A342),1,0)</f>
        <v>0</v>
      </c>
      <c r="AA342" s="5" t="n">
        <f aca="false">U342*Z342</f>
        <v>0</v>
      </c>
      <c r="AC342" s="115" t="n">
        <f aca="false">IF(G335=2,F342*(S342-Q342),F342*(Q342-S342))</f>
        <v>0</v>
      </c>
      <c r="AE342" s="116" t="n">
        <f aca="false">IF($G$3=1,F342*(R342-Q342),F342*(Q342-R342))</f>
        <v>0</v>
      </c>
      <c r="AG342" s="116" t="n">
        <f aca="false">AC342+AE342</f>
        <v>0</v>
      </c>
    </row>
    <row r="343" customFormat="false" ht="12" hidden="false" customHeight="true" outlineLevel="0" collapsed="false">
      <c r="A343" s="120" t="n">
        <f aca="false">EDATE(A342,1)</f>
        <v>47423</v>
      </c>
      <c r="B343" s="121" t="e">
        <f aca="false">VLOOKUP(A343,'Inputs-Summary'!$A$32:$E$41,4,FALSE())</f>
        <v>#N/A</v>
      </c>
      <c r="C343" s="122"/>
      <c r="D343" s="123" t="e">
        <f aca="false">B343+C343</f>
        <v>#N/A</v>
      </c>
      <c r="E343" s="111" t="n">
        <f aca="false">IF(Z343=0,0,IF(AND(Z343=1,$H$3=1),D343*U343,IF($H$3=2,D343,"N/A")))</f>
        <v>0</v>
      </c>
      <c r="F343" s="111" t="n">
        <f aca="false">E343*Y343</f>
        <v>0</v>
      </c>
      <c r="G343" s="124" t="n">
        <f aca="false">VLOOKUP($A343,Table,MATCH(G$4,Curves,0))</f>
        <v>3</v>
      </c>
      <c r="H343" s="125" t="n">
        <f aca="false">G343+$H$7</f>
        <v>3</v>
      </c>
      <c r="I343" s="124" t="n">
        <f aca="false">H343</f>
        <v>3</v>
      </c>
      <c r="J343" s="124" t="n">
        <f aca="false">VLOOKUP($A343,Table,MATCH(J$4,Curves,0))</f>
        <v>4</v>
      </c>
      <c r="K343" s="125" t="n">
        <f aca="false">J343+$K$7</f>
        <v>4</v>
      </c>
      <c r="L343" s="126" t="n">
        <f aca="false">K343</f>
        <v>4</v>
      </c>
      <c r="M343" s="124" t="n">
        <f aca="false">VLOOKUP($A343,Table,MATCH(M$4,Curves,0))</f>
        <v>4</v>
      </c>
      <c r="N343" s="125" t="n">
        <f aca="false">M343+$N$7</f>
        <v>4</v>
      </c>
      <c r="O343" s="126" t="n">
        <v>0.25</v>
      </c>
      <c r="P343" s="114"/>
      <c r="Q343" s="126" t="n">
        <f aca="false">M343+J343+G343</f>
        <v>11</v>
      </c>
      <c r="R343" s="126" t="n">
        <f aca="false">N343+K343+H343</f>
        <v>11</v>
      </c>
      <c r="S343" s="126" t="n">
        <f aca="false">O343+L343+I343</f>
        <v>7.25</v>
      </c>
      <c r="T343" s="127"/>
      <c r="U343" s="5" t="n">
        <f aca="false">A344-A343</f>
        <v>30</v>
      </c>
      <c r="V343" s="128" t="n">
        <f aca="false">CHOOSE(F$3,A344+24,A343)</f>
        <v>47423</v>
      </c>
      <c r="W343" s="5" t="n">
        <f aca="false">V343-C$3</f>
        <v>10192</v>
      </c>
      <c r="X343" s="124" t="n">
        <f aca="false">VLOOKUP($A343,Table,MATCH(X$4,Curves,0))</f>
        <v>2</v>
      </c>
      <c r="Y343" s="129" t="n">
        <f aca="false">1/(1+CHOOSE(F$3,(X344+($K$3/10000))/2,(X343+($K$3/10000))/2))^(2*W343/365.25)</f>
        <v>1.58493883759166E-017</v>
      </c>
      <c r="Z343" s="5" t="n">
        <f aca="false">IF(AND(mthbeg&lt;=A343,mthend&gt;=A343),1,0)</f>
        <v>0</v>
      </c>
      <c r="AA343" s="5" t="n">
        <f aca="false">U343*Z343</f>
        <v>0</v>
      </c>
      <c r="AC343" s="115" t="n">
        <f aca="false">IF(G336=2,F343*(S343-Q343),F343*(Q343-S343))</f>
        <v>0</v>
      </c>
      <c r="AE343" s="116" t="n">
        <f aca="false">IF($G$3=1,F343*(R343-Q343),F343*(Q343-R343))</f>
        <v>0</v>
      </c>
      <c r="AG343" s="116" t="n">
        <f aca="false">AC343+AE343</f>
        <v>0</v>
      </c>
    </row>
    <row r="344" customFormat="false" ht="12" hidden="false" customHeight="true" outlineLevel="0" collapsed="false">
      <c r="A344" s="120" t="n">
        <f aca="false">EDATE(A343,1)</f>
        <v>47453</v>
      </c>
      <c r="B344" s="121" t="e">
        <f aca="false">VLOOKUP(A344,'Inputs-Summary'!$A$32:$E$41,4,FALSE())</f>
        <v>#N/A</v>
      </c>
      <c r="C344" s="122"/>
      <c r="D344" s="123" t="e">
        <f aca="false">B344+C344</f>
        <v>#N/A</v>
      </c>
      <c r="E344" s="111" t="n">
        <f aca="false">IF(Z344=0,0,IF(AND(Z344=1,$H$3=1),D344*U344,IF($H$3=2,D344,"N/A")))</f>
        <v>0</v>
      </c>
      <c r="F344" s="111" t="n">
        <f aca="false">E344*Y344</f>
        <v>0</v>
      </c>
      <c r="G344" s="124" t="n">
        <f aca="false">VLOOKUP($A344,Table,MATCH(G$4,Curves,0))</f>
        <v>3</v>
      </c>
      <c r="H344" s="125" t="n">
        <f aca="false">G344+$H$7</f>
        <v>3</v>
      </c>
      <c r="I344" s="124" t="n">
        <f aca="false">H344</f>
        <v>3</v>
      </c>
      <c r="J344" s="124" t="n">
        <f aca="false">VLOOKUP($A344,Table,MATCH(J$4,Curves,0))</f>
        <v>4</v>
      </c>
      <c r="K344" s="125" t="n">
        <f aca="false">J344+$K$7</f>
        <v>4</v>
      </c>
      <c r="L344" s="126" t="n">
        <f aca="false">K344</f>
        <v>4</v>
      </c>
      <c r="M344" s="124" t="n">
        <f aca="false">VLOOKUP($A344,Table,MATCH(M$4,Curves,0))</f>
        <v>4</v>
      </c>
      <c r="N344" s="125" t="n">
        <f aca="false">M344+$N$7</f>
        <v>4</v>
      </c>
      <c r="O344" s="126" t="n">
        <v>0.25</v>
      </c>
      <c r="P344" s="114"/>
      <c r="Q344" s="126" t="n">
        <f aca="false">M344+J344+G344</f>
        <v>11</v>
      </c>
      <c r="R344" s="126" t="n">
        <f aca="false">N344+K344+H344</f>
        <v>11</v>
      </c>
      <c r="S344" s="126" t="n">
        <f aca="false">O344+L344+I344</f>
        <v>7.25</v>
      </c>
      <c r="T344" s="127"/>
      <c r="U344" s="5" t="n">
        <f aca="false">A345-A344</f>
        <v>31</v>
      </c>
      <c r="V344" s="128" t="n">
        <f aca="false">CHOOSE(F$3,A345+24,A344)</f>
        <v>47453</v>
      </c>
      <c r="W344" s="5" t="n">
        <f aca="false">V344-C$3</f>
        <v>10222</v>
      </c>
      <c r="X344" s="124" t="n">
        <f aca="false">VLOOKUP($A344,Table,MATCH(X$4,Curves,0))</f>
        <v>2</v>
      </c>
      <c r="Y344" s="129" t="n">
        <f aca="false">1/(1+CHOOSE(F$3,(X345+($K$3/10000))/2,(X344+($K$3/10000))/2))^(2*W344/365.25)</f>
        <v>1.41436660949288E-017</v>
      </c>
      <c r="Z344" s="5" t="n">
        <f aca="false">IF(AND(mthbeg&lt;=A344,mthend&gt;=A344),1,0)</f>
        <v>0</v>
      </c>
      <c r="AA344" s="5" t="n">
        <f aca="false">U344*Z344</f>
        <v>0</v>
      </c>
      <c r="AC344" s="115" t="n">
        <f aca="false">IF(G337=2,F344*(S344-Q344),F344*(Q344-S344))</f>
        <v>0</v>
      </c>
      <c r="AE344" s="116" t="n">
        <f aca="false">IF($G$3=1,F344*(R344-Q344),F344*(Q344-R344))</f>
        <v>0</v>
      </c>
      <c r="AG344" s="116" t="n">
        <f aca="false">AC344+AE344</f>
        <v>0</v>
      </c>
    </row>
    <row r="345" customFormat="false" ht="12" hidden="false" customHeight="true" outlineLevel="0" collapsed="false">
      <c r="A345" s="120" t="n">
        <f aca="false">EDATE(A344,1)</f>
        <v>47484</v>
      </c>
      <c r="B345" s="121" t="e">
        <f aca="false">VLOOKUP(A345,'Inputs-Summary'!$A$32:$E$41,4,FALSE())</f>
        <v>#N/A</v>
      </c>
      <c r="C345" s="122"/>
      <c r="D345" s="123" t="e">
        <f aca="false">B345+C345</f>
        <v>#N/A</v>
      </c>
      <c r="E345" s="111" t="n">
        <f aca="false">IF(Z345=0,0,IF(AND(Z345=1,$H$3=1),D345*U345,IF($H$3=2,D345,"N/A")))</f>
        <v>0</v>
      </c>
      <c r="F345" s="111" t="n">
        <f aca="false">E345*Y345</f>
        <v>0</v>
      </c>
      <c r="G345" s="124" t="n">
        <f aca="false">VLOOKUP($A345,Table,MATCH(G$4,Curves,0))</f>
        <v>3</v>
      </c>
      <c r="H345" s="125" t="n">
        <f aca="false">G345+$H$7</f>
        <v>3</v>
      </c>
      <c r="I345" s="124" t="n">
        <f aca="false">H345</f>
        <v>3</v>
      </c>
      <c r="J345" s="124" t="n">
        <f aca="false">VLOOKUP($A345,Table,MATCH(J$4,Curves,0))</f>
        <v>4</v>
      </c>
      <c r="K345" s="125" t="n">
        <f aca="false">J345+$K$7</f>
        <v>4</v>
      </c>
      <c r="L345" s="126" t="n">
        <f aca="false">K345</f>
        <v>4</v>
      </c>
      <c r="M345" s="124" t="n">
        <f aca="false">VLOOKUP($A345,Table,MATCH(M$4,Curves,0))</f>
        <v>4</v>
      </c>
      <c r="N345" s="125" t="n">
        <f aca="false">M345+$N$7</f>
        <v>4</v>
      </c>
      <c r="O345" s="126" t="n">
        <v>0.25</v>
      </c>
      <c r="P345" s="114"/>
      <c r="Q345" s="126" t="n">
        <f aca="false">M345+J345+G345</f>
        <v>11</v>
      </c>
      <c r="R345" s="126" t="n">
        <f aca="false">N345+K345+H345</f>
        <v>11</v>
      </c>
      <c r="S345" s="126" t="n">
        <f aca="false">O345+L345+I345</f>
        <v>7.25</v>
      </c>
      <c r="T345" s="127"/>
      <c r="U345" s="5" t="n">
        <f aca="false">A346-A345</f>
        <v>31</v>
      </c>
      <c r="V345" s="128" t="n">
        <f aca="false">CHOOSE(F$3,A346+24,A345)</f>
        <v>47484</v>
      </c>
      <c r="W345" s="5" t="n">
        <f aca="false">V345-C$3</f>
        <v>10253</v>
      </c>
      <c r="X345" s="124" t="n">
        <f aca="false">VLOOKUP($A345,Table,MATCH(X$4,Curves,0))</f>
        <v>2</v>
      </c>
      <c r="Y345" s="129" t="n">
        <f aca="false">1/(1+CHOOSE(F$3,(X346+($K$3/10000))/2,(X345+($K$3/10000))/2))^(2*W345/365.25)</f>
        <v>1.25737010915643E-017</v>
      </c>
      <c r="Z345" s="5" t="n">
        <f aca="false">IF(AND(mthbeg&lt;=A345,mthend&gt;=A345),1,0)</f>
        <v>0</v>
      </c>
      <c r="AA345" s="5" t="n">
        <f aca="false">U345*Z345</f>
        <v>0</v>
      </c>
      <c r="AC345" s="115" t="n">
        <f aca="false">IF(G338=2,F345*(S345-Q345),F345*(Q345-S345))</f>
        <v>0</v>
      </c>
      <c r="AE345" s="116" t="n">
        <f aca="false">IF($G$3=1,F345*(R345-Q345),F345*(Q345-R345))</f>
        <v>0</v>
      </c>
      <c r="AG345" s="116" t="n">
        <f aca="false">AC345+AE345</f>
        <v>0</v>
      </c>
    </row>
    <row r="346" customFormat="false" ht="12" hidden="false" customHeight="true" outlineLevel="0" collapsed="false">
      <c r="A346" s="120" t="n">
        <f aca="false">EDATE(A345,1)</f>
        <v>47515</v>
      </c>
      <c r="B346" s="121" t="e">
        <f aca="false">VLOOKUP(A346,'Inputs-Summary'!$A$32:$E$41,4,FALSE())</f>
        <v>#N/A</v>
      </c>
      <c r="C346" s="122"/>
      <c r="D346" s="123" t="e">
        <f aca="false">B346+C346</f>
        <v>#N/A</v>
      </c>
      <c r="E346" s="111" t="n">
        <f aca="false">IF(Z346=0,0,IF(AND(Z346=1,$H$3=1),D346*U346,IF($H$3=2,D346,"N/A")))</f>
        <v>0</v>
      </c>
      <c r="F346" s="111" t="n">
        <f aca="false">E346*Y346</f>
        <v>0</v>
      </c>
      <c r="G346" s="124" t="n">
        <f aca="false">VLOOKUP($A346,Table,MATCH(G$4,Curves,0))</f>
        <v>3</v>
      </c>
      <c r="H346" s="125" t="n">
        <f aca="false">G346+$H$7</f>
        <v>3</v>
      </c>
      <c r="I346" s="124" t="n">
        <f aca="false">H346</f>
        <v>3</v>
      </c>
      <c r="J346" s="124" t="n">
        <f aca="false">VLOOKUP($A346,Table,MATCH(J$4,Curves,0))</f>
        <v>4</v>
      </c>
      <c r="K346" s="125" t="n">
        <f aca="false">J346+$K$7</f>
        <v>4</v>
      </c>
      <c r="L346" s="126" t="n">
        <f aca="false">K346</f>
        <v>4</v>
      </c>
      <c r="M346" s="124" t="n">
        <f aca="false">VLOOKUP($A346,Table,MATCH(M$4,Curves,0))</f>
        <v>4</v>
      </c>
      <c r="N346" s="125" t="n">
        <f aca="false">M346+$N$7</f>
        <v>4</v>
      </c>
      <c r="O346" s="126" t="n">
        <v>0.25</v>
      </c>
      <c r="P346" s="114"/>
      <c r="Q346" s="126" t="n">
        <f aca="false">M346+J346+G346</f>
        <v>11</v>
      </c>
      <c r="R346" s="126" t="n">
        <f aca="false">N346+K346+H346</f>
        <v>11</v>
      </c>
      <c r="S346" s="126" t="n">
        <f aca="false">O346+L346+I346</f>
        <v>7.25</v>
      </c>
      <c r="T346" s="127"/>
      <c r="U346" s="5" t="n">
        <f aca="false">A347-A346</f>
        <v>28</v>
      </c>
      <c r="V346" s="128" t="n">
        <f aca="false">CHOOSE(F$3,A347+24,A346)</f>
        <v>47515</v>
      </c>
      <c r="W346" s="5" t="n">
        <f aca="false">V346-C$3</f>
        <v>10284</v>
      </c>
      <c r="X346" s="124" t="n">
        <f aca="false">VLOOKUP($A346,Table,MATCH(X$4,Curves,0))</f>
        <v>2</v>
      </c>
      <c r="Y346" s="129" t="n">
        <f aca="false">1/(1+CHOOSE(F$3,(X347+($K$3/10000))/2,(X346+($K$3/10000))/2))^(2*W346/365.25)</f>
        <v>1.11780042090142E-017</v>
      </c>
      <c r="Z346" s="5" t="n">
        <f aca="false">IF(AND(mthbeg&lt;=A346,mthend&gt;=A346),1,0)</f>
        <v>0</v>
      </c>
      <c r="AA346" s="5" t="n">
        <f aca="false">U346*Z346</f>
        <v>0</v>
      </c>
      <c r="AC346" s="115" t="n">
        <f aca="false">IF(G339=2,F346*(S346-Q346),F346*(Q346-S346))</f>
        <v>0</v>
      </c>
      <c r="AE346" s="116" t="n">
        <f aca="false">IF($G$3=1,F346*(R346-Q346),F346*(Q346-R346))</f>
        <v>0</v>
      </c>
      <c r="AG346" s="116" t="n">
        <f aca="false">AC346+AE346</f>
        <v>0</v>
      </c>
    </row>
    <row r="347" customFormat="false" ht="12" hidden="false" customHeight="true" outlineLevel="0" collapsed="false">
      <c r="A347" s="120" t="n">
        <f aca="false">EDATE(A346,1)</f>
        <v>47543</v>
      </c>
      <c r="B347" s="121" t="e">
        <f aca="false">VLOOKUP(A347,'Inputs-Summary'!$A$32:$E$41,4,FALSE())</f>
        <v>#N/A</v>
      </c>
      <c r="C347" s="122"/>
      <c r="D347" s="123" t="e">
        <f aca="false">B347+C347</f>
        <v>#N/A</v>
      </c>
      <c r="E347" s="111" t="n">
        <f aca="false">IF(Z347=0,0,IF(AND(Z347=1,$H$3=1),D347*U347,IF($H$3=2,D347,"N/A")))</f>
        <v>0</v>
      </c>
      <c r="F347" s="111" t="n">
        <f aca="false">E347*Y347</f>
        <v>0</v>
      </c>
      <c r="G347" s="124" t="n">
        <f aca="false">VLOOKUP($A347,Table,MATCH(G$4,Curves,0))</f>
        <v>3</v>
      </c>
      <c r="H347" s="125" t="n">
        <f aca="false">G347+$H$7</f>
        <v>3</v>
      </c>
      <c r="I347" s="124" t="n">
        <f aca="false">H347</f>
        <v>3</v>
      </c>
      <c r="J347" s="124" t="n">
        <f aca="false">VLOOKUP($A347,Table,MATCH(J$4,Curves,0))</f>
        <v>4</v>
      </c>
      <c r="K347" s="125" t="n">
        <f aca="false">J347+$K$7</f>
        <v>4</v>
      </c>
      <c r="L347" s="126" t="n">
        <f aca="false">K347</f>
        <v>4</v>
      </c>
      <c r="M347" s="124" t="n">
        <f aca="false">VLOOKUP($A347,Table,MATCH(M$4,Curves,0))</f>
        <v>4</v>
      </c>
      <c r="N347" s="125" t="n">
        <f aca="false">M347+$N$7</f>
        <v>4</v>
      </c>
      <c r="O347" s="126" t="n">
        <v>0.25</v>
      </c>
      <c r="P347" s="114"/>
      <c r="Q347" s="126" t="n">
        <f aca="false">M347+J347+G347</f>
        <v>11</v>
      </c>
      <c r="R347" s="126" t="n">
        <f aca="false">N347+K347+H347</f>
        <v>11</v>
      </c>
      <c r="S347" s="126" t="n">
        <f aca="false">O347+L347+I347</f>
        <v>7.25</v>
      </c>
      <c r="T347" s="127"/>
      <c r="U347" s="5" t="n">
        <f aca="false">A348-A347</f>
        <v>31</v>
      </c>
      <c r="V347" s="128" t="n">
        <f aca="false">CHOOSE(F$3,A348+24,A347)</f>
        <v>47543</v>
      </c>
      <c r="W347" s="5" t="n">
        <f aca="false">V347-C$3</f>
        <v>10312</v>
      </c>
      <c r="X347" s="124" t="n">
        <f aca="false">VLOOKUP($A347,Table,MATCH(X$4,Curves,0))</f>
        <v>2</v>
      </c>
      <c r="Y347" s="129" t="n">
        <f aca="false">1/(1+CHOOSE(F$3,(X348+($K$3/10000))/2,(X347+($K$3/10000))/2))^(2*W347/365.25)</f>
        <v>1.00510274023925E-017</v>
      </c>
      <c r="Z347" s="5" t="n">
        <f aca="false">IF(AND(mthbeg&lt;=A347,mthend&gt;=A347),1,0)</f>
        <v>0</v>
      </c>
      <c r="AA347" s="5" t="n">
        <f aca="false">U347*Z347</f>
        <v>0</v>
      </c>
      <c r="AC347" s="115" t="n">
        <f aca="false">IF(G340=2,F347*(S347-Q347),F347*(Q347-S347))</f>
        <v>0</v>
      </c>
      <c r="AE347" s="116" t="n">
        <f aca="false">IF($G$3=1,F347*(R347-Q347),F347*(Q347-R347))</f>
        <v>0</v>
      </c>
      <c r="AG347" s="116" t="n">
        <f aca="false">AC347+AE347</f>
        <v>0</v>
      </c>
    </row>
    <row r="348" customFormat="false" ht="12" hidden="false" customHeight="true" outlineLevel="0" collapsed="false">
      <c r="A348" s="120" t="n">
        <f aca="false">EDATE(A347,1)</f>
        <v>47574</v>
      </c>
      <c r="B348" s="121" t="e">
        <f aca="false">VLOOKUP(A348,'Inputs-Summary'!$A$32:$E$41,4,FALSE())</f>
        <v>#N/A</v>
      </c>
      <c r="C348" s="122"/>
      <c r="D348" s="123" t="e">
        <f aca="false">B348+C348</f>
        <v>#N/A</v>
      </c>
      <c r="E348" s="111" t="n">
        <f aca="false">IF(Z348=0,0,IF(AND(Z348=1,$H$3=1),D348*U348,IF($H$3=2,D348,"N/A")))</f>
        <v>0</v>
      </c>
      <c r="F348" s="111" t="n">
        <f aca="false">E348*Y348</f>
        <v>0</v>
      </c>
      <c r="G348" s="124" t="n">
        <f aca="false">VLOOKUP($A348,Table,MATCH(G$4,Curves,0))</f>
        <v>3</v>
      </c>
      <c r="H348" s="125" t="n">
        <f aca="false">G348+$H$7</f>
        <v>3</v>
      </c>
      <c r="I348" s="124" t="n">
        <f aca="false">H348</f>
        <v>3</v>
      </c>
      <c r="J348" s="124" t="n">
        <f aca="false">VLOOKUP($A348,Table,MATCH(J$4,Curves,0))</f>
        <v>4</v>
      </c>
      <c r="K348" s="125" t="n">
        <f aca="false">J348+$K$7</f>
        <v>4</v>
      </c>
      <c r="L348" s="126" t="n">
        <f aca="false">K348</f>
        <v>4</v>
      </c>
      <c r="M348" s="124" t="n">
        <f aca="false">VLOOKUP($A348,Table,MATCH(M$4,Curves,0))</f>
        <v>4</v>
      </c>
      <c r="N348" s="125" t="n">
        <f aca="false">M348+$N$7</f>
        <v>4</v>
      </c>
      <c r="O348" s="126" t="n">
        <v>0.25</v>
      </c>
      <c r="P348" s="114"/>
      <c r="Q348" s="126" t="n">
        <f aca="false">M348+J348+G348</f>
        <v>11</v>
      </c>
      <c r="R348" s="126" t="n">
        <f aca="false">N348+K348+H348</f>
        <v>11</v>
      </c>
      <c r="S348" s="126" t="n">
        <f aca="false">O348+L348+I348</f>
        <v>7.25</v>
      </c>
      <c r="T348" s="127"/>
      <c r="U348" s="5" t="n">
        <f aca="false">A349-A348</f>
        <v>30</v>
      </c>
      <c r="V348" s="128" t="n">
        <f aca="false">CHOOSE(F$3,A349+24,A348)</f>
        <v>47574</v>
      </c>
      <c r="W348" s="5" t="n">
        <f aca="false">V348-C$3</f>
        <v>10343</v>
      </c>
      <c r="X348" s="124" t="n">
        <f aca="false">VLOOKUP($A348,Table,MATCH(X$4,Curves,0))</f>
        <v>2</v>
      </c>
      <c r="Y348" s="129" t="n">
        <f aca="false">1/(1+CHOOSE(F$3,(X349+($K$3/10000))/2,(X348+($K$3/10000))/2))^(2*W348/365.25)</f>
        <v>8.93535052175182E-018</v>
      </c>
      <c r="Z348" s="5" t="n">
        <f aca="false">IF(AND(mthbeg&lt;=A348,mthend&gt;=A348),1,0)</f>
        <v>0</v>
      </c>
      <c r="AA348" s="5" t="n">
        <f aca="false">U348*Z348</f>
        <v>0</v>
      </c>
      <c r="AC348" s="115" t="n">
        <f aca="false">IF(G341=2,F348*(S348-Q348),F348*(Q348-S348))</f>
        <v>0</v>
      </c>
      <c r="AE348" s="116" t="n">
        <f aca="false">IF($G$3=1,F348*(R348-Q348),F348*(Q348-R348))</f>
        <v>0</v>
      </c>
      <c r="AG348" s="116" t="n">
        <f aca="false">AC348+AE348</f>
        <v>0</v>
      </c>
    </row>
    <row r="349" customFormat="false" ht="12" hidden="false" customHeight="true" outlineLevel="0" collapsed="false">
      <c r="A349" s="120" t="n">
        <f aca="false">EDATE(A348,1)</f>
        <v>47604</v>
      </c>
      <c r="B349" s="121" t="e">
        <f aca="false">VLOOKUP(A349,'Inputs-Summary'!$A$32:$E$41,4,FALSE())</f>
        <v>#N/A</v>
      </c>
      <c r="C349" s="122"/>
      <c r="D349" s="123" t="e">
        <f aca="false">B349+C349</f>
        <v>#N/A</v>
      </c>
      <c r="E349" s="111" t="n">
        <f aca="false">IF(Z349=0,0,IF(AND(Z349=1,$H$3=1),D349*U349,IF($H$3=2,D349,"N/A")))</f>
        <v>0</v>
      </c>
      <c r="F349" s="111" t="n">
        <f aca="false">E349*Y349</f>
        <v>0</v>
      </c>
      <c r="G349" s="124" t="n">
        <f aca="false">VLOOKUP($A349,Table,MATCH(G$4,Curves,0))</f>
        <v>3</v>
      </c>
      <c r="H349" s="125" t="n">
        <f aca="false">G349+$H$7</f>
        <v>3</v>
      </c>
      <c r="I349" s="124" t="n">
        <f aca="false">H349</f>
        <v>3</v>
      </c>
      <c r="J349" s="124" t="n">
        <f aca="false">VLOOKUP($A349,Table,MATCH(J$4,Curves,0))</f>
        <v>4</v>
      </c>
      <c r="K349" s="125" t="n">
        <f aca="false">J349+$K$7</f>
        <v>4</v>
      </c>
      <c r="L349" s="126" t="n">
        <f aca="false">K349</f>
        <v>4</v>
      </c>
      <c r="M349" s="124" t="n">
        <f aca="false">VLOOKUP($A349,Table,MATCH(M$4,Curves,0))</f>
        <v>4</v>
      </c>
      <c r="N349" s="125" t="n">
        <f aca="false">M349+$N$7</f>
        <v>4</v>
      </c>
      <c r="O349" s="126" t="n">
        <v>0.25</v>
      </c>
      <c r="P349" s="114"/>
      <c r="Q349" s="126" t="n">
        <f aca="false">M349+J349+G349</f>
        <v>11</v>
      </c>
      <c r="R349" s="126" t="n">
        <f aca="false">N349+K349+H349</f>
        <v>11</v>
      </c>
      <c r="S349" s="126" t="n">
        <f aca="false">O349+L349+I349</f>
        <v>7.25</v>
      </c>
      <c r="T349" s="127"/>
      <c r="U349" s="5" t="n">
        <f aca="false">A350-A349</f>
        <v>31</v>
      </c>
      <c r="V349" s="128" t="n">
        <f aca="false">CHOOSE(F$3,A350+24,A349)</f>
        <v>47604</v>
      </c>
      <c r="W349" s="5" t="n">
        <f aca="false">V349-C$3</f>
        <v>10373</v>
      </c>
      <c r="X349" s="124" t="n">
        <f aca="false">VLOOKUP($A349,Table,MATCH(X$4,Curves,0))</f>
        <v>2</v>
      </c>
      <c r="Y349" s="129" t="n">
        <f aca="false">1/(1+CHOOSE(F$3,(X350+($K$3/10000))/2,(X349+($K$3/10000))/2))^(2*W349/365.25)</f>
        <v>7.97372183855626E-018</v>
      </c>
      <c r="Z349" s="5" t="n">
        <f aca="false">IF(AND(mthbeg&lt;=A349,mthend&gt;=A349),1,0)</f>
        <v>0</v>
      </c>
      <c r="AA349" s="5" t="n">
        <f aca="false">U349*Z349</f>
        <v>0</v>
      </c>
      <c r="AC349" s="115" t="n">
        <f aca="false">IF(G342=2,F349*(S349-Q349),F349*(Q349-S349))</f>
        <v>0</v>
      </c>
      <c r="AE349" s="116" t="n">
        <f aca="false">IF($G$3=1,F349*(R349-Q349),F349*(Q349-R349))</f>
        <v>0</v>
      </c>
      <c r="AG349" s="116" t="n">
        <f aca="false">AC349+AE349</f>
        <v>0</v>
      </c>
    </row>
    <row r="350" customFormat="false" ht="12" hidden="false" customHeight="true" outlineLevel="0" collapsed="false">
      <c r="A350" s="120" t="n">
        <f aca="false">EDATE(A349,1)</f>
        <v>47635</v>
      </c>
      <c r="B350" s="121" t="e">
        <f aca="false">VLOOKUP(A350,'Inputs-Summary'!$A$32:$E$41,4,FALSE())</f>
        <v>#N/A</v>
      </c>
      <c r="C350" s="122"/>
      <c r="D350" s="123" t="e">
        <f aca="false">B350+C350</f>
        <v>#N/A</v>
      </c>
      <c r="E350" s="111" t="n">
        <f aca="false">IF(Z350=0,0,IF(AND(Z350=1,$H$3=1),D350*U350,IF($H$3=2,D350,"N/A")))</f>
        <v>0</v>
      </c>
      <c r="F350" s="111" t="n">
        <f aca="false">E350*Y350</f>
        <v>0</v>
      </c>
      <c r="G350" s="124" t="n">
        <f aca="false">VLOOKUP($A350,Table,MATCH(G$4,Curves,0))</f>
        <v>3</v>
      </c>
      <c r="H350" s="125" t="n">
        <f aca="false">G350+$H$7</f>
        <v>3</v>
      </c>
      <c r="I350" s="124" t="n">
        <f aca="false">H350</f>
        <v>3</v>
      </c>
      <c r="J350" s="124" t="n">
        <f aca="false">VLOOKUP($A350,Table,MATCH(J$4,Curves,0))</f>
        <v>4</v>
      </c>
      <c r="K350" s="125" t="n">
        <f aca="false">J350+$K$7</f>
        <v>4</v>
      </c>
      <c r="L350" s="126" t="n">
        <f aca="false">K350</f>
        <v>4</v>
      </c>
      <c r="M350" s="124" t="n">
        <f aca="false">VLOOKUP($A350,Table,MATCH(M$4,Curves,0))</f>
        <v>4</v>
      </c>
      <c r="N350" s="125" t="n">
        <f aca="false">M350+$N$7</f>
        <v>4</v>
      </c>
      <c r="O350" s="126" t="n">
        <v>0.25</v>
      </c>
      <c r="P350" s="114"/>
      <c r="Q350" s="126" t="n">
        <f aca="false">M350+J350+G350</f>
        <v>11</v>
      </c>
      <c r="R350" s="126" t="n">
        <f aca="false">N350+K350+H350</f>
        <v>11</v>
      </c>
      <c r="S350" s="126" t="n">
        <f aca="false">O350+L350+I350</f>
        <v>7.25</v>
      </c>
      <c r="T350" s="127"/>
      <c r="U350" s="5" t="n">
        <f aca="false">A351-A350</f>
        <v>30</v>
      </c>
      <c r="V350" s="128" t="n">
        <f aca="false">CHOOSE(F$3,A351+24,A350)</f>
        <v>47635</v>
      </c>
      <c r="W350" s="5" t="n">
        <f aca="false">V350-C$3</f>
        <v>10404</v>
      </c>
      <c r="X350" s="124" t="n">
        <f aca="false">VLOOKUP($A350,Table,MATCH(X$4,Curves,0))</f>
        <v>2</v>
      </c>
      <c r="Y350" s="129" t="n">
        <f aca="false">1/(1+CHOOSE(F$3,(X351+($K$3/10000))/2,(X350+($K$3/10000))/2))^(2*W350/365.25)</f>
        <v>7.08862852900868E-018</v>
      </c>
      <c r="Z350" s="5" t="n">
        <f aca="false">IF(AND(mthbeg&lt;=A350,mthend&gt;=A350),1,0)</f>
        <v>0</v>
      </c>
      <c r="AA350" s="5" t="n">
        <f aca="false">U350*Z350</f>
        <v>0</v>
      </c>
      <c r="AC350" s="115" t="n">
        <f aca="false">IF(G343=2,F350*(S350-Q350),F350*(Q350-S350))</f>
        <v>0</v>
      </c>
      <c r="AE350" s="116" t="n">
        <f aca="false">IF($G$3=1,F350*(R350-Q350),F350*(Q350-R350))</f>
        <v>0</v>
      </c>
      <c r="AG350" s="116" t="n">
        <f aca="false">AC350+AE350</f>
        <v>0</v>
      </c>
    </row>
    <row r="351" customFormat="false" ht="12" hidden="false" customHeight="true" outlineLevel="0" collapsed="false">
      <c r="A351" s="120" t="n">
        <f aca="false">EDATE(A350,1)</f>
        <v>47665</v>
      </c>
      <c r="B351" s="121" t="e">
        <f aca="false">VLOOKUP(A351,'Inputs-Summary'!$A$32:$E$41,4,FALSE())</f>
        <v>#N/A</v>
      </c>
      <c r="C351" s="122"/>
      <c r="D351" s="123" t="e">
        <f aca="false">B351+C351</f>
        <v>#N/A</v>
      </c>
      <c r="E351" s="111" t="n">
        <f aca="false">IF(Z351=0,0,IF(AND(Z351=1,$H$3=1),D351*U351,IF($H$3=2,D351,"N/A")))</f>
        <v>0</v>
      </c>
      <c r="F351" s="111" t="n">
        <f aca="false">E351*Y351</f>
        <v>0</v>
      </c>
      <c r="G351" s="124" t="n">
        <f aca="false">VLOOKUP($A351,Table,MATCH(G$4,Curves,0))</f>
        <v>3</v>
      </c>
      <c r="H351" s="125" t="n">
        <f aca="false">G351+$H$7</f>
        <v>3</v>
      </c>
      <c r="I351" s="124" t="n">
        <f aca="false">H351</f>
        <v>3</v>
      </c>
      <c r="J351" s="124" t="n">
        <f aca="false">VLOOKUP($A351,Table,MATCH(J$4,Curves,0))</f>
        <v>4</v>
      </c>
      <c r="K351" s="125" t="n">
        <f aca="false">J351+$K$7</f>
        <v>4</v>
      </c>
      <c r="L351" s="126" t="n">
        <f aca="false">K351</f>
        <v>4</v>
      </c>
      <c r="M351" s="124" t="n">
        <f aca="false">VLOOKUP($A351,Table,MATCH(M$4,Curves,0))</f>
        <v>4</v>
      </c>
      <c r="N351" s="125" t="n">
        <f aca="false">M351+$N$7</f>
        <v>4</v>
      </c>
      <c r="O351" s="126" t="n">
        <v>0.25</v>
      </c>
      <c r="P351" s="114"/>
      <c r="Q351" s="126" t="n">
        <f aca="false">M351+J351+G351</f>
        <v>11</v>
      </c>
      <c r="R351" s="126" t="n">
        <f aca="false">N351+K351+H351</f>
        <v>11</v>
      </c>
      <c r="S351" s="126" t="n">
        <f aca="false">O351+L351+I351</f>
        <v>7.25</v>
      </c>
      <c r="T351" s="127"/>
      <c r="U351" s="5" t="n">
        <f aca="false">A352-A351</f>
        <v>31</v>
      </c>
      <c r="V351" s="128" t="n">
        <f aca="false">CHOOSE(F$3,A352+24,A351)</f>
        <v>47665</v>
      </c>
      <c r="W351" s="5" t="n">
        <f aca="false">V351-C$3</f>
        <v>10434</v>
      </c>
      <c r="X351" s="124" t="n">
        <f aca="false">VLOOKUP($A351,Table,MATCH(X$4,Curves,0))</f>
        <v>2</v>
      </c>
      <c r="Y351" s="129" t="n">
        <f aca="false">1/(1+CHOOSE(F$3,(X352+($K$3/10000))/2,(X351+($K$3/10000))/2))^(2*W351/365.25)</f>
        <v>6.32574536047276E-018</v>
      </c>
      <c r="Z351" s="5" t="n">
        <f aca="false">IF(AND(mthbeg&lt;=A351,mthend&gt;=A351),1,0)</f>
        <v>0</v>
      </c>
      <c r="AA351" s="5" t="n">
        <f aca="false">U351*Z351</f>
        <v>0</v>
      </c>
      <c r="AC351" s="115" t="n">
        <f aca="false">IF(G344=2,F351*(S351-Q351),F351*(Q351-S351))</f>
        <v>0</v>
      </c>
      <c r="AE351" s="116" t="n">
        <f aca="false">IF($G$3=1,F351*(R351-Q351),F351*(Q351-R351))</f>
        <v>0</v>
      </c>
      <c r="AG351" s="116" t="n">
        <f aca="false">AC351+AE351</f>
        <v>0</v>
      </c>
    </row>
    <row r="352" customFormat="false" ht="12" hidden="false" customHeight="true" outlineLevel="0" collapsed="false">
      <c r="A352" s="120" t="n">
        <f aca="false">EDATE(A351,1)</f>
        <v>47696</v>
      </c>
      <c r="B352" s="121" t="e">
        <f aca="false">VLOOKUP(A352,'Inputs-Summary'!$A$32:$E$41,4,FALSE())</f>
        <v>#N/A</v>
      </c>
      <c r="C352" s="122"/>
      <c r="D352" s="123" t="e">
        <f aca="false">B352+C352</f>
        <v>#N/A</v>
      </c>
      <c r="E352" s="111" t="n">
        <f aca="false">IF(Z352=0,0,IF(AND(Z352=1,$H$3=1),D352*U352,IF($H$3=2,D352,"N/A")))</f>
        <v>0</v>
      </c>
      <c r="F352" s="111" t="n">
        <f aca="false">E352*Y352</f>
        <v>0</v>
      </c>
      <c r="G352" s="124" t="n">
        <f aca="false">VLOOKUP($A352,Table,MATCH(G$4,Curves,0))</f>
        <v>3</v>
      </c>
      <c r="H352" s="125" t="n">
        <f aca="false">G352+$H$7</f>
        <v>3</v>
      </c>
      <c r="I352" s="124" t="n">
        <f aca="false">H352</f>
        <v>3</v>
      </c>
      <c r="J352" s="124" t="n">
        <f aca="false">VLOOKUP($A352,Table,MATCH(J$4,Curves,0))</f>
        <v>4</v>
      </c>
      <c r="K352" s="125" t="n">
        <f aca="false">J352+$K$7</f>
        <v>4</v>
      </c>
      <c r="L352" s="126" t="n">
        <f aca="false">K352</f>
        <v>4</v>
      </c>
      <c r="M352" s="124" t="n">
        <f aca="false">VLOOKUP($A352,Table,MATCH(M$4,Curves,0))</f>
        <v>4</v>
      </c>
      <c r="N352" s="125" t="n">
        <f aca="false">M352+$N$7</f>
        <v>4</v>
      </c>
      <c r="O352" s="126" t="n">
        <v>0.25</v>
      </c>
      <c r="P352" s="114"/>
      <c r="Q352" s="126" t="n">
        <f aca="false">M352+J352+G352</f>
        <v>11</v>
      </c>
      <c r="R352" s="126" t="n">
        <f aca="false">N352+K352+H352</f>
        <v>11</v>
      </c>
      <c r="S352" s="126" t="n">
        <f aca="false">O352+L352+I352</f>
        <v>7.25</v>
      </c>
      <c r="T352" s="127"/>
      <c r="U352" s="5" t="n">
        <f aca="false">A353-A352</f>
        <v>31</v>
      </c>
      <c r="V352" s="128" t="n">
        <f aca="false">CHOOSE(F$3,A353+24,A352)</f>
        <v>47696</v>
      </c>
      <c r="W352" s="5" t="n">
        <f aca="false">V352-C$3</f>
        <v>10465</v>
      </c>
      <c r="X352" s="124" t="n">
        <f aca="false">VLOOKUP($A352,Table,MATCH(X$4,Curves,0))</f>
        <v>2</v>
      </c>
      <c r="Y352" s="129" t="n">
        <f aca="false">1/(1+CHOOSE(F$3,(X353+($K$3/10000))/2,(X352+($K$3/10000))/2))^(2*W352/365.25)</f>
        <v>5.62357954508362E-018</v>
      </c>
      <c r="Z352" s="5" t="n">
        <f aca="false">IF(AND(mthbeg&lt;=A352,mthend&gt;=A352),1,0)</f>
        <v>0</v>
      </c>
      <c r="AA352" s="5" t="n">
        <f aca="false">U352*Z352</f>
        <v>0</v>
      </c>
      <c r="AC352" s="115" t="n">
        <f aca="false">IF(G345=2,F352*(S352-Q352),F352*(Q352-S352))</f>
        <v>0</v>
      </c>
      <c r="AE352" s="116" t="n">
        <f aca="false">IF($G$3=1,F352*(R352-Q352),F352*(Q352-R352))</f>
        <v>0</v>
      </c>
      <c r="AG352" s="116" t="n">
        <f aca="false">AC352+AE352</f>
        <v>0</v>
      </c>
    </row>
    <row r="353" customFormat="false" ht="12" hidden="false" customHeight="true" outlineLevel="0" collapsed="false">
      <c r="A353" s="120" t="n">
        <f aca="false">EDATE(A352,1)</f>
        <v>47727</v>
      </c>
      <c r="B353" s="121" t="e">
        <f aca="false">VLOOKUP(A353,'Inputs-Summary'!$A$32:$E$41,4,FALSE())</f>
        <v>#N/A</v>
      </c>
      <c r="C353" s="122"/>
      <c r="D353" s="123" t="e">
        <f aca="false">B353+C353</f>
        <v>#N/A</v>
      </c>
      <c r="E353" s="111" t="n">
        <f aca="false">IF(Z353=0,0,IF(AND(Z353=1,$H$3=1),D353*U353,IF($H$3=2,D353,"N/A")))</f>
        <v>0</v>
      </c>
      <c r="F353" s="111" t="n">
        <f aca="false">E353*Y353</f>
        <v>0</v>
      </c>
      <c r="G353" s="124" t="n">
        <f aca="false">VLOOKUP($A353,Table,MATCH(G$4,Curves,0))</f>
        <v>3</v>
      </c>
      <c r="H353" s="125" t="n">
        <f aca="false">G353+$H$7</f>
        <v>3</v>
      </c>
      <c r="I353" s="124" t="n">
        <f aca="false">H353</f>
        <v>3</v>
      </c>
      <c r="J353" s="124" t="n">
        <f aca="false">VLOOKUP($A353,Table,MATCH(J$4,Curves,0))</f>
        <v>4</v>
      </c>
      <c r="K353" s="125" t="n">
        <f aca="false">J353+$K$7</f>
        <v>4</v>
      </c>
      <c r="L353" s="126" t="n">
        <f aca="false">K353</f>
        <v>4</v>
      </c>
      <c r="M353" s="124" t="n">
        <f aca="false">VLOOKUP($A353,Table,MATCH(M$4,Curves,0))</f>
        <v>4</v>
      </c>
      <c r="N353" s="125" t="n">
        <f aca="false">M353+$N$7</f>
        <v>4</v>
      </c>
      <c r="O353" s="126" t="n">
        <v>0.25</v>
      </c>
      <c r="P353" s="114"/>
      <c r="Q353" s="126" t="n">
        <f aca="false">M353+J353+G353</f>
        <v>11</v>
      </c>
      <c r="R353" s="126" t="n">
        <f aca="false">N353+K353+H353</f>
        <v>11</v>
      </c>
      <c r="S353" s="126" t="n">
        <f aca="false">O353+L353+I353</f>
        <v>7.25</v>
      </c>
      <c r="T353" s="127"/>
      <c r="U353" s="5" t="n">
        <f aca="false">A354-A353</f>
        <v>30</v>
      </c>
      <c r="V353" s="128" t="n">
        <f aca="false">CHOOSE(F$3,A354+24,A353)</f>
        <v>47727</v>
      </c>
      <c r="W353" s="5" t="n">
        <f aca="false">V353-C$3</f>
        <v>10496</v>
      </c>
      <c r="X353" s="124" t="n">
        <f aca="false">VLOOKUP($A353,Table,MATCH(X$4,Curves,0))</f>
        <v>2</v>
      </c>
      <c r="Y353" s="129" t="n">
        <f aca="false">1/(1+CHOOSE(F$3,(X354+($K$3/10000))/2,(X353+($K$3/10000))/2))^(2*W353/365.25)</f>
        <v>4.9993550321348E-018</v>
      </c>
      <c r="Z353" s="5" t="n">
        <f aca="false">IF(AND(mthbeg&lt;=A353,mthend&gt;=A353),1,0)</f>
        <v>0</v>
      </c>
      <c r="AA353" s="5" t="n">
        <f aca="false">U353*Z353</f>
        <v>0</v>
      </c>
      <c r="AC353" s="115" t="n">
        <f aca="false">IF(G346=2,F353*(S353-Q353),F353*(Q353-S353))</f>
        <v>0</v>
      </c>
      <c r="AE353" s="116" t="n">
        <f aca="false">IF($G$3=1,F353*(R353-Q353),F353*(Q353-R353))</f>
        <v>0</v>
      </c>
      <c r="AG353" s="116" t="n">
        <f aca="false">AC353+AE353</f>
        <v>0</v>
      </c>
    </row>
    <row r="354" customFormat="false" ht="12" hidden="false" customHeight="true" outlineLevel="0" collapsed="false">
      <c r="A354" s="120" t="n">
        <f aca="false">EDATE(A353,1)</f>
        <v>47757</v>
      </c>
      <c r="B354" s="121" t="e">
        <f aca="false">VLOOKUP(A354,'Inputs-Summary'!$A$32:$E$41,4,FALSE())</f>
        <v>#N/A</v>
      </c>
      <c r="C354" s="122"/>
      <c r="D354" s="123" t="e">
        <f aca="false">B354+C354</f>
        <v>#N/A</v>
      </c>
      <c r="E354" s="111" t="n">
        <f aca="false">IF(Z354=0,0,IF(AND(Z354=1,$H$3=1),D354*U354,IF($H$3=2,D354,"N/A")))</f>
        <v>0</v>
      </c>
      <c r="F354" s="111" t="n">
        <f aca="false">E354*Y354</f>
        <v>0</v>
      </c>
      <c r="G354" s="124" t="n">
        <f aca="false">VLOOKUP($A354,Table,MATCH(G$4,Curves,0))</f>
        <v>3</v>
      </c>
      <c r="H354" s="125" t="n">
        <f aca="false">G354+$H$7</f>
        <v>3</v>
      </c>
      <c r="I354" s="124" t="n">
        <f aca="false">H354</f>
        <v>3</v>
      </c>
      <c r="J354" s="124" t="n">
        <f aca="false">VLOOKUP($A354,Table,MATCH(J$4,Curves,0))</f>
        <v>4</v>
      </c>
      <c r="K354" s="125" t="n">
        <f aca="false">J354+$K$7</f>
        <v>4</v>
      </c>
      <c r="L354" s="126" t="n">
        <f aca="false">K354</f>
        <v>4</v>
      </c>
      <c r="M354" s="124" t="n">
        <f aca="false">VLOOKUP($A354,Table,MATCH(M$4,Curves,0))</f>
        <v>4</v>
      </c>
      <c r="N354" s="125" t="n">
        <f aca="false">M354+$N$7</f>
        <v>4</v>
      </c>
      <c r="O354" s="126" t="n">
        <v>0.25</v>
      </c>
      <c r="P354" s="114"/>
      <c r="Q354" s="126" t="n">
        <f aca="false">M354+J354+G354</f>
        <v>11</v>
      </c>
      <c r="R354" s="126" t="n">
        <f aca="false">N354+K354+H354</f>
        <v>11</v>
      </c>
      <c r="S354" s="126" t="n">
        <f aca="false">O354+L354+I354</f>
        <v>7.25</v>
      </c>
      <c r="T354" s="127"/>
      <c r="U354" s="5" t="n">
        <f aca="false">A355-A354</f>
        <v>31</v>
      </c>
      <c r="V354" s="128" t="n">
        <f aca="false">CHOOSE(F$3,A355+24,A354)</f>
        <v>47757</v>
      </c>
      <c r="W354" s="5" t="n">
        <f aca="false">V354-C$3</f>
        <v>10526</v>
      </c>
      <c r="X354" s="124" t="n">
        <f aca="false">VLOOKUP($A354,Table,MATCH(X$4,Curves,0))</f>
        <v>2</v>
      </c>
      <c r="Y354" s="129" t="n">
        <f aca="false">1/(1+CHOOSE(F$3,(X355+($K$3/10000))/2,(X354+($K$3/10000))/2))^(2*W354/365.25)</f>
        <v>4.46132094106298E-018</v>
      </c>
      <c r="Z354" s="5" t="n">
        <f aca="false">IF(AND(mthbeg&lt;=A354,mthend&gt;=A354),1,0)</f>
        <v>0</v>
      </c>
      <c r="AA354" s="5" t="n">
        <f aca="false">U354*Z354</f>
        <v>0</v>
      </c>
      <c r="AC354" s="115" t="n">
        <f aca="false">IF(G347=2,F354*(S354-Q354),F354*(Q354-S354))</f>
        <v>0</v>
      </c>
      <c r="AE354" s="116" t="n">
        <f aca="false">IF($G$3=1,F354*(R354-Q354),F354*(Q354-R354))</f>
        <v>0</v>
      </c>
      <c r="AG354" s="116" t="n">
        <f aca="false">AC354+AE354</f>
        <v>0</v>
      </c>
    </row>
    <row r="355" customFormat="false" ht="12" hidden="false" customHeight="true" outlineLevel="0" collapsed="false">
      <c r="A355" s="120" t="n">
        <f aca="false">EDATE(A354,1)</f>
        <v>47788</v>
      </c>
      <c r="B355" s="121" t="e">
        <f aca="false">VLOOKUP(A355,'Inputs-Summary'!$A$32:$E$41,4,FALSE())</f>
        <v>#N/A</v>
      </c>
      <c r="C355" s="122"/>
      <c r="D355" s="123" t="e">
        <f aca="false">B355+C355</f>
        <v>#N/A</v>
      </c>
      <c r="E355" s="111" t="n">
        <f aca="false">IF(Z355=0,0,IF(AND(Z355=1,$H$3=1),D355*U355,IF($H$3=2,D355,"N/A")))</f>
        <v>0</v>
      </c>
      <c r="F355" s="111" t="n">
        <f aca="false">E355*Y355</f>
        <v>0</v>
      </c>
      <c r="G355" s="124" t="n">
        <f aca="false">VLOOKUP($A355,Table,MATCH(G$4,Curves,0))</f>
        <v>3</v>
      </c>
      <c r="H355" s="125" t="n">
        <f aca="false">G355+$H$7</f>
        <v>3</v>
      </c>
      <c r="I355" s="124" t="n">
        <f aca="false">H355</f>
        <v>3</v>
      </c>
      <c r="J355" s="124" t="n">
        <f aca="false">VLOOKUP($A355,Table,MATCH(J$4,Curves,0))</f>
        <v>4</v>
      </c>
      <c r="K355" s="125" t="n">
        <f aca="false">J355+$K$7</f>
        <v>4</v>
      </c>
      <c r="L355" s="126" t="n">
        <f aca="false">K355</f>
        <v>4</v>
      </c>
      <c r="M355" s="124" t="n">
        <f aca="false">VLOOKUP($A355,Table,MATCH(M$4,Curves,0))</f>
        <v>4</v>
      </c>
      <c r="N355" s="125" t="n">
        <f aca="false">M355+$N$7</f>
        <v>4</v>
      </c>
      <c r="O355" s="126" t="n">
        <v>0.25</v>
      </c>
      <c r="P355" s="114"/>
      <c r="Q355" s="126" t="n">
        <f aca="false">M355+J355+G355</f>
        <v>11</v>
      </c>
      <c r="R355" s="126" t="n">
        <f aca="false">N355+K355+H355</f>
        <v>11</v>
      </c>
      <c r="S355" s="126" t="n">
        <f aca="false">O355+L355+I355</f>
        <v>7.25</v>
      </c>
      <c r="T355" s="127"/>
      <c r="U355" s="5" t="n">
        <f aca="false">A356-A355</f>
        <v>30</v>
      </c>
      <c r="V355" s="128" t="n">
        <f aca="false">CHOOSE(F$3,A356+24,A355)</f>
        <v>47788</v>
      </c>
      <c r="W355" s="5" t="n">
        <f aca="false">V355-C$3</f>
        <v>10557</v>
      </c>
      <c r="X355" s="124" t="n">
        <f aca="false">VLOOKUP($A355,Table,MATCH(X$4,Curves,0))</f>
        <v>2</v>
      </c>
      <c r="Y355" s="129" t="n">
        <f aca="false">1/(1+CHOOSE(F$3,(X356+($K$3/10000))/2,(X355+($K$3/10000))/2))^(2*W355/365.25)</f>
        <v>3.96610861780562E-018</v>
      </c>
      <c r="Z355" s="5" t="n">
        <f aca="false">IF(AND(mthbeg&lt;=A355,mthend&gt;=A355),1,0)</f>
        <v>0</v>
      </c>
      <c r="AA355" s="5" t="n">
        <f aca="false">U355*Z355</f>
        <v>0</v>
      </c>
      <c r="AC355" s="115" t="n">
        <f aca="false">IF(G348=2,F355*(S355-Q355),F355*(Q355-S355))</f>
        <v>0</v>
      </c>
      <c r="AE355" s="116" t="n">
        <f aca="false">IF($G$3=1,F355*(R355-Q355),F355*(Q355-R355))</f>
        <v>0</v>
      </c>
      <c r="AG355" s="116" t="n">
        <f aca="false">AC355+AE355</f>
        <v>0</v>
      </c>
    </row>
    <row r="356" customFormat="false" ht="12" hidden="false" customHeight="true" outlineLevel="0" collapsed="false">
      <c r="A356" s="120" t="n">
        <f aca="false">EDATE(A355,1)</f>
        <v>47818</v>
      </c>
      <c r="B356" s="121" t="e">
        <f aca="false">VLOOKUP(A356,'Inputs-Summary'!$A$32:$E$41,4,FALSE())</f>
        <v>#N/A</v>
      </c>
      <c r="C356" s="122"/>
      <c r="D356" s="123" t="e">
        <f aca="false">B356+C356</f>
        <v>#N/A</v>
      </c>
      <c r="E356" s="111" t="n">
        <f aca="false">IF(Z356=0,0,IF(AND(Z356=1,$H$3=1),D356*U356,IF($H$3=2,D356,"N/A")))</f>
        <v>0</v>
      </c>
      <c r="F356" s="111" t="n">
        <f aca="false">E356*Y356</f>
        <v>0</v>
      </c>
      <c r="G356" s="124" t="n">
        <f aca="false">VLOOKUP($A356,Table,MATCH(G$4,Curves,0))</f>
        <v>3</v>
      </c>
      <c r="H356" s="125" t="n">
        <f aca="false">G356+$H$7</f>
        <v>3</v>
      </c>
      <c r="I356" s="124" t="n">
        <f aca="false">H356</f>
        <v>3</v>
      </c>
      <c r="J356" s="124" t="n">
        <f aca="false">VLOOKUP($A356,Table,MATCH(J$4,Curves,0))</f>
        <v>4</v>
      </c>
      <c r="K356" s="125" t="n">
        <f aca="false">J356+$K$7</f>
        <v>4</v>
      </c>
      <c r="L356" s="126" t="n">
        <f aca="false">K356</f>
        <v>4</v>
      </c>
      <c r="M356" s="124" t="n">
        <f aca="false">VLOOKUP($A356,Table,MATCH(M$4,Curves,0))</f>
        <v>4</v>
      </c>
      <c r="N356" s="125" t="n">
        <f aca="false">M356+$N$7</f>
        <v>4</v>
      </c>
      <c r="O356" s="126" t="n">
        <v>0.25</v>
      </c>
      <c r="P356" s="114"/>
      <c r="Q356" s="126" t="n">
        <f aca="false">M356+J356+G356</f>
        <v>11</v>
      </c>
      <c r="R356" s="126" t="n">
        <f aca="false">N356+K356+H356</f>
        <v>11</v>
      </c>
      <c r="S356" s="126" t="n">
        <f aca="false">O356+L356+I356</f>
        <v>7.25</v>
      </c>
      <c r="T356" s="127"/>
      <c r="U356" s="5" t="n">
        <f aca="false">A357-A356</f>
        <v>31</v>
      </c>
      <c r="V356" s="128" t="n">
        <f aca="false">CHOOSE(F$3,A357+24,A356)</f>
        <v>47818</v>
      </c>
      <c r="W356" s="5" t="n">
        <f aca="false">V356-C$3</f>
        <v>10587</v>
      </c>
      <c r="X356" s="124" t="n">
        <f aca="false">VLOOKUP($A356,Table,MATCH(X$4,Curves,0))</f>
        <v>2</v>
      </c>
      <c r="Y356" s="129" t="n">
        <f aca="false">1/(1+CHOOSE(F$3,(X357+($K$3/10000))/2,(X356+($K$3/10000))/2))^(2*W356/365.25)</f>
        <v>3.5392732297292E-018</v>
      </c>
      <c r="Z356" s="5" t="n">
        <f aca="false">IF(AND(mthbeg&lt;=A356,mthend&gt;=A356),1,0)</f>
        <v>0</v>
      </c>
      <c r="AA356" s="5" t="n">
        <f aca="false">U356*Z356</f>
        <v>0</v>
      </c>
      <c r="AC356" s="115" t="n">
        <f aca="false">IF(G349=2,F356*(S356-Q356),F356*(Q356-S356))</f>
        <v>0</v>
      </c>
      <c r="AE356" s="116" t="n">
        <f aca="false">IF($G$3=1,F356*(R356-Q356),F356*(Q356-R356))</f>
        <v>0</v>
      </c>
      <c r="AG356" s="116" t="n">
        <f aca="false">AC356+AE356</f>
        <v>0</v>
      </c>
    </row>
    <row r="357" customFormat="false" ht="12" hidden="false" customHeight="true" outlineLevel="0" collapsed="false">
      <c r="A357" s="120" t="n">
        <f aca="false">EDATE(A356,1)</f>
        <v>47849</v>
      </c>
      <c r="B357" s="121" t="e">
        <f aca="false">VLOOKUP(A357,'Inputs-Summary'!$A$32:$E$41,4,FALSE())</f>
        <v>#N/A</v>
      </c>
      <c r="C357" s="122"/>
      <c r="D357" s="123" t="e">
        <f aca="false">B357+C357</f>
        <v>#N/A</v>
      </c>
      <c r="E357" s="111" t="n">
        <f aca="false">IF(Z357=0,0,IF(AND(Z357=1,$H$3=1),D357*U357,IF($H$3=2,D357,"N/A")))</f>
        <v>0</v>
      </c>
      <c r="F357" s="111" t="n">
        <f aca="false">E357*Y357</f>
        <v>0</v>
      </c>
      <c r="G357" s="124" t="n">
        <f aca="false">VLOOKUP($A357,Table,MATCH(G$4,Curves,0))</f>
        <v>3</v>
      </c>
      <c r="H357" s="125" t="n">
        <f aca="false">G357+$H$7</f>
        <v>3</v>
      </c>
      <c r="I357" s="124" t="n">
        <f aca="false">H357</f>
        <v>3</v>
      </c>
      <c r="J357" s="124" t="n">
        <f aca="false">VLOOKUP($A357,Table,MATCH(J$4,Curves,0))</f>
        <v>4</v>
      </c>
      <c r="K357" s="125" t="n">
        <f aca="false">J357+$K$7</f>
        <v>4</v>
      </c>
      <c r="L357" s="126" t="n">
        <f aca="false">K357</f>
        <v>4</v>
      </c>
      <c r="M357" s="124" t="n">
        <f aca="false">VLOOKUP($A357,Table,MATCH(M$4,Curves,0))</f>
        <v>4</v>
      </c>
      <c r="N357" s="125" t="n">
        <f aca="false">M357+$N$7</f>
        <v>4</v>
      </c>
      <c r="O357" s="126" t="n">
        <v>0.25</v>
      </c>
      <c r="P357" s="114"/>
      <c r="Q357" s="126" t="n">
        <f aca="false">M357+J357+G357</f>
        <v>11</v>
      </c>
      <c r="R357" s="126" t="n">
        <f aca="false">N357+K357+H357</f>
        <v>11</v>
      </c>
      <c r="S357" s="126" t="n">
        <f aca="false">O357+L357+I357</f>
        <v>7.25</v>
      </c>
      <c r="T357" s="127"/>
      <c r="U357" s="5" t="n">
        <f aca="false">A358-A357</f>
        <v>31</v>
      </c>
      <c r="V357" s="128" t="n">
        <f aca="false">CHOOSE(F$3,A358+24,A357)</f>
        <v>47849</v>
      </c>
      <c r="W357" s="5" t="n">
        <f aca="false">V357-C$3</f>
        <v>10618</v>
      </c>
      <c r="X357" s="124" t="n">
        <f aca="false">VLOOKUP($A357,Table,MATCH(X$4,Curves,0))</f>
        <v>2</v>
      </c>
      <c r="Y357" s="129" t="n">
        <f aca="false">1/(1+CHOOSE(F$3,(X358+($K$3/10000))/2,(X357+($K$3/10000))/2))^(2*W357/365.25)</f>
        <v>3.14640938023462E-018</v>
      </c>
      <c r="Z357" s="5" t="n">
        <f aca="false">IF(AND(mthbeg&lt;=A357,mthend&gt;=A357),1,0)</f>
        <v>0</v>
      </c>
      <c r="AA357" s="5" t="n">
        <f aca="false">U357*Z357</f>
        <v>0</v>
      </c>
      <c r="AC357" s="115" t="n">
        <f aca="false">IF(G350=2,F357*(S357-Q357),F357*(Q357-S357))</f>
        <v>0</v>
      </c>
      <c r="AE357" s="116" t="n">
        <f aca="false">IF($G$3=1,F357*(R357-Q357),F357*(Q357-R357))</f>
        <v>0</v>
      </c>
      <c r="AG357" s="116" t="n">
        <f aca="false">AC357+AE357</f>
        <v>0</v>
      </c>
    </row>
    <row r="358" customFormat="false" ht="12" hidden="false" customHeight="true" outlineLevel="0" collapsed="false">
      <c r="A358" s="120" t="n">
        <f aca="false">EDATE(A357,1)</f>
        <v>47880</v>
      </c>
      <c r="B358" s="121" t="e">
        <f aca="false">VLOOKUP(A358,'Inputs-Summary'!$A$32:$E$41,4,FALSE())</f>
        <v>#N/A</v>
      </c>
      <c r="C358" s="122"/>
      <c r="D358" s="123" t="e">
        <f aca="false">B358+C358</f>
        <v>#N/A</v>
      </c>
      <c r="E358" s="111" t="n">
        <f aca="false">IF(Z358=0,0,IF(AND(Z358=1,$H$3=1),D358*U358,IF($H$3=2,D358,"N/A")))</f>
        <v>0</v>
      </c>
      <c r="F358" s="111" t="n">
        <f aca="false">E358*Y358</f>
        <v>0</v>
      </c>
      <c r="G358" s="124" t="n">
        <f aca="false">VLOOKUP($A358,Table,MATCH(G$4,Curves,0))</f>
        <v>3</v>
      </c>
      <c r="H358" s="125" t="n">
        <f aca="false">G358+$H$7</f>
        <v>3</v>
      </c>
      <c r="I358" s="124" t="n">
        <f aca="false">H358</f>
        <v>3</v>
      </c>
      <c r="J358" s="124" t="n">
        <f aca="false">VLOOKUP($A358,Table,MATCH(J$4,Curves,0))</f>
        <v>4</v>
      </c>
      <c r="K358" s="125" t="n">
        <f aca="false">J358+$K$7</f>
        <v>4</v>
      </c>
      <c r="L358" s="126" t="n">
        <f aca="false">K358</f>
        <v>4</v>
      </c>
      <c r="M358" s="124" t="n">
        <f aca="false">VLOOKUP($A358,Table,MATCH(M$4,Curves,0))</f>
        <v>4</v>
      </c>
      <c r="N358" s="125" t="n">
        <f aca="false">M358+$N$7</f>
        <v>4</v>
      </c>
      <c r="O358" s="126" t="n">
        <v>0.25</v>
      </c>
      <c r="P358" s="114"/>
      <c r="Q358" s="126" t="n">
        <f aca="false">M358+J358+G358</f>
        <v>11</v>
      </c>
      <c r="R358" s="126" t="n">
        <f aca="false">N358+K358+H358</f>
        <v>11</v>
      </c>
      <c r="S358" s="126" t="n">
        <f aca="false">O358+L358+I358</f>
        <v>7.25</v>
      </c>
      <c r="T358" s="127"/>
      <c r="U358" s="5" t="n">
        <f aca="false">A359-A358</f>
        <v>28</v>
      </c>
      <c r="V358" s="128" t="n">
        <f aca="false">CHOOSE(F$3,A359+24,A358)</f>
        <v>47880</v>
      </c>
      <c r="W358" s="5" t="n">
        <f aca="false">V358-C$3</f>
        <v>10649</v>
      </c>
      <c r="X358" s="124" t="n">
        <f aca="false">VLOOKUP($A358,Table,MATCH(X$4,Curves,0))</f>
        <v>2</v>
      </c>
      <c r="Y358" s="129" t="n">
        <f aca="false">1/(1+CHOOSE(F$3,(X359+($K$3/10000))/2,(X358+($K$3/10000))/2))^(2*W358/365.25)</f>
        <v>2.79715391987012E-018</v>
      </c>
      <c r="Z358" s="5" t="n">
        <f aca="false">IF(AND(mthbeg&lt;=A358,mthend&gt;=A358),1,0)</f>
        <v>0</v>
      </c>
      <c r="AA358" s="5" t="n">
        <f aca="false">U358*Z358</f>
        <v>0</v>
      </c>
      <c r="AC358" s="115" t="n">
        <f aca="false">IF(G351=2,F358*(S358-Q358),F358*(Q358-S358))</f>
        <v>0</v>
      </c>
      <c r="AE358" s="116" t="n">
        <f aca="false">IF($G$3=1,F358*(R358-Q358),F358*(Q358-R358))</f>
        <v>0</v>
      </c>
      <c r="AG358" s="116" t="n">
        <f aca="false">AC358+AE358</f>
        <v>0</v>
      </c>
    </row>
    <row r="359" customFormat="false" ht="12" hidden="false" customHeight="true" outlineLevel="0" collapsed="false">
      <c r="A359" s="120" t="n">
        <f aca="false">EDATE(A358,1)</f>
        <v>47908</v>
      </c>
      <c r="B359" s="121" t="e">
        <f aca="false">VLOOKUP(A359,'Inputs-Summary'!$A$32:$E$41,4,FALSE())</f>
        <v>#N/A</v>
      </c>
      <c r="C359" s="122"/>
      <c r="D359" s="123" t="e">
        <f aca="false">B359+C359</f>
        <v>#N/A</v>
      </c>
      <c r="E359" s="111" t="n">
        <f aca="false">IF(Z359=0,0,IF(AND(Z359=1,$H$3=1),D359*U359,IF($H$3=2,D359,"N/A")))</f>
        <v>0</v>
      </c>
      <c r="F359" s="111" t="n">
        <f aca="false">E359*Y359</f>
        <v>0</v>
      </c>
      <c r="G359" s="124" t="n">
        <f aca="false">VLOOKUP($A359,Table,MATCH(G$4,Curves,0))</f>
        <v>3</v>
      </c>
      <c r="H359" s="125" t="n">
        <f aca="false">G359+$H$7</f>
        <v>3</v>
      </c>
      <c r="I359" s="124" t="n">
        <f aca="false">H359</f>
        <v>3</v>
      </c>
      <c r="J359" s="124" t="n">
        <f aca="false">VLOOKUP($A359,Table,MATCH(J$4,Curves,0))</f>
        <v>4</v>
      </c>
      <c r="K359" s="125" t="n">
        <f aca="false">J359+$K$7</f>
        <v>4</v>
      </c>
      <c r="L359" s="126" t="n">
        <f aca="false">K359</f>
        <v>4</v>
      </c>
      <c r="M359" s="124" t="n">
        <f aca="false">VLOOKUP($A359,Table,MATCH(M$4,Curves,0))</f>
        <v>4</v>
      </c>
      <c r="N359" s="125" t="n">
        <f aca="false">M359+$N$7</f>
        <v>4</v>
      </c>
      <c r="O359" s="126" t="n">
        <v>0.25</v>
      </c>
      <c r="P359" s="114"/>
      <c r="Q359" s="126" t="n">
        <f aca="false">M359+J359+G359</f>
        <v>11</v>
      </c>
      <c r="R359" s="126" t="n">
        <f aca="false">N359+K359+H359</f>
        <v>11</v>
      </c>
      <c r="S359" s="126" t="n">
        <f aca="false">O359+L359+I359</f>
        <v>7.25</v>
      </c>
      <c r="T359" s="127"/>
      <c r="U359" s="5" t="n">
        <f aca="false">A360-A359</f>
        <v>31</v>
      </c>
      <c r="V359" s="128" t="n">
        <f aca="false">CHOOSE(F$3,A360+24,A359)</f>
        <v>47908</v>
      </c>
      <c r="W359" s="5" t="n">
        <f aca="false">V359-C$3</f>
        <v>10677</v>
      </c>
      <c r="X359" s="124" t="n">
        <f aca="false">VLOOKUP($A359,Table,MATCH(X$4,Curves,0))</f>
        <v>2</v>
      </c>
      <c r="Y359" s="129" t="n">
        <f aca="false">1/(1+CHOOSE(F$3,(X360+($K$3/10000))/2,(X359+($K$3/10000))/2))^(2*W359/365.25)</f>
        <v>2.51514225362807E-018</v>
      </c>
      <c r="Z359" s="5" t="n">
        <f aca="false">IF(AND(mthbeg&lt;=A359,mthend&gt;=A359),1,0)</f>
        <v>0</v>
      </c>
      <c r="AA359" s="5" t="n">
        <f aca="false">U359*Z359</f>
        <v>0</v>
      </c>
      <c r="AC359" s="115" t="n">
        <f aca="false">IF(G352=2,F359*(S359-Q359),F359*(Q359-S359))</f>
        <v>0</v>
      </c>
      <c r="AE359" s="116" t="n">
        <f aca="false">IF($G$3=1,F359*(R359-Q359),F359*(Q359-R359))</f>
        <v>0</v>
      </c>
      <c r="AG359" s="116" t="n">
        <f aca="false">AC359+AE359</f>
        <v>0</v>
      </c>
    </row>
    <row r="360" customFormat="false" ht="12" hidden="false" customHeight="true" outlineLevel="0" collapsed="false">
      <c r="A360" s="120" t="n">
        <f aca="false">EDATE(A359,1)</f>
        <v>47939</v>
      </c>
      <c r="B360" s="121" t="e">
        <f aca="false">VLOOKUP(A360,'Inputs-Summary'!$A$32:$E$41,4,FALSE())</f>
        <v>#N/A</v>
      </c>
      <c r="C360" s="122"/>
      <c r="D360" s="123" t="e">
        <f aca="false">B360+C360</f>
        <v>#N/A</v>
      </c>
      <c r="E360" s="111" t="n">
        <f aca="false">IF(Z360=0,0,IF(AND(Z360=1,$H$3=1),D360*U360,IF($H$3=2,D360,"N/A")))</f>
        <v>0</v>
      </c>
      <c r="F360" s="111" t="n">
        <f aca="false">E360*Y360</f>
        <v>0</v>
      </c>
      <c r="G360" s="124" t="n">
        <f aca="false">VLOOKUP($A360,Table,MATCH(G$4,Curves,0))</f>
        <v>3</v>
      </c>
      <c r="H360" s="125" t="n">
        <f aca="false">G360+$H$7</f>
        <v>3</v>
      </c>
      <c r="I360" s="124" t="n">
        <f aca="false">H360</f>
        <v>3</v>
      </c>
      <c r="J360" s="124" t="n">
        <f aca="false">VLOOKUP($A360,Table,MATCH(J$4,Curves,0))</f>
        <v>4</v>
      </c>
      <c r="K360" s="125" t="n">
        <f aca="false">J360+$K$7</f>
        <v>4</v>
      </c>
      <c r="L360" s="126" t="n">
        <f aca="false">K360</f>
        <v>4</v>
      </c>
      <c r="M360" s="124" t="n">
        <f aca="false">VLOOKUP($A360,Table,MATCH(M$4,Curves,0))</f>
        <v>4</v>
      </c>
      <c r="N360" s="125" t="n">
        <f aca="false">M360+$N$7</f>
        <v>4</v>
      </c>
      <c r="O360" s="126" t="n">
        <v>0.25</v>
      </c>
      <c r="P360" s="114"/>
      <c r="Q360" s="126" t="n">
        <f aca="false">M360+J360+G360</f>
        <v>11</v>
      </c>
      <c r="R360" s="126" t="n">
        <f aca="false">N360+K360+H360</f>
        <v>11</v>
      </c>
      <c r="S360" s="126" t="n">
        <f aca="false">O360+L360+I360</f>
        <v>7.25</v>
      </c>
      <c r="T360" s="127"/>
      <c r="U360" s="5" t="n">
        <f aca="false">A361-A360</f>
        <v>30</v>
      </c>
      <c r="V360" s="128" t="n">
        <f aca="false">CHOOSE(F$3,A361+24,A360)</f>
        <v>47939</v>
      </c>
      <c r="W360" s="5" t="n">
        <f aca="false">V360-C$3</f>
        <v>10708</v>
      </c>
      <c r="X360" s="124" t="n">
        <f aca="false">VLOOKUP($A360,Table,MATCH(X$4,Curves,0))</f>
        <v>2</v>
      </c>
      <c r="Y360" s="129" t="n">
        <f aca="false">1/(1+CHOOSE(F$3,(X361+($K$3/10000))/2,(X360+($K$3/10000))/2))^(2*W360/365.25)</f>
        <v>2.23595825068451E-018</v>
      </c>
      <c r="Z360" s="5" t="n">
        <f aca="false">IF(AND(mthbeg&lt;=A360,mthend&gt;=A360),1,0)</f>
        <v>0</v>
      </c>
      <c r="AA360" s="5" t="n">
        <f aca="false">U360*Z360</f>
        <v>0</v>
      </c>
      <c r="AC360" s="115" t="n">
        <f aca="false">IF(G353=2,F360*(S360-Q360),F360*(Q360-S360))</f>
        <v>0</v>
      </c>
      <c r="AE360" s="116" t="n">
        <f aca="false">IF($G$3=1,F360*(R360-Q360),F360*(Q360-R360))</f>
        <v>0</v>
      </c>
      <c r="AG360" s="116" t="n">
        <f aca="false">AC360+AE360</f>
        <v>0</v>
      </c>
    </row>
    <row r="361" customFormat="false" ht="12" hidden="false" customHeight="true" outlineLevel="0" collapsed="false">
      <c r="A361" s="120" t="n">
        <f aca="false">EDATE(A360,1)</f>
        <v>47969</v>
      </c>
      <c r="B361" s="121" t="e">
        <f aca="false">VLOOKUP(A361,'Inputs-Summary'!$A$32:$E$41,4,FALSE())</f>
        <v>#N/A</v>
      </c>
      <c r="C361" s="122"/>
      <c r="D361" s="123" t="e">
        <f aca="false">B361+C361</f>
        <v>#N/A</v>
      </c>
      <c r="E361" s="111" t="n">
        <f aca="false">IF(Z361=0,0,IF(AND(Z361=1,$H$3=1),D361*U361,IF($H$3=2,D361,"N/A")))</f>
        <v>0</v>
      </c>
      <c r="F361" s="111" t="n">
        <f aca="false">E361*Y361</f>
        <v>0</v>
      </c>
      <c r="G361" s="124" t="n">
        <f aca="false">VLOOKUP($A361,Table,MATCH(G$4,Curves,0))</f>
        <v>3</v>
      </c>
      <c r="H361" s="125" t="n">
        <f aca="false">G361+$H$7</f>
        <v>3</v>
      </c>
      <c r="I361" s="124" t="n">
        <f aca="false">H361</f>
        <v>3</v>
      </c>
      <c r="J361" s="124" t="n">
        <f aca="false">VLOOKUP($A361,Table,MATCH(J$4,Curves,0))</f>
        <v>4</v>
      </c>
      <c r="K361" s="125" t="n">
        <f aca="false">J361+$K$7</f>
        <v>4</v>
      </c>
      <c r="L361" s="126" t="n">
        <f aca="false">K361</f>
        <v>4</v>
      </c>
      <c r="M361" s="124" t="n">
        <f aca="false">VLOOKUP($A361,Table,MATCH(M$4,Curves,0))</f>
        <v>4</v>
      </c>
      <c r="N361" s="125" t="n">
        <f aca="false">M361+$N$7</f>
        <v>4</v>
      </c>
      <c r="O361" s="126" t="n">
        <v>0.25</v>
      </c>
      <c r="P361" s="114"/>
      <c r="Q361" s="126" t="n">
        <f aca="false">M361+J361+G361</f>
        <v>11</v>
      </c>
      <c r="R361" s="126" t="n">
        <f aca="false">N361+K361+H361</f>
        <v>11</v>
      </c>
      <c r="S361" s="126" t="n">
        <f aca="false">O361+L361+I361</f>
        <v>7.25</v>
      </c>
      <c r="T361" s="127"/>
      <c r="U361" s="5" t="n">
        <f aca="false">A362-A361</f>
        <v>31</v>
      </c>
      <c r="V361" s="128" t="n">
        <f aca="false">CHOOSE(F$3,A362+24,A361)</f>
        <v>47969</v>
      </c>
      <c r="W361" s="5" t="n">
        <f aca="false">V361-C$3</f>
        <v>10738</v>
      </c>
      <c r="X361" s="124" t="n">
        <f aca="false">VLOOKUP($A361,Table,MATCH(X$4,Curves,0))</f>
        <v>2</v>
      </c>
      <c r="Y361" s="129" t="n">
        <f aca="false">1/(1+CHOOSE(F$3,(X362+($K$3/10000))/2,(X361+($K$3/10000))/2))^(2*W361/365.25)</f>
        <v>1.99532285724899E-018</v>
      </c>
      <c r="Z361" s="5" t="n">
        <f aca="false">IF(AND(mthbeg&lt;=A361,mthend&gt;=A361),1,0)</f>
        <v>0</v>
      </c>
      <c r="AA361" s="5" t="n">
        <f aca="false">U361*Z361</f>
        <v>0</v>
      </c>
      <c r="AC361" s="115" t="n">
        <f aca="false">IF(G354=2,F361*(S361-Q361),F361*(Q361-S361))</f>
        <v>0</v>
      </c>
      <c r="AE361" s="116" t="n">
        <f aca="false">IF($G$3=1,F361*(R361-Q361),F361*(Q361-R361))</f>
        <v>0</v>
      </c>
      <c r="AG361" s="116" t="n">
        <f aca="false">AC361+AE361</f>
        <v>0</v>
      </c>
    </row>
    <row r="362" customFormat="false" ht="12" hidden="false" customHeight="true" outlineLevel="0" collapsed="false">
      <c r="A362" s="120" t="n">
        <f aca="false">EDATE(A361,1)</f>
        <v>48000</v>
      </c>
      <c r="B362" s="121" t="e">
        <f aca="false">VLOOKUP(A362,'Inputs-Summary'!$A$32:$E$41,4,FALSE())</f>
        <v>#N/A</v>
      </c>
      <c r="C362" s="122"/>
      <c r="D362" s="123" t="e">
        <f aca="false">B362+C362</f>
        <v>#N/A</v>
      </c>
      <c r="E362" s="111" t="n">
        <f aca="false">IF(Z362=0,0,IF(AND(Z362=1,$H$3=1),D362*U362,IF($H$3=2,D362,"N/A")))</f>
        <v>0</v>
      </c>
      <c r="F362" s="111" t="n">
        <f aca="false">E362*Y362</f>
        <v>0</v>
      </c>
      <c r="G362" s="124" t="n">
        <f aca="false">VLOOKUP($A362,Table,MATCH(G$4,Curves,0))</f>
        <v>3</v>
      </c>
      <c r="H362" s="125" t="n">
        <f aca="false">G362+$H$7</f>
        <v>3</v>
      </c>
      <c r="I362" s="124" t="n">
        <f aca="false">H362</f>
        <v>3</v>
      </c>
      <c r="J362" s="124" t="n">
        <f aca="false">VLOOKUP($A362,Table,MATCH(J$4,Curves,0))</f>
        <v>4</v>
      </c>
      <c r="K362" s="125" t="n">
        <f aca="false">J362+$K$7</f>
        <v>4</v>
      </c>
      <c r="L362" s="126" t="n">
        <f aca="false">K362</f>
        <v>4</v>
      </c>
      <c r="M362" s="124" t="n">
        <f aca="false">VLOOKUP($A362,Table,MATCH(M$4,Curves,0))</f>
        <v>4</v>
      </c>
      <c r="N362" s="125" t="n">
        <f aca="false">M362+$N$7</f>
        <v>4</v>
      </c>
      <c r="O362" s="126" t="n">
        <v>0.25</v>
      </c>
      <c r="P362" s="114"/>
      <c r="Q362" s="126" t="n">
        <f aca="false">M362+J362+G362</f>
        <v>11</v>
      </c>
      <c r="R362" s="126" t="n">
        <f aca="false">N362+K362+H362</f>
        <v>11</v>
      </c>
      <c r="S362" s="126" t="n">
        <f aca="false">O362+L362+I362</f>
        <v>7.25</v>
      </c>
      <c r="T362" s="127"/>
      <c r="U362" s="5" t="n">
        <f aca="false">A363-A362</f>
        <v>30</v>
      </c>
      <c r="V362" s="128" t="n">
        <f aca="false">CHOOSE(F$3,A363+24,A362)</f>
        <v>48000</v>
      </c>
      <c r="W362" s="5" t="n">
        <f aca="false">V362-C$3</f>
        <v>10769</v>
      </c>
      <c r="X362" s="124" t="n">
        <f aca="false">VLOOKUP($A362,Table,MATCH(X$4,Curves,0))</f>
        <v>2</v>
      </c>
      <c r="Y362" s="129" t="n">
        <f aca="false">1/(1+CHOOSE(F$3,(X363+($K$3/10000))/2,(X362+($K$3/10000))/2))^(2*W362/365.25)</f>
        <v>1.77383947131009E-018</v>
      </c>
      <c r="Z362" s="5" t="n">
        <f aca="false">IF(AND(mthbeg&lt;=A362,mthend&gt;=A362),1,0)</f>
        <v>0</v>
      </c>
      <c r="AA362" s="5" t="n">
        <f aca="false">U362*Z362</f>
        <v>0</v>
      </c>
      <c r="AC362" s="115" t="n">
        <f aca="false">IF(G355=2,F362*(S362-Q362),F362*(Q362-S362))</f>
        <v>0</v>
      </c>
      <c r="AE362" s="116" t="n">
        <f aca="false">IF($G$3=1,F362*(R362-Q362),F362*(Q362-R362))</f>
        <v>0</v>
      </c>
      <c r="AG362" s="116" t="n">
        <f aca="false">AC362+AE362</f>
        <v>0</v>
      </c>
    </row>
    <row r="363" customFormat="false" ht="12" hidden="false" customHeight="true" outlineLevel="0" collapsed="false">
      <c r="A363" s="120" t="n">
        <f aca="false">EDATE(A362,1)</f>
        <v>48030</v>
      </c>
      <c r="B363" s="121" t="e">
        <f aca="false">VLOOKUP(A363,'Inputs-Summary'!$A$32:$E$41,4,FALSE())</f>
        <v>#N/A</v>
      </c>
      <c r="C363" s="122"/>
      <c r="D363" s="123" t="e">
        <f aca="false">B363+C363</f>
        <v>#N/A</v>
      </c>
      <c r="E363" s="111" t="n">
        <f aca="false">IF(Z363=0,0,IF(AND(Z363=1,$H$3=1),D363*U363,IF($H$3=2,D363,"N/A")))</f>
        <v>0</v>
      </c>
      <c r="F363" s="111" t="n">
        <f aca="false">E363*Y363</f>
        <v>0</v>
      </c>
      <c r="G363" s="124" t="n">
        <f aca="false">VLOOKUP($A363,Table,MATCH(G$4,Curves,0))</f>
        <v>3</v>
      </c>
      <c r="H363" s="125" t="n">
        <f aca="false">G363+$H$7</f>
        <v>3</v>
      </c>
      <c r="I363" s="124" t="n">
        <f aca="false">H363</f>
        <v>3</v>
      </c>
      <c r="J363" s="124" t="n">
        <f aca="false">VLOOKUP($A363,Table,MATCH(J$4,Curves,0))</f>
        <v>4</v>
      </c>
      <c r="K363" s="125" t="n">
        <f aca="false">J363+$K$7</f>
        <v>4</v>
      </c>
      <c r="L363" s="126" t="n">
        <f aca="false">K363</f>
        <v>4</v>
      </c>
      <c r="M363" s="124" t="n">
        <f aca="false">VLOOKUP($A363,Table,MATCH(M$4,Curves,0))</f>
        <v>4</v>
      </c>
      <c r="N363" s="125" t="n">
        <f aca="false">M363+$N$7</f>
        <v>4</v>
      </c>
      <c r="O363" s="126" t="n">
        <v>0.25</v>
      </c>
      <c r="P363" s="114"/>
      <c r="Q363" s="126" t="n">
        <f aca="false">M363+J363+G363</f>
        <v>11</v>
      </c>
      <c r="R363" s="126" t="n">
        <f aca="false">N363+K363+H363</f>
        <v>11</v>
      </c>
      <c r="S363" s="126" t="n">
        <f aca="false">O363+L363+I363</f>
        <v>7.25</v>
      </c>
      <c r="T363" s="127"/>
      <c r="U363" s="5" t="n">
        <f aca="false">A364-A363</f>
        <v>31</v>
      </c>
      <c r="V363" s="128" t="n">
        <f aca="false">CHOOSE(F$3,A364+24,A363)</f>
        <v>48030</v>
      </c>
      <c r="W363" s="5" t="n">
        <f aca="false">V363-C$3</f>
        <v>10799</v>
      </c>
      <c r="X363" s="124" t="n">
        <f aca="false">VLOOKUP($A363,Table,MATCH(X$4,Curves,0))</f>
        <v>2</v>
      </c>
      <c r="Y363" s="129" t="n">
        <f aca="false">1/(1+CHOOSE(F$3,(X364+($K$3/10000))/2,(X363+($K$3/10000))/2))^(2*W363/365.25)</f>
        <v>1.58293762466807E-018</v>
      </c>
      <c r="Z363" s="5" t="n">
        <f aca="false">IF(AND(mthbeg&lt;=A363,mthend&gt;=A363),1,0)</f>
        <v>0</v>
      </c>
      <c r="AA363" s="5" t="n">
        <f aca="false">U363*Z363</f>
        <v>0</v>
      </c>
      <c r="AC363" s="115" t="n">
        <f aca="false">IF(G356=2,F363*(S363-Q363),F363*(Q363-S363))</f>
        <v>0</v>
      </c>
      <c r="AE363" s="116" t="n">
        <f aca="false">IF($G$3=1,F363*(R363-Q363),F363*(Q363-R363))</f>
        <v>0</v>
      </c>
      <c r="AG363" s="116" t="n">
        <f aca="false">AC363+AE363</f>
        <v>0</v>
      </c>
    </row>
    <row r="364" customFormat="false" ht="12" hidden="false" customHeight="true" outlineLevel="0" collapsed="false">
      <c r="A364" s="120" t="n">
        <f aca="false">EDATE(A363,1)</f>
        <v>48061</v>
      </c>
      <c r="B364" s="121" t="e">
        <f aca="false">VLOOKUP(A364,'Inputs-Summary'!$A$32:$E$41,4,FALSE())</f>
        <v>#N/A</v>
      </c>
      <c r="C364" s="122"/>
      <c r="D364" s="123" t="e">
        <f aca="false">B364+C364</f>
        <v>#N/A</v>
      </c>
      <c r="E364" s="111" t="n">
        <f aca="false">IF(Z364=0,0,IF(AND(Z364=1,$H$3=1),D364*U364,IF($H$3=2,D364,"N/A")))</f>
        <v>0</v>
      </c>
      <c r="F364" s="111" t="n">
        <f aca="false">E364*Y364</f>
        <v>0</v>
      </c>
      <c r="G364" s="124" t="n">
        <f aca="false">VLOOKUP($A364,Table,MATCH(G$4,Curves,0))</f>
        <v>3</v>
      </c>
      <c r="H364" s="125" t="n">
        <f aca="false">G364+$H$7</f>
        <v>3</v>
      </c>
      <c r="I364" s="124" t="n">
        <f aca="false">H364</f>
        <v>3</v>
      </c>
      <c r="J364" s="124" t="n">
        <f aca="false">VLOOKUP($A364,Table,MATCH(J$4,Curves,0))</f>
        <v>4</v>
      </c>
      <c r="K364" s="125" t="n">
        <f aca="false">J364+$K$7</f>
        <v>4</v>
      </c>
      <c r="L364" s="126" t="n">
        <f aca="false">K364</f>
        <v>4</v>
      </c>
      <c r="M364" s="124" t="n">
        <f aca="false">VLOOKUP($A364,Table,MATCH(M$4,Curves,0))</f>
        <v>4</v>
      </c>
      <c r="N364" s="125" t="n">
        <f aca="false">M364+$N$7</f>
        <v>4</v>
      </c>
      <c r="O364" s="126" t="n">
        <v>0.25</v>
      </c>
      <c r="P364" s="114"/>
      <c r="Q364" s="126" t="n">
        <f aca="false">M364+J364+G364</f>
        <v>11</v>
      </c>
      <c r="R364" s="126" t="n">
        <f aca="false">N364+K364+H364</f>
        <v>11</v>
      </c>
      <c r="S364" s="126" t="n">
        <f aca="false">O364+L364+I364</f>
        <v>7.25</v>
      </c>
      <c r="T364" s="127"/>
      <c r="U364" s="5" t="n">
        <f aca="false">A365-A364</f>
        <v>31</v>
      </c>
      <c r="V364" s="128" t="n">
        <f aca="false">CHOOSE(F$3,A365+24,A364)</f>
        <v>48061</v>
      </c>
      <c r="W364" s="5" t="n">
        <f aca="false">V364-C$3</f>
        <v>10830</v>
      </c>
      <c r="X364" s="124" t="n">
        <f aca="false">VLOOKUP($A364,Table,MATCH(X$4,Curves,0))</f>
        <v>2</v>
      </c>
      <c r="Y364" s="129" t="n">
        <f aca="false">1/(1+CHOOSE(F$3,(X365+($K$3/10000))/2,(X364+($K$3/10000))/2))^(2*W364/365.25)</f>
        <v>1.40722952631803E-018</v>
      </c>
      <c r="Z364" s="5" t="n">
        <f aca="false">IF(AND(mthbeg&lt;=A364,mthend&gt;=A364),1,0)</f>
        <v>0</v>
      </c>
      <c r="AA364" s="5" t="n">
        <f aca="false">U364*Z364</f>
        <v>0</v>
      </c>
      <c r="AC364" s="115" t="n">
        <f aca="false">IF(G357=2,F364*(S364-Q364),F364*(Q364-S364))</f>
        <v>0</v>
      </c>
      <c r="AE364" s="116" t="n">
        <f aca="false">IF($G$3=1,F364*(R364-Q364),F364*(Q364-R364))</f>
        <v>0</v>
      </c>
      <c r="AG364" s="116" t="n">
        <f aca="false">AC364+AE364</f>
        <v>0</v>
      </c>
    </row>
    <row r="365" customFormat="false" ht="12" hidden="false" customHeight="true" outlineLevel="0" collapsed="false">
      <c r="A365" s="120" t="n">
        <f aca="false">EDATE(A364,1)</f>
        <v>48092</v>
      </c>
      <c r="B365" s="121" t="e">
        <f aca="false">VLOOKUP(A365,'Inputs-Summary'!$A$32:$E$41,4,FALSE())</f>
        <v>#N/A</v>
      </c>
      <c r="C365" s="122"/>
      <c r="D365" s="123" t="e">
        <f aca="false">B365+C365</f>
        <v>#N/A</v>
      </c>
      <c r="E365" s="111" t="n">
        <f aca="false">IF(Z365=0,0,IF(AND(Z365=1,$H$3=1),D365*U365,IF($H$3=2,D365,"N/A")))</f>
        <v>0</v>
      </c>
      <c r="F365" s="111" t="n">
        <f aca="false">E365*Y365</f>
        <v>0</v>
      </c>
      <c r="G365" s="124" t="n">
        <f aca="false">VLOOKUP($A365,Table,MATCH(G$4,Curves,0))</f>
        <v>3</v>
      </c>
      <c r="H365" s="125" t="n">
        <f aca="false">G365+$H$7</f>
        <v>3</v>
      </c>
      <c r="I365" s="124" t="n">
        <f aca="false">H365</f>
        <v>3</v>
      </c>
      <c r="J365" s="124" t="n">
        <f aca="false">VLOOKUP($A365,Table,MATCH(J$4,Curves,0))</f>
        <v>4</v>
      </c>
      <c r="K365" s="125" t="n">
        <f aca="false">J365+$K$7</f>
        <v>4</v>
      </c>
      <c r="L365" s="126" t="n">
        <f aca="false">K365</f>
        <v>4</v>
      </c>
      <c r="M365" s="124" t="n">
        <f aca="false">VLOOKUP($A365,Table,MATCH(M$4,Curves,0))</f>
        <v>4</v>
      </c>
      <c r="N365" s="125" t="n">
        <f aca="false">M365+$N$7</f>
        <v>4</v>
      </c>
      <c r="O365" s="126" t="n">
        <v>0.25</v>
      </c>
      <c r="P365" s="114"/>
      <c r="Q365" s="126" t="n">
        <f aca="false">M365+J365+G365</f>
        <v>11</v>
      </c>
      <c r="R365" s="126" t="n">
        <f aca="false">N365+K365+H365</f>
        <v>11</v>
      </c>
      <c r="S365" s="126" t="n">
        <f aca="false">O365+L365+I365</f>
        <v>7.25</v>
      </c>
      <c r="T365" s="127"/>
      <c r="U365" s="5" t="n">
        <f aca="false">A366-A365</f>
        <v>30</v>
      </c>
      <c r="V365" s="128" t="n">
        <f aca="false">CHOOSE(F$3,A366+24,A365)</f>
        <v>48092</v>
      </c>
      <c r="W365" s="5" t="n">
        <f aca="false">V365-C$3</f>
        <v>10861</v>
      </c>
      <c r="X365" s="124" t="n">
        <f aca="false">VLOOKUP($A365,Table,MATCH(X$4,Curves,0))</f>
        <v>2</v>
      </c>
      <c r="Y365" s="129" t="n">
        <f aca="false">1/(1+CHOOSE(F$3,(X366+($K$3/10000))/2,(X365+($K$3/10000))/2))^(2*W365/365.25)</f>
        <v>1.25102525133076E-018</v>
      </c>
      <c r="Z365" s="5" t="n">
        <f aca="false">IF(AND(mthbeg&lt;=A365,mthend&gt;=A365),1,0)</f>
        <v>0</v>
      </c>
      <c r="AA365" s="5" t="n">
        <f aca="false">U365*Z365</f>
        <v>0</v>
      </c>
      <c r="AC365" s="115" t="n">
        <f aca="false">IF(G358=2,F365*(S365-Q365),F365*(Q365-S365))</f>
        <v>0</v>
      </c>
      <c r="AE365" s="116" t="n">
        <f aca="false">IF($G$3=1,F365*(R365-Q365),F365*(Q365-R365))</f>
        <v>0</v>
      </c>
      <c r="AG365" s="116" t="n">
        <f aca="false">AC365+AE365</f>
        <v>0</v>
      </c>
    </row>
    <row r="366" customFormat="false" ht="12" hidden="false" customHeight="true" outlineLevel="0" collapsed="false">
      <c r="A366" s="120" t="n">
        <f aca="false">EDATE(A365,1)</f>
        <v>48122</v>
      </c>
      <c r="B366" s="121" t="e">
        <f aca="false">VLOOKUP(A366,'Inputs-Summary'!$A$32:$E$41,4,FALSE())</f>
        <v>#N/A</v>
      </c>
      <c r="C366" s="122"/>
      <c r="D366" s="123" t="e">
        <f aca="false">B366+C366</f>
        <v>#N/A</v>
      </c>
      <c r="E366" s="111" t="n">
        <f aca="false">IF(Z366=0,0,IF(AND(Z366=1,$H$3=1),D366*U366,IF($H$3=2,D366,"N/A")))</f>
        <v>0</v>
      </c>
      <c r="F366" s="111" t="n">
        <f aca="false">E366*Y366</f>
        <v>0</v>
      </c>
      <c r="G366" s="124" t="n">
        <f aca="false">VLOOKUP($A366,Table,MATCH(G$4,Curves,0))</f>
        <v>3</v>
      </c>
      <c r="H366" s="125" t="n">
        <f aca="false">G366+$H$7</f>
        <v>3</v>
      </c>
      <c r="I366" s="124" t="n">
        <f aca="false">H366</f>
        <v>3</v>
      </c>
      <c r="J366" s="124" t="n">
        <f aca="false">VLOOKUP($A366,Table,MATCH(J$4,Curves,0))</f>
        <v>4</v>
      </c>
      <c r="K366" s="125" t="n">
        <f aca="false">J366+$K$7</f>
        <v>4</v>
      </c>
      <c r="L366" s="126" t="n">
        <f aca="false">K366</f>
        <v>4</v>
      </c>
      <c r="M366" s="124" t="n">
        <f aca="false">VLOOKUP($A366,Table,MATCH(M$4,Curves,0))</f>
        <v>4</v>
      </c>
      <c r="N366" s="125" t="n">
        <f aca="false">M366+$N$7</f>
        <v>4</v>
      </c>
      <c r="O366" s="126" t="n">
        <v>0.25</v>
      </c>
      <c r="P366" s="114"/>
      <c r="Q366" s="126" t="n">
        <f aca="false">M366+J366+G366</f>
        <v>11</v>
      </c>
      <c r="R366" s="126" t="n">
        <f aca="false">N366+K366+H366</f>
        <v>11</v>
      </c>
      <c r="S366" s="126" t="n">
        <f aca="false">O366+L366+I366</f>
        <v>7.25</v>
      </c>
      <c r="T366" s="127"/>
      <c r="U366" s="5" t="n">
        <f aca="false">A367-A366</f>
        <v>31</v>
      </c>
      <c r="V366" s="128" t="n">
        <f aca="false">CHOOSE(F$3,A367+24,A366)</f>
        <v>48122</v>
      </c>
      <c r="W366" s="5" t="n">
        <f aca="false">V366-C$3</f>
        <v>10891</v>
      </c>
      <c r="X366" s="124" t="n">
        <f aca="false">VLOOKUP($A366,Table,MATCH(X$4,Curves,0))</f>
        <v>2</v>
      </c>
      <c r="Y366" s="129" t="n">
        <f aca="false">1/(1+CHOOSE(F$3,(X367+($K$3/10000))/2,(X366+($K$3/10000))/2))^(2*W366/365.25)</f>
        <v>1.11638903732292E-018</v>
      </c>
      <c r="Z366" s="5" t="n">
        <f aca="false">IF(AND(mthbeg&lt;=A366,mthend&gt;=A366),1,0)</f>
        <v>0</v>
      </c>
      <c r="AA366" s="5" t="n">
        <f aca="false">U366*Z366</f>
        <v>0</v>
      </c>
      <c r="AC366" s="115" t="n">
        <f aca="false">IF(G359=2,F366*(S366-Q366),F366*(Q366-S366))</f>
        <v>0</v>
      </c>
      <c r="AE366" s="116" t="n">
        <f aca="false">IF($G$3=1,F366*(R366-Q366),F366*(Q366-R366))</f>
        <v>0</v>
      </c>
      <c r="AG366" s="116" t="n">
        <f aca="false">AC366+AE366</f>
        <v>0</v>
      </c>
    </row>
    <row r="367" customFormat="false" ht="12" hidden="false" customHeight="true" outlineLevel="0" collapsed="false">
      <c r="A367" s="120" t="n">
        <f aca="false">EDATE(A366,1)</f>
        <v>48153</v>
      </c>
      <c r="B367" s="121" t="e">
        <f aca="false">VLOOKUP(A367,'Inputs-Summary'!$A$32:$E$41,4,FALSE())</f>
        <v>#N/A</v>
      </c>
      <c r="C367" s="122"/>
      <c r="D367" s="123" t="e">
        <f aca="false">B367+C367</f>
        <v>#N/A</v>
      </c>
      <c r="E367" s="111" t="n">
        <f aca="false">IF(Z367=0,0,IF(AND(Z367=1,$H$3=1),D367*U367,IF($H$3=2,D367,"N/A")))</f>
        <v>0</v>
      </c>
      <c r="F367" s="111" t="n">
        <f aca="false">E367*Y367</f>
        <v>0</v>
      </c>
      <c r="G367" s="124" t="n">
        <f aca="false">VLOOKUP($A367,Table,MATCH(G$4,Curves,0))</f>
        <v>3</v>
      </c>
      <c r="H367" s="125" t="n">
        <f aca="false">G367+$H$7</f>
        <v>3</v>
      </c>
      <c r="I367" s="124" t="n">
        <f aca="false">H367</f>
        <v>3</v>
      </c>
      <c r="J367" s="124" t="n">
        <f aca="false">VLOOKUP($A367,Table,MATCH(J$4,Curves,0))</f>
        <v>4</v>
      </c>
      <c r="K367" s="125" t="n">
        <f aca="false">J367+$K$7</f>
        <v>4</v>
      </c>
      <c r="L367" s="126" t="n">
        <f aca="false">K367</f>
        <v>4</v>
      </c>
      <c r="M367" s="124" t="n">
        <f aca="false">VLOOKUP($A367,Table,MATCH(M$4,Curves,0))</f>
        <v>4</v>
      </c>
      <c r="N367" s="125" t="n">
        <f aca="false">M367+$N$7</f>
        <v>4</v>
      </c>
      <c r="O367" s="126" t="n">
        <v>0.25</v>
      </c>
      <c r="P367" s="114"/>
      <c r="Q367" s="126" t="n">
        <f aca="false">M367+J367+G367</f>
        <v>11</v>
      </c>
      <c r="R367" s="126" t="n">
        <f aca="false">N367+K367+H367</f>
        <v>11</v>
      </c>
      <c r="S367" s="126" t="n">
        <f aca="false">O367+L367+I367</f>
        <v>7.25</v>
      </c>
      <c r="T367" s="127"/>
      <c r="U367" s="5" t="n">
        <f aca="false">A368-A367</f>
        <v>30</v>
      </c>
      <c r="V367" s="128" t="n">
        <f aca="false">CHOOSE(F$3,A368+24,A367)</f>
        <v>48153</v>
      </c>
      <c r="W367" s="5" t="n">
        <f aca="false">V367-C$3</f>
        <v>10922</v>
      </c>
      <c r="X367" s="124" t="n">
        <f aca="false">VLOOKUP($A367,Table,MATCH(X$4,Curves,0))</f>
        <v>2</v>
      </c>
      <c r="Y367" s="129" t="n">
        <f aca="false">1/(1+CHOOSE(F$3,(X368+($K$3/10000))/2,(X367+($K$3/10000))/2))^(2*W367/365.25)</f>
        <v>9.92468428127745E-019</v>
      </c>
      <c r="Z367" s="5" t="n">
        <f aca="false">IF(AND(mthbeg&lt;=A367,mthend&gt;=A367),1,0)</f>
        <v>0</v>
      </c>
      <c r="AA367" s="5" t="n">
        <f aca="false">U367*Z367</f>
        <v>0</v>
      </c>
      <c r="AC367" s="115" t="n">
        <f aca="false">IF(G360=2,F367*(S367-Q367),F367*(Q367-S367))</f>
        <v>0</v>
      </c>
      <c r="AE367" s="116" t="n">
        <f aca="false">IF($G$3=1,F367*(R367-Q367),F367*(Q367-R367))</f>
        <v>0</v>
      </c>
      <c r="AG367" s="116" t="n">
        <f aca="false">AC367+AE367</f>
        <v>0</v>
      </c>
    </row>
    <row r="368" customFormat="false" ht="12" hidden="false" customHeight="true" outlineLevel="0" collapsed="false">
      <c r="A368" s="120" t="n">
        <f aca="false">EDATE(A367,1)</f>
        <v>48183</v>
      </c>
      <c r="B368" s="121" t="e">
        <f aca="false">VLOOKUP(A368,'Inputs-Summary'!$A$32:$E$41,4,FALSE())</f>
        <v>#N/A</v>
      </c>
      <c r="C368" s="122"/>
      <c r="D368" s="123" t="e">
        <f aca="false">B368+C368</f>
        <v>#N/A</v>
      </c>
      <c r="E368" s="111" t="n">
        <f aca="false">IF(Z368=0,0,IF(AND(Z368=1,$H$3=1),D368*U368,IF($H$3=2,D368,"N/A")))</f>
        <v>0</v>
      </c>
      <c r="F368" s="111" t="n">
        <f aca="false">E368*Y368</f>
        <v>0</v>
      </c>
      <c r="G368" s="124" t="n">
        <f aca="false">VLOOKUP($A368,Table,MATCH(G$4,Curves,0))</f>
        <v>3</v>
      </c>
      <c r="H368" s="125" t="n">
        <f aca="false">G368+$H$7</f>
        <v>3</v>
      </c>
      <c r="I368" s="124" t="n">
        <f aca="false">H368</f>
        <v>3</v>
      </c>
      <c r="J368" s="124" t="n">
        <f aca="false">VLOOKUP($A368,Table,MATCH(J$4,Curves,0))</f>
        <v>4</v>
      </c>
      <c r="K368" s="125" t="n">
        <f aca="false">J368+$K$7</f>
        <v>4</v>
      </c>
      <c r="L368" s="126" t="n">
        <f aca="false">K368</f>
        <v>4</v>
      </c>
      <c r="M368" s="124" t="n">
        <f aca="false">VLOOKUP($A368,Table,MATCH(M$4,Curves,0))</f>
        <v>4</v>
      </c>
      <c r="N368" s="125" t="n">
        <f aca="false">M368+$N$7</f>
        <v>4</v>
      </c>
      <c r="O368" s="126" t="n">
        <v>0.25</v>
      </c>
      <c r="P368" s="114"/>
      <c r="Q368" s="126" t="n">
        <f aca="false">M368+J368+G368</f>
        <v>11</v>
      </c>
      <c r="R368" s="126" t="n">
        <f aca="false">N368+K368+H368</f>
        <v>11</v>
      </c>
      <c r="S368" s="126" t="n">
        <f aca="false">O368+L368+I368</f>
        <v>7.25</v>
      </c>
      <c r="T368" s="127"/>
      <c r="U368" s="5" t="n">
        <f aca="false">A369-A368</f>
        <v>31</v>
      </c>
      <c r="V368" s="128" t="n">
        <f aca="false">CHOOSE(F$3,A369+24,A368)</f>
        <v>48183</v>
      </c>
      <c r="W368" s="5" t="n">
        <f aca="false">V368-C$3</f>
        <v>10952</v>
      </c>
      <c r="X368" s="124" t="n">
        <f aca="false">VLOOKUP($A368,Table,MATCH(X$4,Curves,0))</f>
        <v>2</v>
      </c>
      <c r="Y368" s="129" t="n">
        <f aca="false">1/(1+CHOOSE(F$3,(X369+($K$3/10000))/2,(X368+($K$3/10000))/2))^(2*W368/365.25)</f>
        <v>8.85658280576137E-019</v>
      </c>
      <c r="Z368" s="5" t="n">
        <f aca="false">IF(AND(mthbeg&lt;=A368,mthend&gt;=A368),1,0)</f>
        <v>0</v>
      </c>
      <c r="AA368" s="5" t="n">
        <f aca="false">U368*Z368</f>
        <v>0</v>
      </c>
      <c r="AC368" s="115" t="n">
        <f aca="false">IF(G361=2,F368*(S368-Q368),F368*(Q368-S368))</f>
        <v>0</v>
      </c>
      <c r="AE368" s="116" t="n">
        <f aca="false">IF($G$3=1,F368*(R368-Q368),F368*(Q368-R368))</f>
        <v>0</v>
      </c>
      <c r="AG368" s="116" t="n">
        <f aca="false">AC368+AE368</f>
        <v>0</v>
      </c>
    </row>
    <row r="369" customFormat="false" ht="12" hidden="false" customHeight="true" outlineLevel="0" collapsed="false">
      <c r="A369" s="120" t="n">
        <f aca="false">EDATE(A368,1)</f>
        <v>48214</v>
      </c>
      <c r="B369" s="121" t="e">
        <f aca="false">VLOOKUP(A369,'Inputs-Summary'!$A$32:$E$41,4,FALSE())</f>
        <v>#N/A</v>
      </c>
      <c r="C369" s="122"/>
      <c r="D369" s="123" t="e">
        <f aca="false">B369+C369</f>
        <v>#N/A</v>
      </c>
      <c r="E369" s="111" t="n">
        <f aca="false">IF(Z369=0,0,IF(AND(Z369=1,$H$3=1),D369*U369,IF($H$3=2,D369,"N/A")))</f>
        <v>0</v>
      </c>
      <c r="F369" s="111" t="n">
        <f aca="false">E369*Y369</f>
        <v>0</v>
      </c>
      <c r="G369" s="124" t="n">
        <f aca="false">VLOOKUP($A369,Table,MATCH(G$4,Curves,0))</f>
        <v>3</v>
      </c>
      <c r="H369" s="125" t="n">
        <f aca="false">G369+$H$7</f>
        <v>3</v>
      </c>
      <c r="I369" s="124" t="n">
        <f aca="false">H369</f>
        <v>3</v>
      </c>
      <c r="J369" s="124" t="n">
        <f aca="false">VLOOKUP($A369,Table,MATCH(J$4,Curves,0))</f>
        <v>4</v>
      </c>
      <c r="K369" s="125" t="n">
        <f aca="false">J369+$K$7</f>
        <v>4</v>
      </c>
      <c r="L369" s="126" t="n">
        <f aca="false">K369</f>
        <v>4</v>
      </c>
      <c r="M369" s="124" t="n">
        <f aca="false">VLOOKUP($A369,Table,MATCH(M$4,Curves,0))</f>
        <v>4</v>
      </c>
      <c r="N369" s="125" t="n">
        <f aca="false">M369+$N$7</f>
        <v>4</v>
      </c>
      <c r="O369" s="126" t="n">
        <v>0.25</v>
      </c>
      <c r="P369" s="114"/>
      <c r="Q369" s="126" t="n">
        <f aca="false">M369+J369+G369</f>
        <v>11</v>
      </c>
      <c r="R369" s="126" t="n">
        <f aca="false">N369+K369+H369</f>
        <v>11</v>
      </c>
      <c r="S369" s="126" t="n">
        <f aca="false">O369+L369+I369</f>
        <v>7.25</v>
      </c>
      <c r="T369" s="127"/>
      <c r="U369" s="5" t="n">
        <f aca="false">A370-A369</f>
        <v>31</v>
      </c>
      <c r="V369" s="128" t="n">
        <f aca="false">CHOOSE(F$3,A370+24,A369)</f>
        <v>48214</v>
      </c>
      <c r="W369" s="5" t="n">
        <f aca="false">V369-C$3</f>
        <v>10983</v>
      </c>
      <c r="X369" s="124" t="n">
        <f aca="false">VLOOKUP($A369,Table,MATCH(X$4,Curves,0))</f>
        <v>2</v>
      </c>
      <c r="Y369" s="129" t="n">
        <f aca="false">1/(1+CHOOSE(F$3,(X370+($K$3/10000))/2,(X369+($K$3/10000))/2))^(2*W369/365.25)</f>
        <v>7.87349080110563E-019</v>
      </c>
      <c r="Z369" s="5" t="n">
        <f aca="false">IF(AND(mthbeg&lt;=A369,mthend&gt;=A369),1,0)</f>
        <v>0</v>
      </c>
      <c r="AA369" s="5" t="n">
        <f aca="false">U369*Z369</f>
        <v>0</v>
      </c>
      <c r="AC369" s="115" t="n">
        <f aca="false">IF(G362=2,F369*(S369-Q369),F369*(Q369-S369))</f>
        <v>0</v>
      </c>
      <c r="AE369" s="116" t="n">
        <f aca="false">IF($G$3=1,F369*(R369-Q369),F369*(Q369-R369))</f>
        <v>0</v>
      </c>
      <c r="AG369" s="130" t="n">
        <f aca="false">AC369+AE369</f>
        <v>0</v>
      </c>
    </row>
    <row r="370" customFormat="false" ht="13.5" hidden="false" customHeight="false" outlineLevel="0" collapsed="false">
      <c r="A370" s="120" t="n">
        <f aca="false">EDATE(A369,1)</f>
        <v>48245</v>
      </c>
      <c r="X370" s="124" t="n">
        <f aca="false">VLOOKUP($A370,Table,MATCH(X$4,Curves,0))</f>
        <v>2</v>
      </c>
      <c r="AE370" s="130" t="n">
        <f aca="false">IF($G$3=1,F370*(R370-Q370),F370*(Q370-R370))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3" activeCellId="0" sqref="G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2" width="14.14"/>
    <col collapsed="false" customWidth="true" hidden="false" outlineLevel="0" max="2" min="2" style="72" width="14.56"/>
    <col collapsed="false" customWidth="true" hidden="false" outlineLevel="0" max="4" min="3" style="72" width="16.42"/>
    <col collapsed="false" customWidth="true" hidden="false" outlineLevel="0" max="5" min="5" style="72" width="14.85"/>
    <col collapsed="false" customWidth="true" hidden="false" outlineLevel="0" max="6" min="6" style="72" width="13.85"/>
    <col collapsed="false" customWidth="true" hidden="false" outlineLevel="0" max="7" min="7" style="72" width="10.71"/>
    <col collapsed="false" customWidth="true" hidden="false" outlineLevel="0" max="8" min="8" style="72" width="18.14"/>
    <col collapsed="false" customWidth="true" hidden="false" outlineLevel="0" max="9" min="9" style="72" width="22.56"/>
    <col collapsed="false" customWidth="true" hidden="false" outlineLevel="0" max="10" min="10" style="72" width="25.85"/>
    <col collapsed="false" customWidth="true" hidden="false" outlineLevel="0" max="12" min="11" style="5" width="19.28"/>
    <col collapsed="false" customWidth="true" hidden="false" outlineLevel="0" max="13" min="13" style="5" width="24.99"/>
    <col collapsed="false" customWidth="true" hidden="false" outlineLevel="0" max="15" min="14" style="5" width="19.28"/>
    <col collapsed="false" customWidth="true" hidden="false" outlineLevel="0" max="16" min="16" style="5" width="3.14"/>
    <col collapsed="false" customWidth="true" hidden="false" outlineLevel="0" max="17" min="17" style="5" width="16.7"/>
    <col collapsed="false" customWidth="true" hidden="false" outlineLevel="0" max="18" min="18" style="5" width="18.56"/>
    <col collapsed="false" customWidth="true" hidden="false" outlineLevel="0" max="19" min="19" style="5" width="16.7"/>
    <col collapsed="false" customWidth="true" hidden="false" outlineLevel="0" max="20" min="20" style="72" width="3.14"/>
    <col collapsed="false" customWidth="true" hidden="false" outlineLevel="0" max="27" min="21" style="5" width="10.71"/>
    <col collapsed="false" customWidth="true" hidden="false" outlineLevel="0" max="28" min="28" style="72" width="4.28"/>
    <col collapsed="false" customWidth="true" hidden="false" outlineLevel="0" max="29" min="29" style="72" width="18.41"/>
    <col collapsed="false" customWidth="true" hidden="false" outlineLevel="0" max="30" min="30" style="72" width="3.85"/>
    <col collapsed="false" customWidth="true" hidden="false" outlineLevel="0" max="31" min="31" style="72" width="13.85"/>
    <col collapsed="false" customWidth="true" hidden="false" outlineLevel="0" max="32" min="32" style="72" width="2.84"/>
    <col collapsed="false" customWidth="true" hidden="false" outlineLevel="0" max="33" min="33" style="72" width="12.14"/>
    <col collapsed="false" customWidth="false" hidden="false" outlineLevel="0" max="257" min="34" style="72" width="9.14"/>
  </cols>
  <sheetData>
    <row r="1" customFormat="false" ht="13.5" hidden="false" customHeight="false" outlineLevel="0" collapsed="false">
      <c r="A1" s="73"/>
      <c r="B1" s="74" t="s">
        <v>36</v>
      </c>
      <c r="C1" s="75"/>
      <c r="D1" s="75"/>
      <c r="E1" s="0"/>
      <c r="H1" s="76" t="s">
        <v>37</v>
      </c>
      <c r="I1" s="5" t="s">
        <v>38</v>
      </c>
      <c r="J1" s="5" t="s">
        <v>26</v>
      </c>
      <c r="K1" s="77" t="s">
        <v>39</v>
      </c>
      <c r="L1" s="78" t="s">
        <v>40</v>
      </c>
      <c r="M1" s="79"/>
    </row>
    <row r="2" customFormat="false" ht="12.75" hidden="false" customHeight="false" outlineLevel="0" collapsed="false">
      <c r="A2" s="76" t="s">
        <v>1</v>
      </c>
      <c r="B2" s="80" t="s">
        <v>41</v>
      </c>
      <c r="C2" s="80" t="s">
        <v>42</v>
      </c>
      <c r="D2" s="81" t="s">
        <v>3</v>
      </c>
      <c r="E2" s="80" t="s">
        <v>0</v>
      </c>
      <c r="F2" s="80" t="s">
        <v>43</v>
      </c>
      <c r="G2" s="80" t="s">
        <v>44</v>
      </c>
      <c r="H2" s="82" t="s">
        <v>45</v>
      </c>
      <c r="I2" s="80" t="s">
        <v>46</v>
      </c>
      <c r="J2" s="80" t="s">
        <v>46</v>
      </c>
      <c r="K2" s="83" t="s">
        <v>47</v>
      </c>
      <c r="L2" s="84"/>
    </row>
    <row r="3" customFormat="false" ht="13.5" hidden="false" customHeight="false" outlineLevel="0" collapsed="false">
      <c r="A3" s="85" t="n">
        <f aca="false">'Inputs-Summary'!B3</f>
        <v>37288</v>
      </c>
      <c r="B3" s="86" t="n">
        <f aca="false">'Inputs-Summary'!B4</f>
        <v>37530</v>
      </c>
      <c r="C3" s="87" t="n">
        <v>37231</v>
      </c>
      <c r="D3" s="87" t="n">
        <f aca="false">'Inputs-Summary'!B5</f>
        <v>37260</v>
      </c>
      <c r="E3" s="88" t="str">
        <f aca="false">CONCATENATE(INT(Z8/12)," Y - ",Z8-INT(Z8/12)*12," M")</f>
        <v>0 Y - 9 M</v>
      </c>
      <c r="F3" s="89" t="n">
        <v>2</v>
      </c>
      <c r="G3" s="89" t="n">
        <f aca="false">'Inputs-Summary'!B9</f>
        <v>1</v>
      </c>
      <c r="H3" s="90" t="n">
        <f aca="false">'Inputs-Summary'!B8</f>
        <v>1</v>
      </c>
      <c r="I3" s="91" t="s">
        <v>48</v>
      </c>
      <c r="J3" s="91" t="s">
        <v>48</v>
      </c>
      <c r="K3" s="92" t="n">
        <v>0</v>
      </c>
      <c r="L3" s="63"/>
      <c r="AC3" s="72" t="s">
        <v>49</v>
      </c>
      <c r="AE3" s="72" t="s">
        <v>50</v>
      </c>
      <c r="AG3" s="72" t="s">
        <v>51</v>
      </c>
    </row>
    <row r="4" customFormat="false" ht="12.75" hidden="false" customHeight="false" outlineLevel="0" collapsed="false">
      <c r="A4" s="93"/>
      <c r="B4" s="93"/>
      <c r="C4" s="94"/>
      <c r="D4" s="94" t="s">
        <v>52</v>
      </c>
      <c r="E4" s="94" t="s">
        <v>53</v>
      </c>
      <c r="F4" s="94" t="s">
        <v>54</v>
      </c>
      <c r="G4" s="95" t="s">
        <v>55</v>
      </c>
      <c r="H4" s="96"/>
      <c r="I4" s="96"/>
      <c r="J4" s="95" t="str">
        <f aca="false">CONCATENATE(I3,"-","D")</f>
        <v>IF-TENN/LA_OFF-D</v>
      </c>
      <c r="K4" s="96" t="str">
        <f aca="false">I3</f>
        <v>IF-TENN/LA_OFF</v>
      </c>
      <c r="L4" s="96" t="str">
        <f aca="false">I3</f>
        <v>IF-TENN/LA_OFF</v>
      </c>
      <c r="M4" s="95" t="str">
        <f aca="false">CONCATENATE(J3,"-","I")</f>
        <v>IF-TENN/LA_OFF-I</v>
      </c>
      <c r="N4" s="96" t="str">
        <f aca="false">J3</f>
        <v>IF-TENN/LA_OFF</v>
      </c>
      <c r="O4" s="96" t="str">
        <f aca="false">J3</f>
        <v>IF-TENN/LA_OFF</v>
      </c>
      <c r="Q4" s="96" t="str">
        <f aca="false">K4</f>
        <v>IF-TENN/LA_OFF</v>
      </c>
      <c r="R4" s="96" t="str">
        <f aca="false">J4</f>
        <v>IF-TENN/LA_OFF-D</v>
      </c>
      <c r="S4" s="96" t="str">
        <f aca="false">K4</f>
        <v>IF-TENN/LA_OFF</v>
      </c>
      <c r="U4" s="97"/>
      <c r="V4" s="97"/>
      <c r="W4" s="97" t="s">
        <v>56</v>
      </c>
      <c r="X4" s="95" t="s">
        <v>57</v>
      </c>
      <c r="Y4" s="97"/>
      <c r="Z4" s="97"/>
      <c r="AA4" s="97"/>
      <c r="AC4" s="98"/>
      <c r="AE4" s="99"/>
      <c r="AG4" s="99"/>
    </row>
    <row r="5" customFormat="false" ht="12.75" hidden="false" customHeight="false" outlineLevel="0" collapsed="false">
      <c r="A5" s="94" t="s">
        <v>58</v>
      </c>
      <c r="B5" s="94" t="str">
        <f aca="false">IF($H$3=1,"Daily","Monthly")</f>
        <v>Daily</v>
      </c>
      <c r="C5" s="94"/>
      <c r="D5" s="94" t="str">
        <f aca="false">IF($H$3=1,"Daily","Monthly")</f>
        <v>Daily</v>
      </c>
      <c r="E5" s="94" t="s">
        <v>59</v>
      </c>
      <c r="F5" s="94" t="s">
        <v>59</v>
      </c>
      <c r="G5" s="94" t="s">
        <v>60</v>
      </c>
      <c r="H5" s="94" t="s">
        <v>60</v>
      </c>
      <c r="I5" s="94" t="s">
        <v>60</v>
      </c>
      <c r="J5" s="94" t="s">
        <v>38</v>
      </c>
      <c r="K5" s="94" t="s">
        <v>38</v>
      </c>
      <c r="L5" s="94" t="s">
        <v>38</v>
      </c>
      <c r="M5" s="94" t="s">
        <v>26</v>
      </c>
      <c r="N5" s="94" t="s">
        <v>26</v>
      </c>
      <c r="O5" s="94" t="s">
        <v>26</v>
      </c>
      <c r="Q5" s="94" t="s">
        <v>24</v>
      </c>
      <c r="R5" s="94" t="s">
        <v>24</v>
      </c>
      <c r="S5" s="94" t="s">
        <v>24</v>
      </c>
      <c r="U5" s="100" t="s">
        <v>61</v>
      </c>
      <c r="V5" s="100" t="s">
        <v>62</v>
      </c>
      <c r="W5" s="100" t="s">
        <v>62</v>
      </c>
      <c r="X5" s="101" t="s">
        <v>63</v>
      </c>
      <c r="Y5" s="100" t="s">
        <v>62</v>
      </c>
      <c r="Z5" s="100" t="s">
        <v>64</v>
      </c>
      <c r="AA5" s="100" t="s">
        <v>64</v>
      </c>
      <c r="AC5" s="102" t="s">
        <v>65</v>
      </c>
      <c r="AE5" s="102" t="s">
        <v>66</v>
      </c>
      <c r="AG5" s="102" t="s">
        <v>67</v>
      </c>
    </row>
    <row r="6" customFormat="false" ht="12.75" hidden="false" customHeight="false" outlineLevel="0" collapsed="false">
      <c r="A6" s="103" t="s">
        <v>68</v>
      </c>
      <c r="B6" s="103" t="s">
        <v>69</v>
      </c>
      <c r="C6" s="103"/>
      <c r="D6" s="103" t="s">
        <v>69</v>
      </c>
      <c r="E6" s="103" t="s">
        <v>70</v>
      </c>
      <c r="F6" s="103" t="s">
        <v>70</v>
      </c>
      <c r="G6" s="103" t="s">
        <v>20</v>
      </c>
      <c r="H6" s="103" t="str">
        <f aca="false">CHOOSE(G3,"Bid","Offer")</f>
        <v>Bid</v>
      </c>
      <c r="I6" s="103" t="s">
        <v>22</v>
      </c>
      <c r="J6" s="103" t="s">
        <v>20</v>
      </c>
      <c r="K6" s="103" t="str">
        <f aca="false">H6</f>
        <v>Bid</v>
      </c>
      <c r="L6" s="103" t="s">
        <v>22</v>
      </c>
      <c r="M6" s="103" t="s">
        <v>20</v>
      </c>
      <c r="N6" s="103" t="str">
        <f aca="false">K6</f>
        <v>Bid</v>
      </c>
      <c r="O6" s="103" t="s">
        <v>22</v>
      </c>
      <c r="Q6" s="103" t="s">
        <v>20</v>
      </c>
      <c r="R6" s="103" t="str">
        <f aca="false">K6</f>
        <v>Bid</v>
      </c>
      <c r="S6" s="103" t="s">
        <v>22</v>
      </c>
      <c r="U6" s="104" t="s">
        <v>71</v>
      </c>
      <c r="V6" s="104" t="s">
        <v>72</v>
      </c>
      <c r="W6" s="104" t="s">
        <v>71</v>
      </c>
      <c r="X6" s="105" t="s">
        <v>73</v>
      </c>
      <c r="Y6" s="104" t="s">
        <v>74</v>
      </c>
      <c r="Z6" s="104" t="s">
        <v>75</v>
      </c>
      <c r="AA6" s="104" t="s">
        <v>71</v>
      </c>
      <c r="AC6" s="102" t="s">
        <v>76</v>
      </c>
      <c r="AE6" s="102" t="s">
        <v>77</v>
      </c>
      <c r="AG6" s="102" t="s">
        <v>77</v>
      </c>
    </row>
    <row r="7" customFormat="false" ht="13.5" hidden="false" customHeight="false" outlineLevel="0" collapsed="false">
      <c r="A7" s="106"/>
      <c r="B7" s="106"/>
      <c r="C7" s="106"/>
      <c r="D7" s="106"/>
      <c r="H7" s="107"/>
      <c r="K7" s="107"/>
      <c r="N7" s="107"/>
      <c r="W7" s="108"/>
      <c r="AC7" s="109"/>
      <c r="AE7" s="109"/>
      <c r="AG7" s="109"/>
    </row>
    <row r="8" customFormat="false" ht="13.5" hidden="false" customHeight="false" outlineLevel="0" collapsed="false">
      <c r="A8" s="110" t="s">
        <v>78</v>
      </c>
      <c r="B8" s="111"/>
      <c r="C8" s="111"/>
      <c r="D8" s="111" t="e">
        <f aca="false">SUM(D10:D370)</f>
        <v>#N/A</v>
      </c>
      <c r="E8" s="111" t="n">
        <f aca="false">SUM(E10:E370)</f>
        <v>370680</v>
      </c>
      <c r="F8" s="111" t="n">
        <f aca="false">SUM(F10:F370)</f>
        <v>201700.441288657</v>
      </c>
      <c r="G8" s="112" t="n">
        <f aca="false">SUMPRODUCT($F10:$F370,G10:G370)/SUM($F10:$F370)</f>
        <v>3</v>
      </c>
      <c r="H8" s="112" t="n">
        <f aca="false">SUMPRODUCT($F10:$F370,H10:H370)/SUM($F10:$F370)</f>
        <v>3</v>
      </c>
      <c r="I8" s="112" t="n">
        <f aca="false">SUMPRODUCT($F10:$F370,I10:I370)/SUM($F10:$F370)</f>
        <v>3</v>
      </c>
      <c r="J8" s="112" t="n">
        <f aca="false">SUMPRODUCT($F10:$F370,J10:J370)/SUM($F10:$F370)</f>
        <v>4</v>
      </c>
      <c r="K8" s="112" t="n">
        <f aca="false">SUMPRODUCT($F10:$F370,K10:K370)/SUM($F10:$F370)</f>
        <v>4</v>
      </c>
      <c r="L8" s="112" t="n">
        <f aca="false">SUMPRODUCT($F10:$F370,L10:L370)/SUM($F10:$F370)</f>
        <v>4</v>
      </c>
      <c r="M8" s="112" t="n">
        <f aca="false">SUMPRODUCT($F10:$F370,M10:M370)/SUM($F10:$F370)</f>
        <v>4</v>
      </c>
      <c r="N8" s="112" t="n">
        <f aca="false">SUMPRODUCT($F10:$F370,N10:N370)/SUM($F10:$F370)</f>
        <v>4</v>
      </c>
      <c r="O8" s="112" t="n">
        <f aca="false">SUMPRODUCT($F10:$F370,O10:O370)/SUM($F10:$F370)</f>
        <v>-0.04</v>
      </c>
      <c r="P8" s="112"/>
      <c r="Q8" s="112" t="n">
        <f aca="false">SUMPRODUCT($F10:$F370,Q10:Q370)/SUM($F10:$F370)</f>
        <v>11</v>
      </c>
      <c r="R8" s="112" t="n">
        <f aca="false">SUMPRODUCT($F10:$F370,R10:R370)/SUM($F10:$F370)</f>
        <v>11</v>
      </c>
      <c r="S8" s="112" t="n">
        <f aca="false">SUMPRODUCT($F10:$F370,S10:S370)/SUM($F10:$F370)</f>
        <v>6.96</v>
      </c>
      <c r="X8" s="113"/>
      <c r="Z8" s="114" t="n">
        <f aca="false">SUM(Z10:Z370)</f>
        <v>9</v>
      </c>
      <c r="AA8" s="114" t="n">
        <f aca="false">SUM(AA10:AA370)</f>
        <v>273</v>
      </c>
      <c r="AC8" s="115" t="n">
        <f aca="false">SUM(AC10:AC370)</f>
        <v>814869.782806174</v>
      </c>
      <c r="AE8" s="116" t="n">
        <f aca="false">SUM(AE10:AE370)</f>
        <v>0</v>
      </c>
      <c r="AG8" s="116" t="n">
        <f aca="false">AC8+AE8</f>
        <v>814869.782806174</v>
      </c>
    </row>
    <row r="9" customFormat="false" ht="12.75" hidden="false" customHeight="false" outlineLevel="0" collapsed="false">
      <c r="B9" s="117"/>
      <c r="C9" s="117"/>
      <c r="D9" s="117"/>
      <c r="E9" s="117"/>
      <c r="F9" s="117"/>
      <c r="H9" s="118"/>
      <c r="I9" s="118"/>
      <c r="J9" s="118"/>
      <c r="K9" s="119"/>
      <c r="L9" s="119"/>
      <c r="M9" s="119"/>
      <c r="N9" s="119"/>
      <c r="O9" s="119"/>
      <c r="Q9" s="119"/>
      <c r="R9" s="119"/>
      <c r="S9" s="119"/>
      <c r="AC9" s="109"/>
      <c r="AE9" s="109"/>
      <c r="AG9" s="109"/>
    </row>
    <row r="10" customFormat="false" ht="12.75" hidden="false" customHeight="false" outlineLevel="0" collapsed="false">
      <c r="A10" s="120" t="n">
        <f aca="false">A3</f>
        <v>37288</v>
      </c>
      <c r="B10" s="121" t="n">
        <f aca="false">VLOOKUP(A10,'Inputs-Summary'!$A$32:$E$41,5,FALSE())</f>
        <v>1640</v>
      </c>
      <c r="C10" s="122"/>
      <c r="D10" s="123" t="n">
        <f aca="false">B10+C10</f>
        <v>1640</v>
      </c>
      <c r="E10" s="111" t="n">
        <f aca="false">IF(Z10=0,0,IF(AND(Z10=1,$H$3=1),D10*U10,IF($H$3=2,D10,"N/A")))</f>
        <v>45920</v>
      </c>
      <c r="F10" s="111" t="n">
        <f aca="false">E10*Y10</f>
        <v>36986.7273074245</v>
      </c>
      <c r="G10" s="124" t="n">
        <f aca="false">VLOOKUP($A10,Table,MATCH(G$4,Curves,0))</f>
        <v>3</v>
      </c>
      <c r="H10" s="125" t="n">
        <f aca="false">G10+$H$7</f>
        <v>3</v>
      </c>
      <c r="I10" s="124" t="n">
        <f aca="false">H10</f>
        <v>3</v>
      </c>
      <c r="J10" s="124" t="n">
        <f aca="false">VLOOKUP($A10,Table,MATCH(J$4,Curves,0))</f>
        <v>4</v>
      </c>
      <c r="K10" s="125" t="n">
        <f aca="false">J10+$K$7</f>
        <v>4</v>
      </c>
      <c r="L10" s="126" t="n">
        <f aca="false">K10</f>
        <v>4</v>
      </c>
      <c r="M10" s="124" t="n">
        <f aca="false">VLOOKUP($A10,Table,MATCH(M$4,Curves,0))</f>
        <v>4</v>
      </c>
      <c r="N10" s="125" t="n">
        <f aca="false">M10+$N$7</f>
        <v>4</v>
      </c>
      <c r="O10" s="126" t="n">
        <v>-0.04</v>
      </c>
      <c r="P10" s="114"/>
      <c r="Q10" s="126" t="n">
        <f aca="false">M10+J10+G10</f>
        <v>11</v>
      </c>
      <c r="R10" s="126" t="n">
        <f aca="false">N10+K10+H10</f>
        <v>11</v>
      </c>
      <c r="S10" s="126" t="n">
        <f aca="false">O10+L10+I10</f>
        <v>6.96</v>
      </c>
      <c r="T10" s="127"/>
      <c r="U10" s="5" t="n">
        <f aca="false">A11-A10</f>
        <v>28</v>
      </c>
      <c r="V10" s="128" t="n">
        <f aca="false">CHOOSE(F$3,A11+24,A10)</f>
        <v>37288</v>
      </c>
      <c r="W10" s="5" t="n">
        <f aca="false">V10-C$3</f>
        <v>57</v>
      </c>
      <c r="X10" s="124" t="n">
        <f aca="false">VLOOKUP($A10,Table,MATCH(X$4,Curves,0))</f>
        <v>2</v>
      </c>
      <c r="Y10" s="129" t="n">
        <f aca="false">1/(1+CHOOSE(F$3,(X11+($K$3/10000))/2,(X10+($K$3/10000))/2))^(2*W10/365.25)</f>
        <v>0.805460089447397</v>
      </c>
      <c r="Z10" s="5" t="n">
        <f aca="false">IF(AND(mthbeg&lt;=A10,mthend&gt;=A10),1,0)</f>
        <v>1</v>
      </c>
      <c r="AA10" s="5" t="n">
        <f aca="false">U10*Z10</f>
        <v>28</v>
      </c>
      <c r="AC10" s="115" t="n">
        <f aca="false">IF(G3=1,F10*(Q10-S10),F10*(S10-Q10))</f>
        <v>149426.378321995</v>
      </c>
      <c r="AE10" s="116" t="n">
        <f aca="false">IF($G$3=1,F10*(R10-Q10),F10*(Q10-R10))</f>
        <v>0</v>
      </c>
      <c r="AG10" s="116" t="n">
        <f aca="false">AC10+AE10</f>
        <v>149426.378321995</v>
      </c>
    </row>
    <row r="11" customFormat="false" ht="12.75" hidden="false" customHeight="false" outlineLevel="0" collapsed="false">
      <c r="A11" s="120" t="n">
        <f aca="false">EDATE(A10,1)</f>
        <v>37316</v>
      </c>
      <c r="B11" s="121" t="n">
        <f aca="false">VLOOKUP(A11,'Inputs-Summary'!$A$32:$E$41,5,FALSE())</f>
        <v>1640</v>
      </c>
      <c r="C11" s="122"/>
      <c r="D11" s="123" t="n">
        <f aca="false">B11+C11</f>
        <v>1640</v>
      </c>
      <c r="E11" s="111" t="n">
        <f aca="false">IF(Z11=0,0,IF(AND(Z11=1,$H$3=1),D11*U11,IF($H$3=2,D11,"N/A")))</f>
        <v>50840</v>
      </c>
      <c r="F11" s="111" t="n">
        <f aca="false">E11*Y11</f>
        <v>36821.015007154</v>
      </c>
      <c r="G11" s="124" t="n">
        <f aca="false">VLOOKUP($A11,Table,MATCH(G$4,Curves,0))</f>
        <v>3</v>
      </c>
      <c r="H11" s="125" t="n">
        <f aca="false">G11+$H$7</f>
        <v>3</v>
      </c>
      <c r="I11" s="124" t="n">
        <f aca="false">H11</f>
        <v>3</v>
      </c>
      <c r="J11" s="124" t="n">
        <f aca="false">VLOOKUP($A11,Table,MATCH(J$4,Curves,0))</f>
        <v>4</v>
      </c>
      <c r="K11" s="125" t="n">
        <f aca="false">J11+$K$7</f>
        <v>4</v>
      </c>
      <c r="L11" s="126" t="n">
        <f aca="false">K11</f>
        <v>4</v>
      </c>
      <c r="M11" s="124" t="n">
        <f aca="false">VLOOKUP($A11,Table,MATCH(M$4,Curves,0))</f>
        <v>4</v>
      </c>
      <c r="N11" s="125" t="n">
        <f aca="false">M11+$N$7</f>
        <v>4</v>
      </c>
      <c r="O11" s="126" t="n">
        <v>-0.04</v>
      </c>
      <c r="P11" s="114"/>
      <c r="Q11" s="126" t="n">
        <f aca="false">M11+J11+G11</f>
        <v>11</v>
      </c>
      <c r="R11" s="126" t="n">
        <f aca="false">N11+K11+H11</f>
        <v>11</v>
      </c>
      <c r="S11" s="126" t="n">
        <f aca="false">O11+L11+I11</f>
        <v>6.96</v>
      </c>
      <c r="T11" s="127"/>
      <c r="U11" s="5" t="n">
        <f aca="false">A12-A11</f>
        <v>31</v>
      </c>
      <c r="V11" s="128" t="n">
        <f aca="false">CHOOSE(F$3,A12+24,A11)</f>
        <v>37316</v>
      </c>
      <c r="W11" s="5" t="n">
        <f aca="false">V11-C$3</f>
        <v>85</v>
      </c>
      <c r="X11" s="124" t="n">
        <f aca="false">VLOOKUP($A11,Table,MATCH(X$4,Curves,0))</f>
        <v>2</v>
      </c>
      <c r="Y11" s="129" t="n">
        <f aca="false">1/(1+CHOOSE(F$3,(X12+($K$3/10000))/2,(X11+($K$3/10000))/2))^(2*W11/365.25)</f>
        <v>0.724252852225689</v>
      </c>
      <c r="Z11" s="5" t="n">
        <f aca="false">IF(AND(mthbeg&lt;=A11,mthend&gt;=A11),1,0)</f>
        <v>1</v>
      </c>
      <c r="AA11" s="5" t="n">
        <f aca="false">U11*Z11</f>
        <v>31</v>
      </c>
      <c r="AC11" s="115" t="n">
        <f aca="false">IF(G4=2,F11*(S11-Q11),F11*(Q11-S11))</f>
        <v>148756.900628902</v>
      </c>
      <c r="AE11" s="116" t="n">
        <f aca="false">IF($G$3=1,F11*(R11-Q11),F11*(Q11-R11))</f>
        <v>0</v>
      </c>
      <c r="AG11" s="116" t="n">
        <f aca="false">AC11+AE11</f>
        <v>148756.900628902</v>
      </c>
    </row>
    <row r="12" customFormat="false" ht="12.75" hidden="false" customHeight="false" outlineLevel="0" collapsed="false">
      <c r="A12" s="120" t="n">
        <f aca="false">EDATE(A11,1)</f>
        <v>37347</v>
      </c>
      <c r="B12" s="121" t="n">
        <f aca="false">VLOOKUP(A12,'Inputs-Summary'!$A$32:$E$41,5,FALSE())</f>
        <v>1280</v>
      </c>
      <c r="C12" s="122"/>
      <c r="D12" s="123" t="n">
        <f aca="false">B12+C12</f>
        <v>1280</v>
      </c>
      <c r="E12" s="111" t="n">
        <f aca="false">IF(Z12=0,0,IF(AND(Z12=1,$H$3=1),D12*U12,IF($H$3=2,D12,"N/A")))</f>
        <v>38400</v>
      </c>
      <c r="F12" s="111" t="n">
        <f aca="false">E12*Y12</f>
        <v>24724.2186425464</v>
      </c>
      <c r="G12" s="124" t="n">
        <f aca="false">VLOOKUP($A12,Table,MATCH(G$4,Curves,0))</f>
        <v>3</v>
      </c>
      <c r="H12" s="125" t="n">
        <f aca="false">G12+$H$7</f>
        <v>3</v>
      </c>
      <c r="I12" s="124" t="n">
        <f aca="false">H12</f>
        <v>3</v>
      </c>
      <c r="J12" s="124" t="n">
        <f aca="false">VLOOKUP($A12,Table,MATCH(J$4,Curves,0))</f>
        <v>4</v>
      </c>
      <c r="K12" s="125" t="n">
        <f aca="false">J12+$K$7</f>
        <v>4</v>
      </c>
      <c r="L12" s="126" t="n">
        <f aca="false">K12</f>
        <v>4</v>
      </c>
      <c r="M12" s="124" t="n">
        <f aca="false">VLOOKUP($A12,Table,MATCH(M$4,Curves,0))</f>
        <v>4</v>
      </c>
      <c r="N12" s="125" t="n">
        <f aca="false">M12+$N$7</f>
        <v>4</v>
      </c>
      <c r="O12" s="126" t="n">
        <v>-0.04</v>
      </c>
      <c r="P12" s="114"/>
      <c r="Q12" s="126" t="n">
        <f aca="false">M12+J12+G12</f>
        <v>11</v>
      </c>
      <c r="R12" s="126" t="n">
        <f aca="false">N12+K12+H12</f>
        <v>11</v>
      </c>
      <c r="S12" s="126" t="n">
        <f aca="false">O12+L12+I12</f>
        <v>6.96</v>
      </c>
      <c r="T12" s="127"/>
      <c r="U12" s="5" t="n">
        <f aca="false">A13-A12</f>
        <v>30</v>
      </c>
      <c r="V12" s="128" t="n">
        <f aca="false">CHOOSE(F$3,A13+24,A12)</f>
        <v>37347</v>
      </c>
      <c r="W12" s="5" t="n">
        <f aca="false">V12-C$3</f>
        <v>116</v>
      </c>
      <c r="X12" s="124" t="n">
        <f aca="false">VLOOKUP($A12,Table,MATCH(X$4,Curves,0))</f>
        <v>2</v>
      </c>
      <c r="Y12" s="129" t="n">
        <f aca="false">1/(1+CHOOSE(F$3,(X13+($K$3/10000))/2,(X12+($K$3/10000))/2))^(2*W12/365.25)</f>
        <v>0.64385986048298</v>
      </c>
      <c r="Z12" s="5" t="n">
        <f aca="false">IF(AND(mthbeg&lt;=A12,mthend&gt;=A12),1,0)</f>
        <v>1</v>
      </c>
      <c r="AA12" s="5" t="n">
        <f aca="false">U12*Z12</f>
        <v>30</v>
      </c>
      <c r="AC12" s="115" t="n">
        <f aca="false">IF(G5=2,F12*(S12-Q12),F12*(Q12-S12))</f>
        <v>99885.8433158876</v>
      </c>
      <c r="AE12" s="116" t="n">
        <f aca="false">IF($G$3=1,F12*(R12-Q12),F12*(Q12-R12))</f>
        <v>0</v>
      </c>
      <c r="AG12" s="116" t="n">
        <f aca="false">AC12+AE12</f>
        <v>99885.8433158876</v>
      </c>
    </row>
    <row r="13" customFormat="false" ht="12.75" hidden="false" customHeight="false" outlineLevel="0" collapsed="false">
      <c r="A13" s="120" t="n">
        <f aca="false">EDATE(A12,1)</f>
        <v>37377</v>
      </c>
      <c r="B13" s="121" t="n">
        <f aca="false">VLOOKUP(A13,'Inputs-Summary'!$A$32:$E$41,5,FALSE())</f>
        <v>1280</v>
      </c>
      <c r="C13" s="122"/>
      <c r="D13" s="123" t="n">
        <f aca="false">B13+C13</f>
        <v>1280</v>
      </c>
      <c r="E13" s="111" t="n">
        <f aca="false">IF(Z13=0,0,IF(AND(Z13=1,$H$3=1),D13*U13,IF($H$3=2,D13,"N/A")))</f>
        <v>39680</v>
      </c>
      <c r="F13" s="111" t="n">
        <f aca="false">E13*Y13</f>
        <v>22798.8269409734</v>
      </c>
      <c r="G13" s="124" t="n">
        <f aca="false">VLOOKUP($A13,Table,MATCH(G$4,Curves,0))</f>
        <v>3</v>
      </c>
      <c r="H13" s="125" t="n">
        <f aca="false">G13+$H$7</f>
        <v>3</v>
      </c>
      <c r="I13" s="124" t="n">
        <f aca="false">H13</f>
        <v>3</v>
      </c>
      <c r="J13" s="124" t="n">
        <f aca="false">VLOOKUP($A13,Table,MATCH(J$4,Curves,0))</f>
        <v>4</v>
      </c>
      <c r="K13" s="125" t="n">
        <f aca="false">J13+$K$7</f>
        <v>4</v>
      </c>
      <c r="L13" s="126" t="n">
        <f aca="false">K13</f>
        <v>4</v>
      </c>
      <c r="M13" s="124" t="n">
        <f aca="false">VLOOKUP($A13,Table,MATCH(M$4,Curves,0))</f>
        <v>4</v>
      </c>
      <c r="N13" s="125" t="n">
        <f aca="false">M13+$N$7</f>
        <v>4</v>
      </c>
      <c r="O13" s="126" t="n">
        <v>-0.04</v>
      </c>
      <c r="P13" s="114"/>
      <c r="Q13" s="126" t="n">
        <f aca="false">M13+J13+G13</f>
        <v>11</v>
      </c>
      <c r="R13" s="126" t="n">
        <f aca="false">N13+K13+H13</f>
        <v>11</v>
      </c>
      <c r="S13" s="126" t="n">
        <f aca="false">O13+L13+I13</f>
        <v>6.96</v>
      </c>
      <c r="T13" s="127"/>
      <c r="U13" s="5" t="n">
        <f aca="false">A14-A13</f>
        <v>31</v>
      </c>
      <c r="V13" s="128" t="n">
        <f aca="false">CHOOSE(F$3,A14+24,A13)</f>
        <v>37377</v>
      </c>
      <c r="W13" s="5" t="n">
        <f aca="false">V13-C$3</f>
        <v>146</v>
      </c>
      <c r="X13" s="124" t="n">
        <f aca="false">VLOOKUP($A13,Table,MATCH(X$4,Curves,0))</f>
        <v>2</v>
      </c>
      <c r="Y13" s="129" t="n">
        <f aca="false">1/(1+CHOOSE(F$3,(X14+($K$3/10000))/2,(X13+($K$3/10000))/2))^(2*W13/365.25)</f>
        <v>0.574567211214048</v>
      </c>
      <c r="Z13" s="5" t="n">
        <f aca="false">IF(AND(mthbeg&lt;=A13,mthend&gt;=A13),1,0)</f>
        <v>1</v>
      </c>
      <c r="AA13" s="5" t="n">
        <f aca="false">U13*Z13</f>
        <v>31</v>
      </c>
      <c r="AC13" s="115" t="n">
        <f aca="false">IF(G6=2,F13*(S13-Q13),F13*(Q13-S13))</f>
        <v>92107.2608415326</v>
      </c>
      <c r="AE13" s="116" t="n">
        <f aca="false">IF($G$3=1,F13*(R13-Q13),F13*(Q13-R13))</f>
        <v>0</v>
      </c>
      <c r="AG13" s="116" t="n">
        <f aca="false">AC13+AE13</f>
        <v>92107.2608415326</v>
      </c>
    </row>
    <row r="14" customFormat="false" ht="12.75" hidden="false" customHeight="false" outlineLevel="0" collapsed="false">
      <c r="A14" s="120" t="n">
        <f aca="false">EDATE(A13,1)</f>
        <v>37408</v>
      </c>
      <c r="B14" s="121" t="n">
        <f aca="false">VLOOKUP(A14,'Inputs-Summary'!$A$32:$E$41,5,FALSE())</f>
        <v>1280</v>
      </c>
      <c r="C14" s="122"/>
      <c r="D14" s="123" t="n">
        <f aca="false">B14+C14</f>
        <v>1280</v>
      </c>
      <c r="E14" s="111" t="n">
        <f aca="false">IF(Z14=0,0,IF(AND(Z14=1,$H$3=1),D14*U14,IF($H$3=2,D14,"N/A")))</f>
        <v>38400</v>
      </c>
      <c r="F14" s="111" t="n">
        <f aca="false">E14*Y14</f>
        <v>19614.3174462329</v>
      </c>
      <c r="G14" s="124" t="n">
        <f aca="false">VLOOKUP($A14,Table,MATCH(G$4,Curves,0))</f>
        <v>3</v>
      </c>
      <c r="H14" s="125" t="n">
        <f aca="false">G14+$H$7</f>
        <v>3</v>
      </c>
      <c r="I14" s="124" t="n">
        <f aca="false">H14</f>
        <v>3</v>
      </c>
      <c r="J14" s="124" t="n">
        <f aca="false">VLOOKUP($A14,Table,MATCH(J$4,Curves,0))</f>
        <v>4</v>
      </c>
      <c r="K14" s="125" t="n">
        <f aca="false">J14+$K$7</f>
        <v>4</v>
      </c>
      <c r="L14" s="126" t="n">
        <f aca="false">K14</f>
        <v>4</v>
      </c>
      <c r="M14" s="124" t="n">
        <f aca="false">VLOOKUP($A14,Table,MATCH(M$4,Curves,0))</f>
        <v>4</v>
      </c>
      <c r="N14" s="125" t="n">
        <f aca="false">M14+$N$7</f>
        <v>4</v>
      </c>
      <c r="O14" s="126" t="n">
        <v>-0.04</v>
      </c>
      <c r="P14" s="114"/>
      <c r="Q14" s="126" t="n">
        <f aca="false">M14+J14+G14</f>
        <v>11</v>
      </c>
      <c r="R14" s="126" t="n">
        <f aca="false">N14+K14+H14</f>
        <v>11</v>
      </c>
      <c r="S14" s="126" t="n">
        <f aca="false">O14+L14+I14</f>
        <v>6.96</v>
      </c>
      <c r="T14" s="127"/>
      <c r="U14" s="5" t="n">
        <f aca="false">A15-A14</f>
        <v>30</v>
      </c>
      <c r="V14" s="128" t="n">
        <f aca="false">CHOOSE(F$3,A15+24,A14)</f>
        <v>37408</v>
      </c>
      <c r="W14" s="5" t="n">
        <f aca="false">V14-C$3</f>
        <v>177</v>
      </c>
      <c r="X14" s="124" t="n">
        <f aca="false">VLOOKUP($A14,Table,MATCH(X$4,Curves,0))</f>
        <v>2</v>
      </c>
      <c r="Y14" s="129" t="n">
        <f aca="false">1/(1+CHOOSE(F$3,(X15+($K$3/10000))/2,(X14+($K$3/10000))/2))^(2*W14/365.25)</f>
        <v>0.510789516828982</v>
      </c>
      <c r="Z14" s="5" t="n">
        <f aca="false">IF(AND(mthbeg&lt;=A14,mthend&gt;=A14),1,0)</f>
        <v>1</v>
      </c>
      <c r="AA14" s="5" t="n">
        <f aca="false">U14*Z14</f>
        <v>30</v>
      </c>
      <c r="AC14" s="115" t="n">
        <f aca="false">IF(G7=2,F14*(S14-Q14),F14*(Q14-S14))</f>
        <v>79241.842482781</v>
      </c>
      <c r="AE14" s="116" t="n">
        <f aca="false">IF($G$3=1,F14*(R14-Q14),F14*(Q14-R14))</f>
        <v>0</v>
      </c>
      <c r="AG14" s="116" t="n">
        <f aca="false">AC14+AE14</f>
        <v>79241.842482781</v>
      </c>
    </row>
    <row r="15" customFormat="false" ht="12.75" hidden="false" customHeight="false" outlineLevel="0" collapsed="false">
      <c r="A15" s="120" t="n">
        <f aca="false">EDATE(A14,1)</f>
        <v>37438</v>
      </c>
      <c r="B15" s="121" t="n">
        <f aca="false">VLOOKUP(A15,'Inputs-Summary'!$A$32:$E$41,5,FALSE())</f>
        <v>1280</v>
      </c>
      <c r="C15" s="122"/>
      <c r="D15" s="123" t="n">
        <f aca="false">B15+C15</f>
        <v>1280</v>
      </c>
      <c r="E15" s="111" t="n">
        <f aca="false">IF(Z15=0,0,IF(AND(Z15=1,$H$3=1),D15*U15,IF($H$3=2,D15,"N/A")))</f>
        <v>39680</v>
      </c>
      <c r="F15" s="111" t="n">
        <f aca="false">E15*Y15</f>
        <v>18086.857889715</v>
      </c>
      <c r="G15" s="124" t="n">
        <f aca="false">VLOOKUP($A15,Table,MATCH(G$4,Curves,0))</f>
        <v>3</v>
      </c>
      <c r="H15" s="125" t="n">
        <f aca="false">G15+$H$7</f>
        <v>3</v>
      </c>
      <c r="I15" s="124" t="n">
        <f aca="false">H15</f>
        <v>3</v>
      </c>
      <c r="J15" s="124" t="n">
        <f aca="false">VLOOKUP($A15,Table,MATCH(J$4,Curves,0))</f>
        <v>4</v>
      </c>
      <c r="K15" s="125" t="n">
        <f aca="false">J15+$K$7</f>
        <v>4</v>
      </c>
      <c r="L15" s="126" t="n">
        <f aca="false">K15</f>
        <v>4</v>
      </c>
      <c r="M15" s="124" t="n">
        <f aca="false">VLOOKUP($A15,Table,MATCH(M$4,Curves,0))</f>
        <v>4</v>
      </c>
      <c r="N15" s="125" t="n">
        <f aca="false">M15+$N$7</f>
        <v>4</v>
      </c>
      <c r="O15" s="126" t="n">
        <v>-0.04</v>
      </c>
      <c r="P15" s="114"/>
      <c r="Q15" s="126" t="n">
        <f aca="false">M15+J15+G15</f>
        <v>11</v>
      </c>
      <c r="R15" s="126" t="n">
        <f aca="false">N15+K15+H15</f>
        <v>11</v>
      </c>
      <c r="S15" s="126" t="n">
        <f aca="false">O15+L15+I15</f>
        <v>6.96</v>
      </c>
      <c r="T15" s="127"/>
      <c r="U15" s="5" t="n">
        <f aca="false">A16-A15</f>
        <v>31</v>
      </c>
      <c r="V15" s="128" t="n">
        <f aca="false">CHOOSE(F$3,A16+24,A15)</f>
        <v>37438</v>
      </c>
      <c r="W15" s="5" t="n">
        <f aca="false">V15-C$3</f>
        <v>207</v>
      </c>
      <c r="X15" s="124" t="n">
        <f aca="false">VLOOKUP($A15,Table,MATCH(X$4,Curves,0))</f>
        <v>2</v>
      </c>
      <c r="Y15" s="129" t="n">
        <f aca="false">1/(1+CHOOSE(F$3,(X16+($K$3/10000))/2,(X15+($K$3/10000))/2))^(2*W15/365.25)</f>
        <v>0.455817991172253</v>
      </c>
      <c r="Z15" s="5" t="n">
        <f aca="false">IF(AND(mthbeg&lt;=A15,mthend&gt;=A15),1,0)</f>
        <v>1</v>
      </c>
      <c r="AA15" s="5" t="n">
        <f aca="false">U15*Z15</f>
        <v>31</v>
      </c>
      <c r="AC15" s="115" t="n">
        <f aca="false">IF(G8=2,F15*(S15-Q15),F15*(Q15-S15))</f>
        <v>73070.9058744486</v>
      </c>
      <c r="AE15" s="116" t="n">
        <f aca="false">IF($G$3=1,F15*(R15-Q15),F15*(Q15-R15))</f>
        <v>0</v>
      </c>
      <c r="AG15" s="116" t="n">
        <f aca="false">AC15+AE15</f>
        <v>73070.9058744486</v>
      </c>
    </row>
    <row r="16" customFormat="false" ht="12.75" hidden="false" customHeight="false" outlineLevel="0" collapsed="false">
      <c r="A16" s="120" t="n">
        <f aca="false">EDATE(A15,1)</f>
        <v>37469</v>
      </c>
      <c r="B16" s="121" t="n">
        <f aca="false">VLOOKUP(A16,'Inputs-Summary'!$A$32:$E$41,5,FALSE())</f>
        <v>1280</v>
      </c>
      <c r="C16" s="122"/>
      <c r="D16" s="123" t="n">
        <f aca="false">B16+C16</f>
        <v>1280</v>
      </c>
      <c r="E16" s="111" t="n">
        <f aca="false">IF(Z16=0,0,IF(AND(Z16=1,$H$3=1),D16*U16,IF($H$3=2,D16,"N/A")))</f>
        <v>39680</v>
      </c>
      <c r="F16" s="111" t="n">
        <f aca="false">E16*Y16</f>
        <v>16079.1935601774</v>
      </c>
      <c r="G16" s="124" t="n">
        <f aca="false">VLOOKUP($A16,Table,MATCH(G$4,Curves,0))</f>
        <v>3</v>
      </c>
      <c r="H16" s="125" t="n">
        <f aca="false">G16+$H$7</f>
        <v>3</v>
      </c>
      <c r="I16" s="124" t="n">
        <f aca="false">H16</f>
        <v>3</v>
      </c>
      <c r="J16" s="124" t="n">
        <f aca="false">VLOOKUP($A16,Table,MATCH(J$4,Curves,0))</f>
        <v>4</v>
      </c>
      <c r="K16" s="125" t="n">
        <f aca="false">J16+$K$7</f>
        <v>4</v>
      </c>
      <c r="L16" s="126" t="n">
        <f aca="false">K16</f>
        <v>4</v>
      </c>
      <c r="M16" s="124" t="n">
        <f aca="false">VLOOKUP($A16,Table,MATCH(M$4,Curves,0))</f>
        <v>4</v>
      </c>
      <c r="N16" s="125" t="n">
        <f aca="false">M16+$N$7</f>
        <v>4</v>
      </c>
      <c r="O16" s="126" t="n">
        <v>-0.04</v>
      </c>
      <c r="P16" s="114"/>
      <c r="Q16" s="126" t="n">
        <f aca="false">M16+J16+G16</f>
        <v>11</v>
      </c>
      <c r="R16" s="126" t="n">
        <f aca="false">N16+K16+H16</f>
        <v>11</v>
      </c>
      <c r="S16" s="126" t="n">
        <f aca="false">O16+L16+I16</f>
        <v>6.96</v>
      </c>
      <c r="T16" s="127"/>
      <c r="U16" s="5" t="n">
        <f aca="false">A17-A16</f>
        <v>31</v>
      </c>
      <c r="V16" s="128" t="n">
        <f aca="false">CHOOSE(F$3,A17+24,A16)</f>
        <v>37469</v>
      </c>
      <c r="W16" s="5" t="n">
        <f aca="false">V16-C$3</f>
        <v>238</v>
      </c>
      <c r="X16" s="124" t="n">
        <f aca="false">VLOOKUP($A16,Table,MATCH(X$4,Curves,0))</f>
        <v>2</v>
      </c>
      <c r="Y16" s="129" t="n">
        <f aca="false">1/(1+CHOOSE(F$3,(X17+($K$3/10000))/2,(X16+($K$3/10000))/2))^(2*W16/365.25)</f>
        <v>0.405221611899631</v>
      </c>
      <c r="Z16" s="5" t="n">
        <f aca="false">IF(AND(mthbeg&lt;=A16,mthend&gt;=A16),1,0)</f>
        <v>1</v>
      </c>
      <c r="AA16" s="5" t="n">
        <f aca="false">U16*Z16</f>
        <v>31</v>
      </c>
      <c r="AC16" s="115" t="n">
        <f aca="false">IF(G9=2,F16*(S16-Q16),F16*(Q16-S16))</f>
        <v>64959.9419831166</v>
      </c>
      <c r="AE16" s="116" t="n">
        <f aca="false">IF($G$3=1,F16*(R16-Q16),F16*(Q16-R16))</f>
        <v>0</v>
      </c>
      <c r="AG16" s="116" t="n">
        <f aca="false">AC16+AE16</f>
        <v>64959.9419831166</v>
      </c>
    </row>
    <row r="17" customFormat="false" ht="12.75" hidden="false" customHeight="false" outlineLevel="0" collapsed="false">
      <c r="A17" s="120" t="n">
        <f aca="false">EDATE(A16,1)</f>
        <v>37500</v>
      </c>
      <c r="B17" s="121" t="n">
        <f aca="false">VLOOKUP(A17,'Inputs-Summary'!$A$32:$E$41,5,FALSE())</f>
        <v>1280</v>
      </c>
      <c r="C17" s="122"/>
      <c r="D17" s="123" t="n">
        <f aca="false">B17+C17</f>
        <v>1280</v>
      </c>
      <c r="E17" s="111" t="n">
        <f aca="false">IF(Z17=0,0,IF(AND(Z17=1,$H$3=1),D17*U17,IF($H$3=2,D17,"N/A")))</f>
        <v>38400</v>
      </c>
      <c r="F17" s="111" t="n">
        <f aca="false">E17*Y17</f>
        <v>13833.2734217104</v>
      </c>
      <c r="G17" s="124" t="n">
        <f aca="false">VLOOKUP($A17,Table,MATCH(G$4,Curves,0))</f>
        <v>3</v>
      </c>
      <c r="H17" s="125" t="n">
        <f aca="false">G17+$H$7</f>
        <v>3</v>
      </c>
      <c r="I17" s="124" t="n">
        <f aca="false">H17</f>
        <v>3</v>
      </c>
      <c r="J17" s="124" t="n">
        <f aca="false">VLOOKUP($A17,Table,MATCH(J$4,Curves,0))</f>
        <v>4</v>
      </c>
      <c r="K17" s="125" t="n">
        <f aca="false">J17+$K$7</f>
        <v>4</v>
      </c>
      <c r="L17" s="126" t="n">
        <f aca="false">K17</f>
        <v>4</v>
      </c>
      <c r="M17" s="124" t="n">
        <f aca="false">VLOOKUP($A17,Table,MATCH(M$4,Curves,0))</f>
        <v>4</v>
      </c>
      <c r="N17" s="125" t="n">
        <f aca="false">M17+$N$7</f>
        <v>4</v>
      </c>
      <c r="O17" s="126" t="n">
        <v>-0.04</v>
      </c>
      <c r="P17" s="114"/>
      <c r="Q17" s="126" t="n">
        <f aca="false">M17+J17+G17</f>
        <v>11</v>
      </c>
      <c r="R17" s="126" t="n">
        <f aca="false">N17+K17+H17</f>
        <v>11</v>
      </c>
      <c r="S17" s="126" t="n">
        <f aca="false">O17+L17+I17</f>
        <v>6.96</v>
      </c>
      <c r="T17" s="127"/>
      <c r="U17" s="5" t="n">
        <f aca="false">A18-A17</f>
        <v>30</v>
      </c>
      <c r="V17" s="128" t="n">
        <f aca="false">CHOOSE(F$3,A18+24,A17)</f>
        <v>37500</v>
      </c>
      <c r="W17" s="5" t="n">
        <f aca="false">V17-C$3</f>
        <v>269</v>
      </c>
      <c r="X17" s="124" t="n">
        <f aca="false">VLOOKUP($A17,Table,MATCH(X$4,Curves,0))</f>
        <v>2</v>
      </c>
      <c r="Y17" s="129" t="n">
        <f aca="false">1/(1+CHOOSE(F$3,(X18+($K$3/10000))/2,(X17+($K$3/10000))/2))^(2*W17/365.25)</f>
        <v>0.360241495357042</v>
      </c>
      <c r="Z17" s="5" t="n">
        <f aca="false">IF(AND(mthbeg&lt;=A17,mthend&gt;=A17),1,0)</f>
        <v>1</v>
      </c>
      <c r="AA17" s="5" t="n">
        <f aca="false">U17*Z17</f>
        <v>30</v>
      </c>
      <c r="AC17" s="115" t="n">
        <f aca="false">IF(G10=2,F17*(S17-Q17),F17*(Q17-S17))</f>
        <v>55886.4246237101</v>
      </c>
      <c r="AE17" s="116" t="n">
        <f aca="false">IF($G$3=1,F17*(R17-Q17),F17*(Q17-R17))</f>
        <v>0</v>
      </c>
      <c r="AG17" s="116" t="n">
        <f aca="false">AC17+AE17</f>
        <v>55886.4246237101</v>
      </c>
    </row>
    <row r="18" customFormat="false" ht="12.75" hidden="false" customHeight="false" outlineLevel="0" collapsed="false">
      <c r="A18" s="120" t="n">
        <f aca="false">EDATE(A17,1)</f>
        <v>37530</v>
      </c>
      <c r="B18" s="121" t="n">
        <f aca="false">VLOOKUP(A18,'Inputs-Summary'!$A$32:$E$41,5,FALSE())</f>
        <v>1280</v>
      </c>
      <c r="C18" s="122"/>
      <c r="D18" s="123" t="n">
        <f aca="false">B18+C18</f>
        <v>1280</v>
      </c>
      <c r="E18" s="111" t="n">
        <f aca="false">IF(Z18=0,0,IF(AND(Z18=1,$H$3=1),D18*U18,IF($H$3=2,D18,"N/A")))</f>
        <v>39680</v>
      </c>
      <c r="F18" s="111" t="n">
        <f aca="false">E18*Y18</f>
        <v>12756.0110727228</v>
      </c>
      <c r="G18" s="124" t="n">
        <f aca="false">VLOOKUP($A18,Table,MATCH(G$4,Curves,0))</f>
        <v>3</v>
      </c>
      <c r="H18" s="125" t="n">
        <f aca="false">G18+$H$7</f>
        <v>3</v>
      </c>
      <c r="I18" s="124" t="n">
        <f aca="false">H18</f>
        <v>3</v>
      </c>
      <c r="J18" s="124" t="n">
        <f aca="false">VLOOKUP($A18,Table,MATCH(J$4,Curves,0))</f>
        <v>4</v>
      </c>
      <c r="K18" s="125" t="n">
        <f aca="false">J18+$K$7</f>
        <v>4</v>
      </c>
      <c r="L18" s="126" t="n">
        <f aca="false">K18</f>
        <v>4</v>
      </c>
      <c r="M18" s="124" t="n">
        <f aca="false">VLOOKUP($A18,Table,MATCH(M$4,Curves,0))</f>
        <v>4</v>
      </c>
      <c r="N18" s="125" t="n">
        <f aca="false">M18+$N$7</f>
        <v>4</v>
      </c>
      <c r="O18" s="126" t="n">
        <v>-0.04</v>
      </c>
      <c r="P18" s="114"/>
      <c r="Q18" s="126" t="n">
        <f aca="false">M18+J18+G18</f>
        <v>11</v>
      </c>
      <c r="R18" s="126" t="n">
        <f aca="false">N18+K18+H18</f>
        <v>11</v>
      </c>
      <c r="S18" s="126" t="n">
        <f aca="false">O18+L18+I18</f>
        <v>6.96</v>
      </c>
      <c r="T18" s="127"/>
      <c r="U18" s="5" t="n">
        <f aca="false">A19-A18</f>
        <v>31</v>
      </c>
      <c r="V18" s="128" t="n">
        <f aca="false">CHOOSE(F$3,A19+24,A18)</f>
        <v>37530</v>
      </c>
      <c r="W18" s="5" t="n">
        <f aca="false">V18-C$3</f>
        <v>299</v>
      </c>
      <c r="X18" s="124" t="n">
        <f aca="false">VLOOKUP($A18,Table,MATCH(X$4,Curves,0))</f>
        <v>2</v>
      </c>
      <c r="Y18" s="129" t="n">
        <f aca="false">1/(1+CHOOSE(F$3,(X19+($K$3/10000))/2,(X18+($K$3/10000))/2))^(2*W18/365.25)</f>
        <v>0.321472053244023</v>
      </c>
      <c r="Z18" s="5" t="n">
        <f aca="false">IF(AND(mthbeg&lt;=A18,mthend&gt;=A18),1,0)</f>
        <v>1</v>
      </c>
      <c r="AA18" s="5" t="n">
        <f aca="false">U18*Z18</f>
        <v>31</v>
      </c>
      <c r="AC18" s="115" t="n">
        <f aca="false">IF(G11=2,F18*(S18-Q18),F18*(Q18-S18))</f>
        <v>51534.2847338003</v>
      </c>
      <c r="AE18" s="116" t="n">
        <f aca="false">IF($G$3=1,F18*(R18-Q18),F18*(Q18-R18))</f>
        <v>0</v>
      </c>
      <c r="AG18" s="116" t="n">
        <f aca="false">AC18+AE18</f>
        <v>51534.2847338003</v>
      </c>
    </row>
    <row r="19" customFormat="false" ht="12.75" hidden="false" customHeight="false" outlineLevel="0" collapsed="false">
      <c r="A19" s="120" t="n">
        <f aca="false">EDATE(A18,1)</f>
        <v>37561</v>
      </c>
      <c r="B19" s="121" t="e">
        <f aca="false">VLOOKUP(A19,'Inputs-Summary'!$A$32:$E$41,5,FALSE())</f>
        <v>#N/A</v>
      </c>
      <c r="C19" s="122"/>
      <c r="D19" s="123" t="e">
        <f aca="false">B19+C19</f>
        <v>#N/A</v>
      </c>
      <c r="E19" s="111" t="n">
        <f aca="false">IF(Z19=0,0,IF(AND(Z19=1,$H$3=1),D19*U19,IF($H$3=2,D19,"N/A")))</f>
        <v>0</v>
      </c>
      <c r="F19" s="111" t="n">
        <f aca="false">E19*Y19</f>
        <v>0</v>
      </c>
      <c r="G19" s="124" t="n">
        <f aca="false">VLOOKUP($A19,Table,MATCH(G$4,Curves,0))</f>
        <v>3</v>
      </c>
      <c r="H19" s="125" t="n">
        <f aca="false">G19+$H$7</f>
        <v>3</v>
      </c>
      <c r="I19" s="124" t="n">
        <f aca="false">H19</f>
        <v>3</v>
      </c>
      <c r="J19" s="124" t="n">
        <f aca="false">VLOOKUP($A19,Table,MATCH(J$4,Curves,0))</f>
        <v>4</v>
      </c>
      <c r="K19" s="125" t="n">
        <f aca="false">J19+$K$7</f>
        <v>4</v>
      </c>
      <c r="L19" s="126" t="n">
        <f aca="false">K19</f>
        <v>4</v>
      </c>
      <c r="M19" s="124" t="n">
        <f aca="false">VLOOKUP($A19,Table,MATCH(M$4,Curves,0))</f>
        <v>4</v>
      </c>
      <c r="N19" s="125" t="n">
        <f aca="false">M19+$N$7</f>
        <v>4</v>
      </c>
      <c r="O19" s="126" t="n">
        <v>-0.04</v>
      </c>
      <c r="P19" s="114"/>
      <c r="Q19" s="126" t="n">
        <f aca="false">M19+J19+G19</f>
        <v>11</v>
      </c>
      <c r="R19" s="126" t="n">
        <f aca="false">N19+K19+H19</f>
        <v>11</v>
      </c>
      <c r="S19" s="126" t="n">
        <f aca="false">O19+L19+I19</f>
        <v>6.96</v>
      </c>
      <c r="T19" s="127"/>
      <c r="U19" s="5" t="n">
        <f aca="false">A20-A19</f>
        <v>30</v>
      </c>
      <c r="V19" s="128" t="n">
        <f aca="false">CHOOSE(F$3,A20+24,A19)</f>
        <v>37561</v>
      </c>
      <c r="W19" s="5" t="n">
        <f aca="false">V19-C$3</f>
        <v>330</v>
      </c>
      <c r="X19" s="124" t="n">
        <f aca="false">VLOOKUP($A19,Table,MATCH(X$4,Curves,0))</f>
        <v>2</v>
      </c>
      <c r="Y19" s="129" t="n">
        <f aca="false">1/(1+CHOOSE(F$3,(X20+($K$3/10000))/2,(X19+($K$3/10000))/2))^(2*W19/365.25)</f>
        <v>0.285788244692165</v>
      </c>
      <c r="Z19" s="5" t="n">
        <f aca="false">IF(AND(mthbeg&lt;=A19,mthend&gt;=A19),1,0)</f>
        <v>0</v>
      </c>
      <c r="AA19" s="5" t="n">
        <f aca="false">U19*Z19</f>
        <v>0</v>
      </c>
      <c r="AC19" s="115" t="n">
        <f aca="false">IF(G12=2,F19*(S19-Q19),F19*(Q19-S19))</f>
        <v>0</v>
      </c>
      <c r="AE19" s="116" t="n">
        <f aca="false">IF($G$3=1,F19*(R19-Q19),F19*(Q19-R19))</f>
        <v>0</v>
      </c>
      <c r="AG19" s="116" t="n">
        <f aca="false">AC19+AE19</f>
        <v>0</v>
      </c>
    </row>
    <row r="20" customFormat="false" ht="12.75" hidden="false" customHeight="false" outlineLevel="0" collapsed="false">
      <c r="A20" s="120" t="n">
        <f aca="false">EDATE(A19,1)</f>
        <v>37591</v>
      </c>
      <c r="B20" s="121" t="e">
        <f aca="false">VLOOKUP(A20,'Inputs-Summary'!$A$32:$E$41,5,FALSE())</f>
        <v>#N/A</v>
      </c>
      <c r="C20" s="122"/>
      <c r="D20" s="123" t="e">
        <f aca="false">B20+C20</f>
        <v>#N/A</v>
      </c>
      <c r="E20" s="111" t="n">
        <f aca="false">IF(Z20=0,0,IF(AND(Z20=1,$H$3=1),D20*U20,IF($H$3=2,D20,"N/A")))</f>
        <v>0</v>
      </c>
      <c r="F20" s="111" t="n">
        <f aca="false">E20*Y20</f>
        <v>0</v>
      </c>
      <c r="G20" s="124" t="n">
        <f aca="false">VLOOKUP($A20,Table,MATCH(G$4,Curves,0))</f>
        <v>3</v>
      </c>
      <c r="H20" s="125" t="n">
        <f aca="false">G20+$H$7</f>
        <v>3</v>
      </c>
      <c r="I20" s="124" t="n">
        <f aca="false">H20</f>
        <v>3</v>
      </c>
      <c r="J20" s="124" t="n">
        <f aca="false">VLOOKUP($A20,Table,MATCH(J$4,Curves,0))</f>
        <v>4</v>
      </c>
      <c r="K20" s="125" t="n">
        <f aca="false">J20+$K$7</f>
        <v>4</v>
      </c>
      <c r="L20" s="126" t="n">
        <f aca="false">K20</f>
        <v>4</v>
      </c>
      <c r="M20" s="124" t="n">
        <f aca="false">VLOOKUP($A20,Table,MATCH(M$4,Curves,0))</f>
        <v>4</v>
      </c>
      <c r="N20" s="125" t="n">
        <f aca="false">M20+$N$7</f>
        <v>4</v>
      </c>
      <c r="O20" s="126" t="n">
        <v>-0.04</v>
      </c>
      <c r="P20" s="114"/>
      <c r="Q20" s="126" t="n">
        <f aca="false">M20+J20+G20</f>
        <v>11</v>
      </c>
      <c r="R20" s="126" t="n">
        <f aca="false">N20+K20+H20</f>
        <v>11</v>
      </c>
      <c r="S20" s="126" t="n">
        <f aca="false">O20+L20+I20</f>
        <v>6.96</v>
      </c>
      <c r="T20" s="127"/>
      <c r="U20" s="5" t="n">
        <f aca="false">A21-A20</f>
        <v>31</v>
      </c>
      <c r="V20" s="128" t="n">
        <f aca="false">CHOOSE(F$3,A21+24,A20)</f>
        <v>37591</v>
      </c>
      <c r="W20" s="5" t="n">
        <f aca="false">V20-C$3</f>
        <v>360</v>
      </c>
      <c r="X20" s="124" t="n">
        <f aca="false">VLOOKUP($A20,Table,MATCH(X$4,Curves,0))</f>
        <v>2</v>
      </c>
      <c r="Y20" s="129" t="n">
        <f aca="false">1/(1+CHOOSE(F$3,(X21+($K$3/10000))/2,(X20+($K$3/10000))/2))^(2*W20/365.25)</f>
        <v>0.255031513577132</v>
      </c>
      <c r="Z20" s="5" t="n">
        <f aca="false">IF(AND(mthbeg&lt;=A20,mthend&gt;=A20),1,0)</f>
        <v>0</v>
      </c>
      <c r="AA20" s="5" t="n">
        <f aca="false">U20*Z20</f>
        <v>0</v>
      </c>
      <c r="AC20" s="115" t="n">
        <f aca="false">IF(G13=2,F20*(S20-Q20),F20*(Q20-S20))</f>
        <v>0</v>
      </c>
      <c r="AE20" s="116" t="n">
        <f aca="false">IF($G$3=1,F20*(R20-Q20),F20*(Q20-R20))</f>
        <v>0</v>
      </c>
      <c r="AG20" s="116" t="n">
        <f aca="false">AC20+AE20</f>
        <v>0</v>
      </c>
    </row>
    <row r="21" customFormat="false" ht="12.75" hidden="false" customHeight="false" outlineLevel="0" collapsed="false">
      <c r="A21" s="120" t="n">
        <f aca="false">EDATE(A20,1)</f>
        <v>37622</v>
      </c>
      <c r="B21" s="121" t="e">
        <f aca="false">VLOOKUP(A21,'Inputs-Summary'!$A$32:$E$41,5,FALSE())</f>
        <v>#N/A</v>
      </c>
      <c r="C21" s="122"/>
      <c r="D21" s="123" t="e">
        <f aca="false">B21+C21</f>
        <v>#N/A</v>
      </c>
      <c r="E21" s="111" t="n">
        <f aca="false">IF(Z21=0,0,IF(AND(Z21=1,$H$3=1),D21*U21,IF($H$3=2,D21,"N/A")))</f>
        <v>0</v>
      </c>
      <c r="F21" s="111" t="n">
        <f aca="false">E21*Y21</f>
        <v>0</v>
      </c>
      <c r="G21" s="124" t="n">
        <f aca="false">VLOOKUP($A21,Table,MATCH(G$4,Curves,0))</f>
        <v>3</v>
      </c>
      <c r="H21" s="125" t="n">
        <f aca="false">G21+$H$7</f>
        <v>3</v>
      </c>
      <c r="I21" s="124" t="n">
        <f aca="false">H21</f>
        <v>3</v>
      </c>
      <c r="J21" s="124" t="n">
        <f aca="false">VLOOKUP($A21,Table,MATCH(J$4,Curves,0))</f>
        <v>4</v>
      </c>
      <c r="K21" s="125" t="n">
        <f aca="false">J21+$K$7</f>
        <v>4</v>
      </c>
      <c r="L21" s="126" t="n">
        <f aca="false">K21</f>
        <v>4</v>
      </c>
      <c r="M21" s="124" t="n">
        <f aca="false">VLOOKUP($A21,Table,MATCH(M$4,Curves,0))</f>
        <v>4</v>
      </c>
      <c r="N21" s="125" t="n">
        <f aca="false">M21+$N$7</f>
        <v>4</v>
      </c>
      <c r="O21" s="126" t="n">
        <v>-0.04</v>
      </c>
      <c r="P21" s="114"/>
      <c r="Q21" s="126" t="n">
        <f aca="false">M21+J21+G21</f>
        <v>11</v>
      </c>
      <c r="R21" s="126" t="n">
        <f aca="false">N21+K21+H21</f>
        <v>11</v>
      </c>
      <c r="S21" s="126" t="n">
        <f aca="false">O21+L21+I21</f>
        <v>6.96</v>
      </c>
      <c r="T21" s="127"/>
      <c r="U21" s="5" t="n">
        <f aca="false">A22-A21</f>
        <v>31</v>
      </c>
      <c r="V21" s="128" t="n">
        <f aca="false">CHOOSE(F$3,A22+24,A21)</f>
        <v>37622</v>
      </c>
      <c r="W21" s="5" t="n">
        <f aca="false">V21-C$3</f>
        <v>391</v>
      </c>
      <c r="X21" s="124" t="n">
        <f aca="false">VLOOKUP($A21,Table,MATCH(X$4,Curves,0))</f>
        <v>2</v>
      </c>
      <c r="Y21" s="129" t="n">
        <f aca="false">1/(1+CHOOSE(F$3,(X22+($K$3/10000))/2,(X21+($K$3/10000))/2))^(2*W21/365.25)</f>
        <v>0.226722689798074</v>
      </c>
      <c r="Z21" s="5" t="n">
        <f aca="false">IF(AND(mthbeg&lt;=A21,mthend&gt;=A21),1,0)</f>
        <v>0</v>
      </c>
      <c r="AA21" s="5" t="n">
        <f aca="false">U21*Z21</f>
        <v>0</v>
      </c>
      <c r="AC21" s="115" t="n">
        <f aca="false">IF(G14=2,F21*(S21-Q21),F21*(Q21-S21))</f>
        <v>0</v>
      </c>
      <c r="AE21" s="116" t="n">
        <f aca="false">IF($G$3=1,F21*(R21-Q21),F21*(Q21-R21))</f>
        <v>0</v>
      </c>
      <c r="AG21" s="116" t="n">
        <f aca="false">AC21+AE21</f>
        <v>0</v>
      </c>
    </row>
    <row r="22" customFormat="false" ht="12.75" hidden="false" customHeight="false" outlineLevel="0" collapsed="false">
      <c r="A22" s="120" t="n">
        <f aca="false">EDATE(A21,1)</f>
        <v>37653</v>
      </c>
      <c r="B22" s="121" t="e">
        <f aca="false">VLOOKUP(A22,'Inputs-Summary'!$A$32:$E$41,5,FALSE())</f>
        <v>#N/A</v>
      </c>
      <c r="C22" s="122"/>
      <c r="D22" s="123" t="e">
        <f aca="false">B22+C22</f>
        <v>#N/A</v>
      </c>
      <c r="E22" s="111" t="n">
        <f aca="false">IF(Z22=0,0,IF(AND(Z22=1,$H$3=1),D22*U22,IF($H$3=2,D22,"N/A")))</f>
        <v>0</v>
      </c>
      <c r="F22" s="111" t="n">
        <f aca="false">E22*Y22</f>
        <v>0</v>
      </c>
      <c r="G22" s="124" t="n">
        <f aca="false">VLOOKUP($A22,Table,MATCH(G$4,Curves,0))</f>
        <v>3</v>
      </c>
      <c r="H22" s="125" t="n">
        <f aca="false">G22+$H$7</f>
        <v>3</v>
      </c>
      <c r="I22" s="124" t="n">
        <f aca="false">H22</f>
        <v>3</v>
      </c>
      <c r="J22" s="124" t="n">
        <f aca="false">VLOOKUP($A22,Table,MATCH(J$4,Curves,0))</f>
        <v>4</v>
      </c>
      <c r="K22" s="125" t="n">
        <f aca="false">J22+$K$7</f>
        <v>4</v>
      </c>
      <c r="L22" s="126" t="n">
        <f aca="false">K22</f>
        <v>4</v>
      </c>
      <c r="M22" s="124" t="n">
        <f aca="false">VLOOKUP($A22,Table,MATCH(M$4,Curves,0))</f>
        <v>4</v>
      </c>
      <c r="N22" s="125" t="n">
        <f aca="false">M22+$N$7</f>
        <v>4</v>
      </c>
      <c r="O22" s="126" t="n">
        <v>-0.04</v>
      </c>
      <c r="P22" s="114"/>
      <c r="Q22" s="126" t="n">
        <f aca="false">M22+J22+G22</f>
        <v>11</v>
      </c>
      <c r="R22" s="126" t="n">
        <f aca="false">N22+K22+H22</f>
        <v>11</v>
      </c>
      <c r="S22" s="126" t="n">
        <f aca="false">O22+L22+I22</f>
        <v>6.96</v>
      </c>
      <c r="T22" s="127"/>
      <c r="U22" s="5" t="n">
        <f aca="false">A23-A22</f>
        <v>28</v>
      </c>
      <c r="V22" s="128" t="n">
        <f aca="false">CHOOSE(F$3,A23+24,A22)</f>
        <v>37653</v>
      </c>
      <c r="W22" s="5" t="n">
        <f aca="false">V22-C$3</f>
        <v>422</v>
      </c>
      <c r="X22" s="124" t="n">
        <f aca="false">VLOOKUP($A22,Table,MATCH(X$4,Curves,0))</f>
        <v>2</v>
      </c>
      <c r="Y22" s="129" t="n">
        <f aca="false">1/(1+CHOOSE(F$3,(X23+($K$3/10000))/2,(X22+($K$3/10000))/2))^(2*W22/365.25)</f>
        <v>0.2015561816196</v>
      </c>
      <c r="Z22" s="5" t="n">
        <f aca="false">IF(AND(mthbeg&lt;=A22,mthend&gt;=A22),1,0)</f>
        <v>0</v>
      </c>
      <c r="AA22" s="5" t="n">
        <f aca="false">U22*Z22</f>
        <v>0</v>
      </c>
      <c r="AC22" s="115" t="n">
        <f aca="false">IF(G15=2,F22*(S22-Q22),F22*(Q22-S22))</f>
        <v>0</v>
      </c>
      <c r="AE22" s="116" t="n">
        <f aca="false">IF($G$3=1,F22*(R22-Q22),F22*(Q22-R22))</f>
        <v>0</v>
      </c>
      <c r="AG22" s="116" t="n">
        <f aca="false">AC22+AE22</f>
        <v>0</v>
      </c>
    </row>
    <row r="23" customFormat="false" ht="12.75" hidden="false" customHeight="false" outlineLevel="0" collapsed="false">
      <c r="A23" s="120" t="n">
        <f aca="false">EDATE(A22,1)</f>
        <v>37681</v>
      </c>
      <c r="B23" s="121" t="e">
        <f aca="false">VLOOKUP(A23,'Inputs-Summary'!$A$32:$E$41,5,FALSE())</f>
        <v>#N/A</v>
      </c>
      <c r="C23" s="122"/>
      <c r="D23" s="123" t="e">
        <f aca="false">B23+C23</f>
        <v>#N/A</v>
      </c>
      <c r="E23" s="111" t="n">
        <f aca="false">IF(Z23=0,0,IF(AND(Z23=1,$H$3=1),D23*U23,IF($H$3=2,D23,"N/A")))</f>
        <v>0</v>
      </c>
      <c r="F23" s="111" t="n">
        <f aca="false">E23*Y23</f>
        <v>0</v>
      </c>
      <c r="G23" s="124" t="n">
        <f aca="false">VLOOKUP($A23,Table,MATCH(G$4,Curves,0))</f>
        <v>3</v>
      </c>
      <c r="H23" s="125" t="n">
        <f aca="false">G23+$H$7</f>
        <v>3</v>
      </c>
      <c r="I23" s="124" t="n">
        <f aca="false">H23</f>
        <v>3</v>
      </c>
      <c r="J23" s="124" t="n">
        <f aca="false">VLOOKUP($A23,Table,MATCH(J$4,Curves,0))</f>
        <v>4</v>
      </c>
      <c r="K23" s="125" t="n">
        <f aca="false">J23+$K$7</f>
        <v>4</v>
      </c>
      <c r="L23" s="126" t="n">
        <f aca="false">K23</f>
        <v>4</v>
      </c>
      <c r="M23" s="124" t="n">
        <f aca="false">VLOOKUP($A23,Table,MATCH(M$4,Curves,0))</f>
        <v>4</v>
      </c>
      <c r="N23" s="125" t="n">
        <f aca="false">M23+$N$7</f>
        <v>4</v>
      </c>
      <c r="O23" s="126" t="n">
        <v>-0.04</v>
      </c>
      <c r="P23" s="114"/>
      <c r="Q23" s="126" t="n">
        <f aca="false">M23+J23+G23</f>
        <v>11</v>
      </c>
      <c r="R23" s="126" t="n">
        <f aca="false">N23+K23+H23</f>
        <v>11</v>
      </c>
      <c r="S23" s="126" t="n">
        <f aca="false">O23+L23+I23</f>
        <v>6.96</v>
      </c>
      <c r="T23" s="127"/>
      <c r="U23" s="5" t="n">
        <f aca="false">A24-A23</f>
        <v>31</v>
      </c>
      <c r="V23" s="128" t="n">
        <f aca="false">CHOOSE(F$3,A24+24,A23)</f>
        <v>37681</v>
      </c>
      <c r="W23" s="5" t="n">
        <f aca="false">V23-C$3</f>
        <v>450</v>
      </c>
      <c r="X23" s="124" t="n">
        <f aca="false">VLOOKUP($A23,Table,MATCH(X$4,Curves,0))</f>
        <v>2</v>
      </c>
      <c r="Y23" s="129" t="n">
        <f aca="false">1/(1+CHOOSE(F$3,(X24+($K$3/10000))/2,(X23+($K$3/10000))/2))^(2*W23/365.25)</f>
        <v>0.181235099459571</v>
      </c>
      <c r="Z23" s="5" t="n">
        <f aca="false">IF(AND(mthbeg&lt;=A23,mthend&gt;=A23),1,0)</f>
        <v>0</v>
      </c>
      <c r="AA23" s="5" t="n">
        <f aca="false">U23*Z23</f>
        <v>0</v>
      </c>
      <c r="AC23" s="115" t="n">
        <f aca="false">IF(G16=2,F23*(S23-Q23),F23*(Q23-S23))</f>
        <v>0</v>
      </c>
      <c r="AE23" s="116" t="n">
        <f aca="false">IF($G$3=1,F23*(R23-Q23),F23*(Q23-R23))</f>
        <v>0</v>
      </c>
      <c r="AG23" s="116" t="n">
        <f aca="false">AC23+AE23</f>
        <v>0</v>
      </c>
    </row>
    <row r="24" customFormat="false" ht="12.75" hidden="false" customHeight="false" outlineLevel="0" collapsed="false">
      <c r="A24" s="120" t="n">
        <f aca="false">EDATE(A23,1)</f>
        <v>37712</v>
      </c>
      <c r="B24" s="121" t="e">
        <f aca="false">VLOOKUP(A24,'Inputs-Summary'!$A$32:$E$41,5,FALSE())</f>
        <v>#N/A</v>
      </c>
      <c r="C24" s="122"/>
      <c r="D24" s="123" t="e">
        <f aca="false">B24+C24</f>
        <v>#N/A</v>
      </c>
      <c r="E24" s="111" t="n">
        <f aca="false">IF(Z24=0,0,IF(AND(Z24=1,$H$3=1),D24*U24,IF($H$3=2,D24,"N/A")))</f>
        <v>0</v>
      </c>
      <c r="F24" s="111" t="n">
        <f aca="false">E24*Y24</f>
        <v>0</v>
      </c>
      <c r="G24" s="124" t="n">
        <f aca="false">VLOOKUP($A24,Table,MATCH(G$4,Curves,0))</f>
        <v>3</v>
      </c>
      <c r="H24" s="125" t="n">
        <f aca="false">G24+$H$7</f>
        <v>3</v>
      </c>
      <c r="I24" s="124" t="n">
        <f aca="false">H24</f>
        <v>3</v>
      </c>
      <c r="J24" s="124" t="n">
        <f aca="false">VLOOKUP($A24,Table,MATCH(J$4,Curves,0))</f>
        <v>4</v>
      </c>
      <c r="K24" s="125" t="n">
        <f aca="false">J24+$K$7</f>
        <v>4</v>
      </c>
      <c r="L24" s="126" t="n">
        <f aca="false">K24</f>
        <v>4</v>
      </c>
      <c r="M24" s="124" t="n">
        <f aca="false">VLOOKUP($A24,Table,MATCH(M$4,Curves,0))</f>
        <v>4</v>
      </c>
      <c r="N24" s="125" t="n">
        <f aca="false">M24+$N$7</f>
        <v>4</v>
      </c>
      <c r="O24" s="126" t="n">
        <v>-0.04</v>
      </c>
      <c r="P24" s="114"/>
      <c r="Q24" s="126" t="n">
        <f aca="false">M24+J24+G24</f>
        <v>11</v>
      </c>
      <c r="R24" s="126" t="n">
        <f aca="false">N24+K24+H24</f>
        <v>11</v>
      </c>
      <c r="S24" s="126" t="n">
        <f aca="false">O24+L24+I24</f>
        <v>6.96</v>
      </c>
      <c r="T24" s="127"/>
      <c r="U24" s="5" t="n">
        <f aca="false">A25-A24</f>
        <v>30</v>
      </c>
      <c r="V24" s="128" t="n">
        <f aca="false">CHOOSE(F$3,A25+24,A24)</f>
        <v>37712</v>
      </c>
      <c r="W24" s="5" t="n">
        <f aca="false">V24-C$3</f>
        <v>481</v>
      </c>
      <c r="X24" s="124" t="n">
        <f aca="false">VLOOKUP($A24,Table,MATCH(X$4,Curves,0))</f>
        <v>2</v>
      </c>
      <c r="Y24" s="129" t="n">
        <f aca="false">1/(1+CHOOSE(F$3,(X25+($K$3/10000))/2,(X24+($K$3/10000))/2))^(2*W24/365.25)</f>
        <v>0.16111777191358</v>
      </c>
      <c r="Z24" s="5" t="n">
        <f aca="false">IF(AND(mthbeg&lt;=A24,mthend&gt;=A24),1,0)</f>
        <v>0</v>
      </c>
      <c r="AA24" s="5" t="n">
        <f aca="false">U24*Z24</f>
        <v>0</v>
      </c>
      <c r="AC24" s="115" t="n">
        <f aca="false">IF(G17=2,F24*(S24-Q24),F24*(Q24-S24))</f>
        <v>0</v>
      </c>
      <c r="AE24" s="116" t="n">
        <f aca="false">IF($G$3=1,F24*(R24-Q24),F24*(Q24-R24))</f>
        <v>0</v>
      </c>
      <c r="AG24" s="116" t="n">
        <f aca="false">AC24+AE24</f>
        <v>0</v>
      </c>
    </row>
    <row r="25" customFormat="false" ht="12.75" hidden="false" customHeight="false" outlineLevel="0" collapsed="false">
      <c r="A25" s="120" t="n">
        <f aca="false">EDATE(A24,1)</f>
        <v>37742</v>
      </c>
      <c r="B25" s="121" t="e">
        <f aca="false">VLOOKUP(A25,'Inputs-Summary'!$A$32:$E$41,5,FALSE())</f>
        <v>#N/A</v>
      </c>
      <c r="C25" s="122"/>
      <c r="D25" s="123" t="e">
        <f aca="false">B25+C25</f>
        <v>#N/A</v>
      </c>
      <c r="E25" s="111" t="n">
        <f aca="false">IF(Z25=0,0,IF(AND(Z25=1,$H$3=1),D25*U25,IF($H$3=2,D25,"N/A")))</f>
        <v>0</v>
      </c>
      <c r="F25" s="111" t="n">
        <f aca="false">E25*Y25</f>
        <v>0</v>
      </c>
      <c r="G25" s="124" t="n">
        <f aca="false">VLOOKUP($A25,Table,MATCH(G$4,Curves,0))</f>
        <v>3</v>
      </c>
      <c r="H25" s="125" t="n">
        <f aca="false">G25+$H$7</f>
        <v>3</v>
      </c>
      <c r="I25" s="124" t="n">
        <f aca="false">H25</f>
        <v>3</v>
      </c>
      <c r="J25" s="124" t="n">
        <f aca="false">VLOOKUP($A25,Table,MATCH(J$4,Curves,0))</f>
        <v>4</v>
      </c>
      <c r="K25" s="125" t="n">
        <f aca="false">J25+$K$7</f>
        <v>4</v>
      </c>
      <c r="L25" s="126" t="n">
        <f aca="false">K25</f>
        <v>4</v>
      </c>
      <c r="M25" s="124" t="n">
        <f aca="false">VLOOKUP($A25,Table,MATCH(M$4,Curves,0))</f>
        <v>4</v>
      </c>
      <c r="N25" s="125" t="n">
        <f aca="false">M25+$N$7</f>
        <v>4</v>
      </c>
      <c r="O25" s="126" t="n">
        <v>-0.04</v>
      </c>
      <c r="P25" s="114"/>
      <c r="Q25" s="126" t="n">
        <f aca="false">M25+J25+G25</f>
        <v>11</v>
      </c>
      <c r="R25" s="126" t="n">
        <f aca="false">N25+K25+H25</f>
        <v>11</v>
      </c>
      <c r="S25" s="126" t="n">
        <f aca="false">O25+L25+I25</f>
        <v>6.96</v>
      </c>
      <c r="T25" s="127"/>
      <c r="U25" s="5" t="n">
        <f aca="false">A26-A25</f>
        <v>31</v>
      </c>
      <c r="V25" s="128" t="n">
        <f aca="false">CHOOSE(F$3,A26+24,A25)</f>
        <v>37742</v>
      </c>
      <c r="W25" s="5" t="n">
        <f aca="false">V25-C$3</f>
        <v>511</v>
      </c>
      <c r="X25" s="124" t="n">
        <f aca="false">VLOOKUP($A25,Table,MATCH(X$4,Curves,0))</f>
        <v>2</v>
      </c>
      <c r="Y25" s="129" t="n">
        <f aca="false">1/(1+CHOOSE(F$3,(X26+($K$3/10000))/2,(X25+($K$3/10000))/2))^(2*W25/365.25)</f>
        <v>0.143778164422247</v>
      </c>
      <c r="Z25" s="5" t="n">
        <f aca="false">IF(AND(mthbeg&lt;=A25,mthend&gt;=A25),1,0)</f>
        <v>0</v>
      </c>
      <c r="AA25" s="5" t="n">
        <f aca="false">U25*Z25</f>
        <v>0</v>
      </c>
      <c r="AC25" s="115" t="n">
        <f aca="false">IF(G18=2,F25*(S25-Q25),F25*(Q25-S25))</f>
        <v>0</v>
      </c>
      <c r="AE25" s="116" t="n">
        <f aca="false">IF($G$3=1,F25*(R25-Q25),F25*(Q25-R25))</f>
        <v>0</v>
      </c>
      <c r="AG25" s="116" t="n">
        <f aca="false">AC25+AE25</f>
        <v>0</v>
      </c>
    </row>
    <row r="26" customFormat="false" ht="12.75" hidden="false" customHeight="false" outlineLevel="0" collapsed="false">
      <c r="A26" s="120" t="n">
        <f aca="false">EDATE(A25,1)</f>
        <v>37773</v>
      </c>
      <c r="B26" s="121" t="e">
        <f aca="false">VLOOKUP(A26,'Inputs-Summary'!$A$32:$E$41,5,FALSE())</f>
        <v>#N/A</v>
      </c>
      <c r="C26" s="122"/>
      <c r="D26" s="123" t="e">
        <f aca="false">B26+C26</f>
        <v>#N/A</v>
      </c>
      <c r="E26" s="111" t="n">
        <f aca="false">IF(Z26=0,0,IF(AND(Z26=1,$H$3=1),D26*U26,IF($H$3=2,D26,"N/A")))</f>
        <v>0</v>
      </c>
      <c r="F26" s="111" t="n">
        <f aca="false">E26*Y26</f>
        <v>0</v>
      </c>
      <c r="G26" s="124" t="n">
        <f aca="false">VLOOKUP($A26,Table,MATCH(G$4,Curves,0))</f>
        <v>3</v>
      </c>
      <c r="H26" s="125" t="n">
        <f aca="false">G26+$H$7</f>
        <v>3</v>
      </c>
      <c r="I26" s="124" t="n">
        <f aca="false">H26</f>
        <v>3</v>
      </c>
      <c r="J26" s="124" t="n">
        <f aca="false">VLOOKUP($A26,Table,MATCH(J$4,Curves,0))</f>
        <v>4</v>
      </c>
      <c r="K26" s="125" t="n">
        <f aca="false">J26+$K$7</f>
        <v>4</v>
      </c>
      <c r="L26" s="126" t="n">
        <f aca="false">K26</f>
        <v>4</v>
      </c>
      <c r="M26" s="124" t="n">
        <f aca="false">VLOOKUP($A26,Table,MATCH(M$4,Curves,0))</f>
        <v>4</v>
      </c>
      <c r="N26" s="125" t="n">
        <f aca="false">M26+$N$7</f>
        <v>4</v>
      </c>
      <c r="O26" s="126" t="n">
        <v>-0.04</v>
      </c>
      <c r="P26" s="114"/>
      <c r="Q26" s="126" t="n">
        <f aca="false">M26+J26+G26</f>
        <v>11</v>
      </c>
      <c r="R26" s="126" t="n">
        <f aca="false">N26+K26+H26</f>
        <v>11</v>
      </c>
      <c r="S26" s="126" t="n">
        <f aca="false">O26+L26+I26</f>
        <v>6.96</v>
      </c>
      <c r="T26" s="127"/>
      <c r="U26" s="5" t="n">
        <f aca="false">A27-A26</f>
        <v>30</v>
      </c>
      <c r="V26" s="128" t="n">
        <f aca="false">CHOOSE(F$3,A27+24,A26)</f>
        <v>37773</v>
      </c>
      <c r="W26" s="5" t="n">
        <f aca="false">V26-C$3</f>
        <v>542</v>
      </c>
      <c r="X26" s="124" t="n">
        <f aca="false">VLOOKUP($A26,Table,MATCH(X$4,Curves,0))</f>
        <v>2</v>
      </c>
      <c r="Y26" s="129" t="n">
        <f aca="false">1/(1+CHOOSE(F$3,(X27+($K$3/10000))/2,(X26+($K$3/10000))/2))^(2*W26/365.25)</f>
        <v>0.127818604512115</v>
      </c>
      <c r="Z26" s="5" t="n">
        <f aca="false">IF(AND(mthbeg&lt;=A26,mthend&gt;=A26),1,0)</f>
        <v>0</v>
      </c>
      <c r="AA26" s="5" t="n">
        <f aca="false">U26*Z26</f>
        <v>0</v>
      </c>
      <c r="AC26" s="115" t="n">
        <f aca="false">IF(G19=2,F26*(S26-Q26),F26*(Q26-S26))</f>
        <v>0</v>
      </c>
      <c r="AE26" s="116" t="n">
        <f aca="false">IF($G$3=1,F26*(R26-Q26),F26*(Q26-R26))</f>
        <v>0</v>
      </c>
      <c r="AG26" s="116" t="n">
        <f aca="false">AC26+AE26</f>
        <v>0</v>
      </c>
    </row>
    <row r="27" customFormat="false" ht="12.75" hidden="false" customHeight="false" outlineLevel="0" collapsed="false">
      <c r="A27" s="120" t="n">
        <f aca="false">EDATE(A26,1)</f>
        <v>37803</v>
      </c>
      <c r="B27" s="121" t="e">
        <f aca="false">VLOOKUP(A27,'Inputs-Summary'!$A$32:$E$41,5,FALSE())</f>
        <v>#N/A</v>
      </c>
      <c r="C27" s="122"/>
      <c r="D27" s="123" t="e">
        <f aca="false">B27+C27</f>
        <v>#N/A</v>
      </c>
      <c r="E27" s="111" t="n">
        <f aca="false">IF(Z27=0,0,IF(AND(Z27=1,$H$3=1),D27*U27,IF($H$3=2,D27,"N/A")))</f>
        <v>0</v>
      </c>
      <c r="F27" s="111" t="n">
        <f aca="false">E27*Y27</f>
        <v>0</v>
      </c>
      <c r="G27" s="124" t="n">
        <f aca="false">VLOOKUP($A27,Table,MATCH(G$4,Curves,0))</f>
        <v>3</v>
      </c>
      <c r="H27" s="125" t="n">
        <f aca="false">G27+$H$7</f>
        <v>3</v>
      </c>
      <c r="I27" s="124" t="n">
        <f aca="false">H27</f>
        <v>3</v>
      </c>
      <c r="J27" s="124" t="n">
        <f aca="false">VLOOKUP($A27,Table,MATCH(J$4,Curves,0))</f>
        <v>4</v>
      </c>
      <c r="K27" s="125" t="n">
        <f aca="false">J27+$K$7</f>
        <v>4</v>
      </c>
      <c r="L27" s="126" t="n">
        <f aca="false">K27</f>
        <v>4</v>
      </c>
      <c r="M27" s="124" t="n">
        <f aca="false">VLOOKUP($A27,Table,MATCH(M$4,Curves,0))</f>
        <v>4</v>
      </c>
      <c r="N27" s="125" t="n">
        <f aca="false">M27+$N$7</f>
        <v>4</v>
      </c>
      <c r="O27" s="126" t="n">
        <v>-0.04</v>
      </c>
      <c r="P27" s="114"/>
      <c r="Q27" s="126" t="n">
        <f aca="false">M27+J27+G27</f>
        <v>11</v>
      </c>
      <c r="R27" s="126" t="n">
        <f aca="false">N27+K27+H27</f>
        <v>11</v>
      </c>
      <c r="S27" s="126" t="n">
        <f aca="false">O27+L27+I27</f>
        <v>6.96</v>
      </c>
      <c r="T27" s="127"/>
      <c r="U27" s="5" t="n">
        <f aca="false">A28-A27</f>
        <v>31</v>
      </c>
      <c r="V27" s="128" t="n">
        <f aca="false">CHOOSE(F$3,A28+24,A27)</f>
        <v>37803</v>
      </c>
      <c r="W27" s="5" t="n">
        <f aca="false">V27-C$3</f>
        <v>572</v>
      </c>
      <c r="X27" s="124" t="n">
        <f aca="false">VLOOKUP($A27,Table,MATCH(X$4,Curves,0))</f>
        <v>2</v>
      </c>
      <c r="Y27" s="129" t="n">
        <f aca="false">1/(1+CHOOSE(F$3,(X28+($K$3/10000))/2,(X27+($K$3/10000))/2))^(2*W27/365.25)</f>
        <v>0.114062676745693</v>
      </c>
      <c r="Z27" s="5" t="n">
        <f aca="false">IF(AND(mthbeg&lt;=A27,mthend&gt;=A27),1,0)</f>
        <v>0</v>
      </c>
      <c r="AA27" s="5" t="n">
        <f aca="false">U27*Z27</f>
        <v>0</v>
      </c>
      <c r="AC27" s="115" t="n">
        <f aca="false">IF(G20=2,F27*(S27-Q27),F27*(Q27-S27))</f>
        <v>0</v>
      </c>
      <c r="AE27" s="116" t="n">
        <f aca="false">IF($G$3=1,F27*(R27-Q27),F27*(Q27-R27))</f>
        <v>0</v>
      </c>
      <c r="AG27" s="116" t="n">
        <f aca="false">AC27+AE27</f>
        <v>0</v>
      </c>
    </row>
    <row r="28" customFormat="false" ht="12.75" hidden="false" customHeight="false" outlineLevel="0" collapsed="false">
      <c r="A28" s="120" t="n">
        <f aca="false">EDATE(A27,1)</f>
        <v>37834</v>
      </c>
      <c r="B28" s="121" t="e">
        <f aca="false">VLOOKUP(A28,'Inputs-Summary'!$A$32:$E$41,5,FALSE())</f>
        <v>#N/A</v>
      </c>
      <c r="C28" s="122"/>
      <c r="D28" s="123" t="e">
        <f aca="false">B28+C28</f>
        <v>#N/A</v>
      </c>
      <c r="E28" s="111" t="n">
        <f aca="false">IF(Z28=0,0,IF(AND(Z28=1,$H$3=1),D28*U28,IF($H$3=2,D28,"N/A")))</f>
        <v>0</v>
      </c>
      <c r="F28" s="111" t="n">
        <f aca="false">E28*Y28</f>
        <v>0</v>
      </c>
      <c r="G28" s="124" t="n">
        <f aca="false">VLOOKUP($A28,Table,MATCH(G$4,Curves,0))</f>
        <v>3</v>
      </c>
      <c r="H28" s="125" t="n">
        <f aca="false">G28+$H$7</f>
        <v>3</v>
      </c>
      <c r="I28" s="124" t="n">
        <f aca="false">H28</f>
        <v>3</v>
      </c>
      <c r="J28" s="124" t="n">
        <f aca="false">VLOOKUP($A28,Table,MATCH(J$4,Curves,0))</f>
        <v>4</v>
      </c>
      <c r="K28" s="125" t="n">
        <f aca="false">J28+$K$7</f>
        <v>4</v>
      </c>
      <c r="L28" s="126" t="n">
        <f aca="false">K28</f>
        <v>4</v>
      </c>
      <c r="M28" s="124" t="n">
        <f aca="false">VLOOKUP($A28,Table,MATCH(M$4,Curves,0))</f>
        <v>4</v>
      </c>
      <c r="N28" s="125" t="n">
        <f aca="false">M28+$N$7</f>
        <v>4</v>
      </c>
      <c r="O28" s="126" t="n">
        <v>-0.04</v>
      </c>
      <c r="P28" s="114"/>
      <c r="Q28" s="126" t="n">
        <f aca="false">M28+J28+G28</f>
        <v>11</v>
      </c>
      <c r="R28" s="126" t="n">
        <f aca="false">N28+K28+H28</f>
        <v>11</v>
      </c>
      <c r="S28" s="126" t="n">
        <f aca="false">O28+L28+I28</f>
        <v>6.96</v>
      </c>
      <c r="T28" s="127"/>
      <c r="U28" s="5" t="n">
        <f aca="false">A29-A28</f>
        <v>31</v>
      </c>
      <c r="V28" s="128" t="n">
        <f aca="false">CHOOSE(F$3,A29+24,A28)</f>
        <v>37834</v>
      </c>
      <c r="W28" s="5" t="n">
        <f aca="false">V28-C$3</f>
        <v>603</v>
      </c>
      <c r="X28" s="124" t="n">
        <f aca="false">VLOOKUP($A28,Table,MATCH(X$4,Curves,0))</f>
        <v>2</v>
      </c>
      <c r="Y28" s="129" t="n">
        <f aca="false">1/(1+CHOOSE(F$3,(X29+($K$3/10000))/2,(X28+($K$3/10000))/2))^(2*W28/365.25)</f>
        <v>0.10140157392561</v>
      </c>
      <c r="Z28" s="5" t="n">
        <f aca="false">IF(AND(mthbeg&lt;=A28,mthend&gt;=A28),1,0)</f>
        <v>0</v>
      </c>
      <c r="AA28" s="5" t="n">
        <f aca="false">U28*Z28</f>
        <v>0</v>
      </c>
      <c r="AC28" s="115" t="n">
        <f aca="false">IF(G21=2,F28*(S28-Q28),F28*(Q28-S28))</f>
        <v>0</v>
      </c>
      <c r="AE28" s="116" t="n">
        <f aca="false">IF($G$3=1,F28*(R28-Q28),F28*(Q28-R28))</f>
        <v>0</v>
      </c>
      <c r="AG28" s="116" t="n">
        <f aca="false">AC28+AE28</f>
        <v>0</v>
      </c>
    </row>
    <row r="29" customFormat="false" ht="12.75" hidden="false" customHeight="false" outlineLevel="0" collapsed="false">
      <c r="A29" s="120" t="n">
        <f aca="false">EDATE(A28,1)</f>
        <v>37865</v>
      </c>
      <c r="B29" s="121" t="e">
        <f aca="false">VLOOKUP(A29,'Inputs-Summary'!$A$32:$E$41,5,FALSE())</f>
        <v>#N/A</v>
      </c>
      <c r="C29" s="122"/>
      <c r="D29" s="123" t="e">
        <f aca="false">B29+C29</f>
        <v>#N/A</v>
      </c>
      <c r="E29" s="111" t="n">
        <f aca="false">IF(Z29=0,0,IF(AND(Z29=1,$H$3=1),D29*U29,IF($H$3=2,D29,"N/A")))</f>
        <v>0</v>
      </c>
      <c r="F29" s="111" t="n">
        <f aca="false">E29*Y29</f>
        <v>0</v>
      </c>
      <c r="G29" s="124" t="n">
        <f aca="false">VLOOKUP($A29,Table,MATCH(G$4,Curves,0))</f>
        <v>3</v>
      </c>
      <c r="H29" s="125" t="n">
        <f aca="false">G29+$H$7</f>
        <v>3</v>
      </c>
      <c r="I29" s="124" t="n">
        <f aca="false">H29</f>
        <v>3</v>
      </c>
      <c r="J29" s="124" t="n">
        <f aca="false">VLOOKUP($A29,Table,MATCH(J$4,Curves,0))</f>
        <v>4</v>
      </c>
      <c r="K29" s="125" t="n">
        <f aca="false">J29+$K$7</f>
        <v>4</v>
      </c>
      <c r="L29" s="126" t="n">
        <f aca="false">K29</f>
        <v>4</v>
      </c>
      <c r="M29" s="124" t="n">
        <f aca="false">VLOOKUP($A29,Table,MATCH(M$4,Curves,0))</f>
        <v>4</v>
      </c>
      <c r="N29" s="125" t="n">
        <f aca="false">M29+$N$7</f>
        <v>4</v>
      </c>
      <c r="O29" s="126" t="n">
        <v>-0.04</v>
      </c>
      <c r="P29" s="114"/>
      <c r="Q29" s="126" t="n">
        <f aca="false">M29+J29+G29</f>
        <v>11</v>
      </c>
      <c r="R29" s="126" t="n">
        <f aca="false">N29+K29+H29</f>
        <v>11</v>
      </c>
      <c r="S29" s="126" t="n">
        <f aca="false">O29+L29+I29</f>
        <v>6.96</v>
      </c>
      <c r="T29" s="127"/>
      <c r="U29" s="5" t="n">
        <f aca="false">A30-A29</f>
        <v>30</v>
      </c>
      <c r="V29" s="128" t="n">
        <f aca="false">CHOOSE(F$3,A30+24,A29)</f>
        <v>37865</v>
      </c>
      <c r="W29" s="5" t="n">
        <f aca="false">V29-C$3</f>
        <v>634</v>
      </c>
      <c r="X29" s="124" t="n">
        <f aca="false">VLOOKUP($A29,Table,MATCH(X$4,Curves,0))</f>
        <v>2</v>
      </c>
      <c r="Y29" s="129" t="n">
        <f aca="false">1/(1+CHOOSE(F$3,(X30+($K$3/10000))/2,(X29+($K$3/10000))/2))^(2*W29/365.25)</f>
        <v>0.0901458696915883</v>
      </c>
      <c r="Z29" s="5" t="n">
        <f aca="false">IF(AND(mthbeg&lt;=A29,mthend&gt;=A29),1,0)</f>
        <v>0</v>
      </c>
      <c r="AA29" s="5" t="n">
        <f aca="false">U29*Z29</f>
        <v>0</v>
      </c>
      <c r="AC29" s="115" t="n">
        <f aca="false">IF(G22=2,F29*(S29-Q29),F29*(Q29-S29))</f>
        <v>0</v>
      </c>
      <c r="AE29" s="116" t="n">
        <f aca="false">IF($G$3=1,F29*(R29-Q29),F29*(Q29-R29))</f>
        <v>0</v>
      </c>
      <c r="AG29" s="116" t="n">
        <f aca="false">AC29+AE29</f>
        <v>0</v>
      </c>
    </row>
    <row r="30" customFormat="false" ht="12.75" hidden="false" customHeight="false" outlineLevel="0" collapsed="false">
      <c r="A30" s="120" t="n">
        <f aca="false">EDATE(A29,1)</f>
        <v>37895</v>
      </c>
      <c r="B30" s="121" t="e">
        <f aca="false">VLOOKUP(A30,'Inputs-Summary'!$A$32:$E$41,5,FALSE())</f>
        <v>#N/A</v>
      </c>
      <c r="C30" s="122"/>
      <c r="D30" s="123" t="e">
        <f aca="false">B30+C30</f>
        <v>#N/A</v>
      </c>
      <c r="E30" s="111" t="n">
        <f aca="false">IF(Z30=0,0,IF(AND(Z30=1,$H$3=1),D30*U30,IF($H$3=2,D30,"N/A")))</f>
        <v>0</v>
      </c>
      <c r="F30" s="111" t="n">
        <f aca="false">E30*Y30</f>
        <v>0</v>
      </c>
      <c r="G30" s="124" t="n">
        <f aca="false">VLOOKUP($A30,Table,MATCH(G$4,Curves,0))</f>
        <v>3</v>
      </c>
      <c r="H30" s="125" t="n">
        <f aca="false">G30+$H$7</f>
        <v>3</v>
      </c>
      <c r="I30" s="124" t="n">
        <f aca="false">H30</f>
        <v>3</v>
      </c>
      <c r="J30" s="124" t="n">
        <f aca="false">VLOOKUP($A30,Table,MATCH(J$4,Curves,0))</f>
        <v>4</v>
      </c>
      <c r="K30" s="125" t="n">
        <f aca="false">J30+$K$7</f>
        <v>4</v>
      </c>
      <c r="L30" s="126" t="n">
        <f aca="false">K30</f>
        <v>4</v>
      </c>
      <c r="M30" s="124" t="n">
        <f aca="false">VLOOKUP($A30,Table,MATCH(M$4,Curves,0))</f>
        <v>4</v>
      </c>
      <c r="N30" s="125" t="n">
        <f aca="false">M30+$N$7</f>
        <v>4</v>
      </c>
      <c r="O30" s="126" t="n">
        <v>-0.04</v>
      </c>
      <c r="P30" s="114"/>
      <c r="Q30" s="126" t="n">
        <f aca="false">M30+J30+G30</f>
        <v>11</v>
      </c>
      <c r="R30" s="126" t="n">
        <f aca="false">N30+K30+H30</f>
        <v>11</v>
      </c>
      <c r="S30" s="126" t="n">
        <f aca="false">O30+L30+I30</f>
        <v>6.96</v>
      </c>
      <c r="T30" s="127"/>
      <c r="U30" s="5" t="n">
        <f aca="false">A31-A30</f>
        <v>31</v>
      </c>
      <c r="V30" s="128" t="n">
        <f aca="false">CHOOSE(F$3,A31+24,A30)</f>
        <v>37895</v>
      </c>
      <c r="W30" s="5" t="n">
        <f aca="false">V30-C$3</f>
        <v>664</v>
      </c>
      <c r="X30" s="124" t="n">
        <f aca="false">VLOOKUP($A30,Table,MATCH(X$4,Curves,0))</f>
        <v>2</v>
      </c>
      <c r="Y30" s="129" t="n">
        <f aca="false">1/(1+CHOOSE(F$3,(X31+($K$3/10000))/2,(X30+($K$3/10000))/2))^(2*W30/365.25)</f>
        <v>0.0804443080398083</v>
      </c>
      <c r="Z30" s="5" t="n">
        <f aca="false">IF(AND(mthbeg&lt;=A30,mthend&gt;=A30),1,0)</f>
        <v>0</v>
      </c>
      <c r="AA30" s="5" t="n">
        <f aca="false">U30*Z30</f>
        <v>0</v>
      </c>
      <c r="AC30" s="115" t="n">
        <f aca="false">IF(G23=2,F30*(S30-Q30),F30*(Q30-S30))</f>
        <v>0</v>
      </c>
      <c r="AE30" s="116" t="n">
        <f aca="false">IF($G$3=1,F30*(R30-Q30),F30*(Q30-R30))</f>
        <v>0</v>
      </c>
      <c r="AG30" s="116" t="n">
        <f aca="false">AC30+AE30</f>
        <v>0</v>
      </c>
    </row>
    <row r="31" customFormat="false" ht="12.75" hidden="false" customHeight="false" outlineLevel="0" collapsed="false">
      <c r="A31" s="120" t="n">
        <f aca="false">EDATE(A30,1)</f>
        <v>37926</v>
      </c>
      <c r="B31" s="121" t="e">
        <f aca="false">VLOOKUP(A31,'Inputs-Summary'!$A$32:$E$41,5,FALSE())</f>
        <v>#N/A</v>
      </c>
      <c r="C31" s="122"/>
      <c r="D31" s="123" t="e">
        <f aca="false">B31+C31</f>
        <v>#N/A</v>
      </c>
      <c r="E31" s="111" t="n">
        <f aca="false">IF(Z31=0,0,IF(AND(Z31=1,$H$3=1),D31*U31,IF($H$3=2,D31,"N/A")))</f>
        <v>0</v>
      </c>
      <c r="F31" s="111" t="n">
        <f aca="false">E31*Y31</f>
        <v>0</v>
      </c>
      <c r="G31" s="124" t="n">
        <f aca="false">VLOOKUP($A31,Table,MATCH(G$4,Curves,0))</f>
        <v>3</v>
      </c>
      <c r="H31" s="125" t="n">
        <f aca="false">G31+$H$7</f>
        <v>3</v>
      </c>
      <c r="I31" s="124" t="n">
        <f aca="false">H31</f>
        <v>3</v>
      </c>
      <c r="J31" s="124" t="n">
        <f aca="false">VLOOKUP($A31,Table,MATCH(J$4,Curves,0))</f>
        <v>4</v>
      </c>
      <c r="K31" s="125" t="n">
        <f aca="false">J31+$K$7</f>
        <v>4</v>
      </c>
      <c r="L31" s="126" t="n">
        <f aca="false">K31</f>
        <v>4</v>
      </c>
      <c r="M31" s="124" t="n">
        <f aca="false">VLOOKUP($A31,Table,MATCH(M$4,Curves,0))</f>
        <v>4</v>
      </c>
      <c r="N31" s="125" t="n">
        <f aca="false">M31+$N$7</f>
        <v>4</v>
      </c>
      <c r="O31" s="126" t="n">
        <v>-0.04</v>
      </c>
      <c r="P31" s="114"/>
      <c r="Q31" s="126" t="n">
        <f aca="false">M31+J31+G31</f>
        <v>11</v>
      </c>
      <c r="R31" s="126" t="n">
        <f aca="false">N31+K31+H31</f>
        <v>11</v>
      </c>
      <c r="S31" s="126" t="n">
        <f aca="false">O31+L31+I31</f>
        <v>6.96</v>
      </c>
      <c r="T31" s="127"/>
      <c r="U31" s="5" t="n">
        <f aca="false">A32-A31</f>
        <v>30</v>
      </c>
      <c r="V31" s="128" t="n">
        <f aca="false">CHOOSE(F$3,A32+24,A31)</f>
        <v>37926</v>
      </c>
      <c r="W31" s="5" t="n">
        <f aca="false">V31-C$3</f>
        <v>695</v>
      </c>
      <c r="X31" s="124" t="n">
        <f aca="false">VLOOKUP($A31,Table,MATCH(X$4,Curves,0))</f>
        <v>2</v>
      </c>
      <c r="Y31" s="129" t="n">
        <f aca="false">1/(1+CHOOSE(F$3,(X32+($K$3/10000))/2,(X31+($K$3/10000))/2))^(2*W31/365.25)</f>
        <v>0.0715148870894894</v>
      </c>
      <c r="Z31" s="5" t="n">
        <f aca="false">IF(AND(mthbeg&lt;=A31,mthend&gt;=A31),1,0)</f>
        <v>0</v>
      </c>
      <c r="AA31" s="5" t="n">
        <f aca="false">U31*Z31</f>
        <v>0</v>
      </c>
      <c r="AC31" s="115" t="n">
        <f aca="false">IF(G24=2,F31*(S31-Q31),F31*(Q31-S31))</f>
        <v>0</v>
      </c>
      <c r="AE31" s="116" t="n">
        <f aca="false">IF($G$3=1,F31*(R31-Q31),F31*(Q31-R31))</f>
        <v>0</v>
      </c>
      <c r="AG31" s="116" t="n">
        <f aca="false">AC31+AE31</f>
        <v>0</v>
      </c>
    </row>
    <row r="32" customFormat="false" ht="12.75" hidden="false" customHeight="false" outlineLevel="0" collapsed="false">
      <c r="A32" s="120" t="n">
        <f aca="false">EDATE(A31,1)</f>
        <v>37956</v>
      </c>
      <c r="B32" s="121" t="e">
        <f aca="false">VLOOKUP(A32,'Inputs-Summary'!$A$32:$E$41,5,FALSE())</f>
        <v>#N/A</v>
      </c>
      <c r="C32" s="122"/>
      <c r="D32" s="123" t="e">
        <f aca="false">B32+C32</f>
        <v>#N/A</v>
      </c>
      <c r="E32" s="111" t="n">
        <f aca="false">IF(Z32=0,0,IF(AND(Z32=1,$H$3=1),D32*U32,IF($H$3=2,D32,"N/A")))</f>
        <v>0</v>
      </c>
      <c r="F32" s="111" t="n">
        <f aca="false">E32*Y32</f>
        <v>0</v>
      </c>
      <c r="G32" s="124" t="n">
        <f aca="false">VLOOKUP($A32,Table,MATCH(G$4,Curves,0))</f>
        <v>3</v>
      </c>
      <c r="H32" s="125" t="n">
        <f aca="false">G32+$H$7</f>
        <v>3</v>
      </c>
      <c r="I32" s="124" t="n">
        <f aca="false">H32</f>
        <v>3</v>
      </c>
      <c r="J32" s="124" t="n">
        <f aca="false">VLOOKUP($A32,Table,MATCH(J$4,Curves,0))</f>
        <v>4</v>
      </c>
      <c r="K32" s="125" t="n">
        <f aca="false">J32+$K$7</f>
        <v>4</v>
      </c>
      <c r="L32" s="126" t="n">
        <f aca="false">K32</f>
        <v>4</v>
      </c>
      <c r="M32" s="124" t="n">
        <f aca="false">VLOOKUP($A32,Table,MATCH(M$4,Curves,0))</f>
        <v>4</v>
      </c>
      <c r="N32" s="125" t="n">
        <f aca="false">M32+$N$7</f>
        <v>4</v>
      </c>
      <c r="O32" s="126" t="n">
        <v>-0.04</v>
      </c>
      <c r="P32" s="114"/>
      <c r="Q32" s="126" t="n">
        <f aca="false">M32+J32+G32</f>
        <v>11</v>
      </c>
      <c r="R32" s="126" t="n">
        <f aca="false">N32+K32+H32</f>
        <v>11</v>
      </c>
      <c r="S32" s="126" t="n">
        <f aca="false">O32+L32+I32</f>
        <v>6.96</v>
      </c>
      <c r="T32" s="127"/>
      <c r="U32" s="5" t="n">
        <f aca="false">A33-A32</f>
        <v>31</v>
      </c>
      <c r="V32" s="128" t="n">
        <f aca="false">CHOOSE(F$3,A33+24,A32)</f>
        <v>37956</v>
      </c>
      <c r="W32" s="5" t="n">
        <f aca="false">V32-C$3</f>
        <v>725</v>
      </c>
      <c r="X32" s="124" t="n">
        <f aca="false">VLOOKUP($A32,Table,MATCH(X$4,Curves,0))</f>
        <v>2</v>
      </c>
      <c r="Y32" s="129" t="n">
        <f aca="false">1/(1+CHOOSE(F$3,(X33+($K$3/10000))/2,(X32+($K$3/10000))/2))^(2*W32/365.25)</f>
        <v>0.0638184048380845</v>
      </c>
      <c r="Z32" s="5" t="n">
        <f aca="false">IF(AND(mthbeg&lt;=A32,mthend&gt;=A32),1,0)</f>
        <v>0</v>
      </c>
      <c r="AA32" s="5" t="n">
        <f aca="false">U32*Z32</f>
        <v>0</v>
      </c>
      <c r="AC32" s="115" t="n">
        <f aca="false">IF(G25=2,F32*(S32-Q32),F32*(Q32-S32))</f>
        <v>0</v>
      </c>
      <c r="AE32" s="116" t="n">
        <f aca="false">IF($G$3=1,F32*(R32-Q32),F32*(Q32-R32))</f>
        <v>0</v>
      </c>
      <c r="AG32" s="116" t="n">
        <f aca="false">AC32+AE32</f>
        <v>0</v>
      </c>
    </row>
    <row r="33" customFormat="false" ht="12.75" hidden="false" customHeight="false" outlineLevel="0" collapsed="false">
      <c r="A33" s="120" t="n">
        <f aca="false">EDATE(A32,1)</f>
        <v>37987</v>
      </c>
      <c r="B33" s="121" t="e">
        <f aca="false">VLOOKUP(A33,'Inputs-Summary'!$A$32:$E$41,5,FALSE())</f>
        <v>#N/A</v>
      </c>
      <c r="C33" s="122"/>
      <c r="D33" s="123" t="e">
        <f aca="false">B33+C33</f>
        <v>#N/A</v>
      </c>
      <c r="E33" s="111" t="n">
        <f aca="false">IF(Z33=0,0,IF(AND(Z33=1,$H$3=1),D33*U33,IF($H$3=2,D33,"N/A")))</f>
        <v>0</v>
      </c>
      <c r="F33" s="111" t="n">
        <f aca="false">E33*Y33</f>
        <v>0</v>
      </c>
      <c r="G33" s="124" t="n">
        <f aca="false">VLOOKUP($A33,Table,MATCH(G$4,Curves,0))</f>
        <v>3</v>
      </c>
      <c r="H33" s="125" t="n">
        <f aca="false">G33+$H$7</f>
        <v>3</v>
      </c>
      <c r="I33" s="124" t="n">
        <f aca="false">H33</f>
        <v>3</v>
      </c>
      <c r="J33" s="124" t="n">
        <f aca="false">VLOOKUP($A33,Table,MATCH(J$4,Curves,0))</f>
        <v>4</v>
      </c>
      <c r="K33" s="125" t="n">
        <f aca="false">J33+$K$7</f>
        <v>4</v>
      </c>
      <c r="L33" s="126" t="n">
        <f aca="false">K33</f>
        <v>4</v>
      </c>
      <c r="M33" s="124" t="n">
        <f aca="false">VLOOKUP($A33,Table,MATCH(M$4,Curves,0))</f>
        <v>4</v>
      </c>
      <c r="N33" s="125" t="n">
        <f aca="false">M33+$N$7</f>
        <v>4</v>
      </c>
      <c r="O33" s="126" t="n">
        <v>-0.04</v>
      </c>
      <c r="P33" s="114"/>
      <c r="Q33" s="126" t="n">
        <f aca="false">M33+J33+G33</f>
        <v>11</v>
      </c>
      <c r="R33" s="126" t="n">
        <f aca="false">N33+K33+H33</f>
        <v>11</v>
      </c>
      <c r="S33" s="126" t="n">
        <f aca="false">O33+L33+I33</f>
        <v>6.96</v>
      </c>
      <c r="T33" s="127"/>
      <c r="U33" s="5" t="n">
        <f aca="false">A34-A33</f>
        <v>31</v>
      </c>
      <c r="V33" s="128" t="n">
        <f aca="false">CHOOSE(F$3,A34+24,A33)</f>
        <v>37987</v>
      </c>
      <c r="W33" s="5" t="n">
        <f aca="false">V33-C$3</f>
        <v>756</v>
      </c>
      <c r="X33" s="124" t="n">
        <f aca="false">VLOOKUP($A33,Table,MATCH(X$4,Curves,0))</f>
        <v>2</v>
      </c>
      <c r="Y33" s="129" t="n">
        <f aca="false">1/(1+CHOOSE(F$3,(X34+($K$3/10000))/2,(X33+($K$3/10000))/2))^(2*W33/365.25)</f>
        <v>0.0567344803807429</v>
      </c>
      <c r="Z33" s="5" t="n">
        <f aca="false">IF(AND(mthbeg&lt;=A33,mthend&gt;=A33),1,0)</f>
        <v>0</v>
      </c>
      <c r="AA33" s="5" t="n">
        <f aca="false">U33*Z33</f>
        <v>0</v>
      </c>
      <c r="AC33" s="115" t="n">
        <f aca="false">IF(G26=2,F33*(S33-Q33),F33*(Q33-S33))</f>
        <v>0</v>
      </c>
      <c r="AE33" s="116" t="n">
        <f aca="false">IF($G$3=1,F33*(R33-Q33),F33*(Q33-R33))</f>
        <v>0</v>
      </c>
      <c r="AG33" s="116" t="n">
        <f aca="false">AC33+AE33</f>
        <v>0</v>
      </c>
    </row>
    <row r="34" customFormat="false" ht="12.75" hidden="false" customHeight="false" outlineLevel="0" collapsed="false">
      <c r="A34" s="120" t="n">
        <f aca="false">EDATE(A33,1)</f>
        <v>38018</v>
      </c>
      <c r="B34" s="121" t="e">
        <f aca="false">VLOOKUP(A34,'Inputs-Summary'!$A$32:$E$41,5,FALSE())</f>
        <v>#N/A</v>
      </c>
      <c r="C34" s="122"/>
      <c r="D34" s="123" t="e">
        <f aca="false">B34+C34</f>
        <v>#N/A</v>
      </c>
      <c r="E34" s="111" t="n">
        <f aca="false">IF(Z34=0,0,IF(AND(Z34=1,$H$3=1),D34*U34,IF($H$3=2,D34,"N/A")))</f>
        <v>0</v>
      </c>
      <c r="F34" s="111" t="n">
        <f aca="false">E34*Y34</f>
        <v>0</v>
      </c>
      <c r="G34" s="124" t="n">
        <f aca="false">VLOOKUP($A34,Table,MATCH(G$4,Curves,0))</f>
        <v>3</v>
      </c>
      <c r="H34" s="125" t="n">
        <f aca="false">G34+$H$7</f>
        <v>3</v>
      </c>
      <c r="I34" s="124" t="n">
        <f aca="false">H34</f>
        <v>3</v>
      </c>
      <c r="J34" s="124" t="n">
        <f aca="false">VLOOKUP($A34,Table,MATCH(J$4,Curves,0))</f>
        <v>4</v>
      </c>
      <c r="K34" s="125" t="n">
        <f aca="false">J34+$K$7</f>
        <v>4</v>
      </c>
      <c r="L34" s="126" t="n">
        <f aca="false">K34</f>
        <v>4</v>
      </c>
      <c r="M34" s="124" t="n">
        <f aca="false">VLOOKUP($A34,Table,MATCH(M$4,Curves,0))</f>
        <v>4</v>
      </c>
      <c r="N34" s="125" t="n">
        <f aca="false">M34+$N$7</f>
        <v>4</v>
      </c>
      <c r="O34" s="126" t="n">
        <v>-0.04</v>
      </c>
      <c r="P34" s="114"/>
      <c r="Q34" s="126" t="n">
        <f aca="false">M34+J34+G34</f>
        <v>11</v>
      </c>
      <c r="R34" s="126" t="n">
        <f aca="false">N34+K34+H34</f>
        <v>11</v>
      </c>
      <c r="S34" s="126" t="n">
        <f aca="false">O34+L34+I34</f>
        <v>6.96</v>
      </c>
      <c r="T34" s="127"/>
      <c r="U34" s="5" t="n">
        <f aca="false">A35-A34</f>
        <v>29</v>
      </c>
      <c r="V34" s="128" t="n">
        <f aca="false">CHOOSE(F$3,A35+24,A34)</f>
        <v>38018</v>
      </c>
      <c r="W34" s="5" t="n">
        <f aca="false">V34-C$3</f>
        <v>787</v>
      </c>
      <c r="X34" s="124" t="n">
        <f aca="false">VLOOKUP($A34,Table,MATCH(X$4,Curves,0))</f>
        <v>2</v>
      </c>
      <c r="Y34" s="129" t="n">
        <f aca="false">1/(1+CHOOSE(F$3,(X35+($K$3/10000))/2,(X34+($K$3/10000))/2))^(2*W34/365.25)</f>
        <v>0.0504368805870252</v>
      </c>
      <c r="Z34" s="5" t="n">
        <f aca="false">IF(AND(mthbeg&lt;=A34,mthend&gt;=A34),1,0)</f>
        <v>0</v>
      </c>
      <c r="AA34" s="5" t="n">
        <f aca="false">U34*Z34</f>
        <v>0</v>
      </c>
      <c r="AC34" s="115" t="n">
        <f aca="false">IF(G27=2,F34*(S34-Q34),F34*(Q34-S34))</f>
        <v>0</v>
      </c>
      <c r="AE34" s="116" t="n">
        <f aca="false">IF($G$3=1,F34*(R34-Q34),F34*(Q34-R34))</f>
        <v>0</v>
      </c>
      <c r="AG34" s="116" t="n">
        <f aca="false">AC34+AE34</f>
        <v>0</v>
      </c>
    </row>
    <row r="35" customFormat="false" ht="12.75" hidden="false" customHeight="false" outlineLevel="0" collapsed="false">
      <c r="A35" s="120" t="n">
        <f aca="false">EDATE(A34,1)</f>
        <v>38047</v>
      </c>
      <c r="B35" s="121" t="e">
        <f aca="false">VLOOKUP(A35,'Inputs-Summary'!$A$32:$E$41,5,FALSE())</f>
        <v>#N/A</v>
      </c>
      <c r="C35" s="122"/>
      <c r="D35" s="123" t="e">
        <f aca="false">B35+C35</f>
        <v>#N/A</v>
      </c>
      <c r="E35" s="111" t="n">
        <f aca="false">IF(Z35=0,0,IF(AND(Z35=1,$H$3=1),D35*U35,IF($H$3=2,D35,"N/A")))</f>
        <v>0</v>
      </c>
      <c r="F35" s="111" t="n">
        <f aca="false">E35*Y35</f>
        <v>0</v>
      </c>
      <c r="G35" s="124" t="n">
        <f aca="false">VLOOKUP($A35,Table,MATCH(G$4,Curves,0))</f>
        <v>3</v>
      </c>
      <c r="H35" s="125" t="n">
        <f aca="false">G35+$H$7</f>
        <v>3</v>
      </c>
      <c r="I35" s="124" t="n">
        <f aca="false">H35</f>
        <v>3</v>
      </c>
      <c r="J35" s="124" t="n">
        <f aca="false">VLOOKUP($A35,Table,MATCH(J$4,Curves,0))</f>
        <v>4</v>
      </c>
      <c r="K35" s="125" t="n">
        <f aca="false">J35+$K$7</f>
        <v>4</v>
      </c>
      <c r="L35" s="126" t="n">
        <f aca="false">K35</f>
        <v>4</v>
      </c>
      <c r="M35" s="124" t="n">
        <f aca="false">VLOOKUP($A35,Table,MATCH(M$4,Curves,0))</f>
        <v>4</v>
      </c>
      <c r="N35" s="125" t="n">
        <f aca="false">M35+$N$7</f>
        <v>4</v>
      </c>
      <c r="O35" s="126" t="n">
        <v>-0.04</v>
      </c>
      <c r="P35" s="114"/>
      <c r="Q35" s="126" t="n">
        <f aca="false">M35+J35+G35</f>
        <v>11</v>
      </c>
      <c r="R35" s="126" t="n">
        <f aca="false">N35+K35+H35</f>
        <v>11</v>
      </c>
      <c r="S35" s="126" t="n">
        <f aca="false">O35+L35+I35</f>
        <v>6.96</v>
      </c>
      <c r="T35" s="127"/>
      <c r="U35" s="5" t="n">
        <f aca="false">A36-A35</f>
        <v>31</v>
      </c>
      <c r="V35" s="128" t="n">
        <f aca="false">CHOOSE(F$3,A36+24,A35)</f>
        <v>38047</v>
      </c>
      <c r="W35" s="5" t="n">
        <f aca="false">V35-C$3</f>
        <v>816</v>
      </c>
      <c r="X35" s="124" t="n">
        <f aca="false">VLOOKUP($A35,Table,MATCH(X$4,Curves,0))</f>
        <v>2</v>
      </c>
      <c r="Y35" s="129" t="n">
        <f aca="false">1/(1+CHOOSE(F$3,(X36+($K$3/10000))/2,(X35+($K$3/10000))/2))^(2*W35/365.25)</f>
        <v>0.0451799822888358</v>
      </c>
      <c r="Z35" s="5" t="n">
        <f aca="false">IF(AND(mthbeg&lt;=A35,mthend&gt;=A35),1,0)</f>
        <v>0</v>
      </c>
      <c r="AA35" s="5" t="n">
        <f aca="false">U35*Z35</f>
        <v>0</v>
      </c>
      <c r="AC35" s="115" t="n">
        <f aca="false">IF(G28=2,F35*(S35-Q35),F35*(Q35-S35))</f>
        <v>0</v>
      </c>
      <c r="AE35" s="116" t="n">
        <f aca="false">IF($G$3=1,F35*(R35-Q35),F35*(Q35-R35))</f>
        <v>0</v>
      </c>
      <c r="AG35" s="116" t="n">
        <f aca="false">AC35+AE35</f>
        <v>0</v>
      </c>
    </row>
    <row r="36" customFormat="false" ht="12.75" hidden="false" customHeight="false" outlineLevel="0" collapsed="false">
      <c r="A36" s="120" t="n">
        <f aca="false">EDATE(A35,1)</f>
        <v>38078</v>
      </c>
      <c r="B36" s="121" t="e">
        <f aca="false">VLOOKUP(A36,'Inputs-Summary'!$A$32:$E$41,5,FALSE())</f>
        <v>#N/A</v>
      </c>
      <c r="C36" s="122"/>
      <c r="D36" s="123" t="e">
        <f aca="false">B36+C36</f>
        <v>#N/A</v>
      </c>
      <c r="E36" s="111" t="n">
        <f aca="false">IF(Z36=0,0,IF(AND(Z36=1,$H$3=1),D36*U36,IF($H$3=2,D36,"N/A")))</f>
        <v>0</v>
      </c>
      <c r="F36" s="111" t="n">
        <f aca="false">E36*Y36</f>
        <v>0</v>
      </c>
      <c r="G36" s="124" t="n">
        <f aca="false">VLOOKUP($A36,Table,MATCH(G$4,Curves,0))</f>
        <v>3</v>
      </c>
      <c r="H36" s="125" t="n">
        <f aca="false">G36+$H$7</f>
        <v>3</v>
      </c>
      <c r="I36" s="124" t="n">
        <f aca="false">H36</f>
        <v>3</v>
      </c>
      <c r="J36" s="124" t="n">
        <f aca="false">VLOOKUP($A36,Table,MATCH(J$4,Curves,0))</f>
        <v>4</v>
      </c>
      <c r="K36" s="125" t="n">
        <f aca="false">J36+$K$7</f>
        <v>4</v>
      </c>
      <c r="L36" s="126" t="n">
        <f aca="false">K36</f>
        <v>4</v>
      </c>
      <c r="M36" s="124" t="n">
        <f aca="false">VLOOKUP($A36,Table,MATCH(M$4,Curves,0))</f>
        <v>4</v>
      </c>
      <c r="N36" s="125" t="n">
        <f aca="false">M36+$N$7</f>
        <v>4</v>
      </c>
      <c r="O36" s="126" t="n">
        <v>-0.04</v>
      </c>
      <c r="P36" s="114"/>
      <c r="Q36" s="126" t="n">
        <f aca="false">M36+J36+G36</f>
        <v>11</v>
      </c>
      <c r="R36" s="126" t="n">
        <f aca="false">N36+K36+H36</f>
        <v>11</v>
      </c>
      <c r="S36" s="126" t="n">
        <f aca="false">O36+L36+I36</f>
        <v>6.96</v>
      </c>
      <c r="T36" s="127"/>
      <c r="U36" s="5" t="n">
        <f aca="false">A37-A36</f>
        <v>30</v>
      </c>
      <c r="V36" s="128" t="n">
        <f aca="false">CHOOSE(F$3,A37+24,A36)</f>
        <v>38078</v>
      </c>
      <c r="W36" s="5" t="n">
        <f aca="false">V36-C$3</f>
        <v>847</v>
      </c>
      <c r="X36" s="124" t="n">
        <f aca="false">VLOOKUP($A36,Table,MATCH(X$4,Curves,0))</f>
        <v>2</v>
      </c>
      <c r="Y36" s="129" t="n">
        <f aca="false">1/(1+CHOOSE(F$3,(X37+($K$3/10000))/2,(X36+($K$3/10000))/2))^(2*W36/365.25)</f>
        <v>0.0401649465427973</v>
      </c>
      <c r="Z36" s="5" t="n">
        <f aca="false">IF(AND(mthbeg&lt;=A36,mthend&gt;=A36),1,0)</f>
        <v>0</v>
      </c>
      <c r="AA36" s="5" t="n">
        <f aca="false">U36*Z36</f>
        <v>0</v>
      </c>
      <c r="AC36" s="115" t="n">
        <f aca="false">IF(G29=2,F36*(S36-Q36),F36*(Q36-S36))</f>
        <v>0</v>
      </c>
      <c r="AE36" s="116" t="n">
        <f aca="false">IF($G$3=1,F36*(R36-Q36),F36*(Q36-R36))</f>
        <v>0</v>
      </c>
      <c r="AG36" s="116" t="n">
        <f aca="false">AC36+AE36</f>
        <v>0</v>
      </c>
    </row>
    <row r="37" customFormat="false" ht="12.75" hidden="false" customHeight="false" outlineLevel="0" collapsed="false">
      <c r="A37" s="120" t="n">
        <f aca="false">EDATE(A36,1)</f>
        <v>38108</v>
      </c>
      <c r="B37" s="121" t="e">
        <f aca="false">VLOOKUP(A37,'Inputs-Summary'!$A$32:$E$41,5,FALSE())</f>
        <v>#N/A</v>
      </c>
      <c r="C37" s="122"/>
      <c r="D37" s="123" t="e">
        <f aca="false">B37+C37</f>
        <v>#N/A</v>
      </c>
      <c r="E37" s="111" t="n">
        <f aca="false">IF(Z37=0,0,IF(AND(Z37=1,$H$3=1),D37*U37,IF($H$3=2,D37,"N/A")))</f>
        <v>0</v>
      </c>
      <c r="F37" s="111" t="n">
        <f aca="false">E37*Y37</f>
        <v>0</v>
      </c>
      <c r="G37" s="124" t="n">
        <f aca="false">VLOOKUP($A37,Table,MATCH(G$4,Curves,0))</f>
        <v>3</v>
      </c>
      <c r="H37" s="125" t="n">
        <f aca="false">G37+$H$7</f>
        <v>3</v>
      </c>
      <c r="I37" s="124" t="n">
        <f aca="false">H37</f>
        <v>3</v>
      </c>
      <c r="J37" s="124" t="n">
        <f aca="false">VLOOKUP($A37,Table,MATCH(J$4,Curves,0))</f>
        <v>4</v>
      </c>
      <c r="K37" s="125" t="n">
        <f aca="false">J37+$K$7</f>
        <v>4</v>
      </c>
      <c r="L37" s="126" t="n">
        <f aca="false">K37</f>
        <v>4</v>
      </c>
      <c r="M37" s="124" t="n">
        <f aca="false">VLOOKUP($A37,Table,MATCH(M$4,Curves,0))</f>
        <v>4</v>
      </c>
      <c r="N37" s="125" t="n">
        <f aca="false">M37+$N$7</f>
        <v>4</v>
      </c>
      <c r="O37" s="126" t="n">
        <v>-0.04</v>
      </c>
      <c r="P37" s="114"/>
      <c r="Q37" s="126" t="n">
        <f aca="false">M37+J37+G37</f>
        <v>11</v>
      </c>
      <c r="R37" s="126" t="n">
        <f aca="false">N37+K37+H37</f>
        <v>11</v>
      </c>
      <c r="S37" s="126" t="n">
        <f aca="false">O37+L37+I37</f>
        <v>6.96</v>
      </c>
      <c r="T37" s="127"/>
      <c r="U37" s="5" t="n">
        <f aca="false">A38-A37</f>
        <v>31</v>
      </c>
      <c r="V37" s="128" t="n">
        <f aca="false">CHOOSE(F$3,A38+24,A37)</f>
        <v>38108</v>
      </c>
      <c r="W37" s="5" t="n">
        <f aca="false">V37-C$3</f>
        <v>877</v>
      </c>
      <c r="X37" s="124" t="n">
        <f aca="false">VLOOKUP($A37,Table,MATCH(X$4,Curves,0))</f>
        <v>2</v>
      </c>
      <c r="Y37" s="129" t="n">
        <f aca="false">1/(1+CHOOSE(F$3,(X38+($K$3/10000))/2,(X37+($K$3/10000))/2))^(2*W37/365.25)</f>
        <v>0.0358423668565784</v>
      </c>
      <c r="Z37" s="5" t="n">
        <f aca="false">IF(AND(mthbeg&lt;=A37,mthend&gt;=A37),1,0)</f>
        <v>0</v>
      </c>
      <c r="AA37" s="5" t="n">
        <f aca="false">U37*Z37</f>
        <v>0</v>
      </c>
      <c r="AC37" s="115" t="n">
        <f aca="false">IF(G30=2,F37*(S37-Q37),F37*(Q37-S37))</f>
        <v>0</v>
      </c>
      <c r="AE37" s="116" t="n">
        <f aca="false">IF($G$3=1,F37*(R37-Q37),F37*(Q37-R37))</f>
        <v>0</v>
      </c>
      <c r="AG37" s="116" t="n">
        <f aca="false">AC37+AE37</f>
        <v>0</v>
      </c>
    </row>
    <row r="38" customFormat="false" ht="12.75" hidden="false" customHeight="false" outlineLevel="0" collapsed="false">
      <c r="A38" s="120" t="n">
        <f aca="false">EDATE(A37,1)</f>
        <v>38139</v>
      </c>
      <c r="B38" s="121" t="e">
        <f aca="false">VLOOKUP(A38,'Inputs-Summary'!$A$32:$E$41,5,FALSE())</f>
        <v>#N/A</v>
      </c>
      <c r="C38" s="122"/>
      <c r="D38" s="123" t="e">
        <f aca="false">B38+C38</f>
        <v>#N/A</v>
      </c>
      <c r="E38" s="111" t="n">
        <f aca="false">IF(Z38=0,0,IF(AND(Z38=1,$H$3=1),D38*U38,IF($H$3=2,D38,"N/A")))</f>
        <v>0</v>
      </c>
      <c r="F38" s="111" t="n">
        <f aca="false">E38*Y38</f>
        <v>0</v>
      </c>
      <c r="G38" s="124" t="n">
        <f aca="false">VLOOKUP($A38,Table,MATCH(G$4,Curves,0))</f>
        <v>3</v>
      </c>
      <c r="H38" s="125" t="n">
        <f aca="false">G38+$H$7</f>
        <v>3</v>
      </c>
      <c r="I38" s="124" t="n">
        <f aca="false">H38</f>
        <v>3</v>
      </c>
      <c r="J38" s="124" t="n">
        <f aca="false">VLOOKUP($A38,Table,MATCH(J$4,Curves,0))</f>
        <v>4</v>
      </c>
      <c r="K38" s="125" t="n">
        <f aca="false">J38+$K$7</f>
        <v>4</v>
      </c>
      <c r="L38" s="126" t="n">
        <f aca="false">K38</f>
        <v>4</v>
      </c>
      <c r="M38" s="124" t="n">
        <f aca="false">VLOOKUP($A38,Table,MATCH(M$4,Curves,0))</f>
        <v>4</v>
      </c>
      <c r="N38" s="125" t="n">
        <f aca="false">M38+$N$7</f>
        <v>4</v>
      </c>
      <c r="O38" s="126" t="n">
        <v>-0.04</v>
      </c>
      <c r="P38" s="114"/>
      <c r="Q38" s="126" t="n">
        <f aca="false">M38+J38+G38</f>
        <v>11</v>
      </c>
      <c r="R38" s="126" t="n">
        <f aca="false">N38+K38+H38</f>
        <v>11</v>
      </c>
      <c r="S38" s="126" t="n">
        <f aca="false">O38+L38+I38</f>
        <v>6.96</v>
      </c>
      <c r="T38" s="127"/>
      <c r="U38" s="5" t="n">
        <f aca="false">A39-A38</f>
        <v>30</v>
      </c>
      <c r="V38" s="128" t="n">
        <f aca="false">CHOOSE(F$3,A39+24,A38)</f>
        <v>38139</v>
      </c>
      <c r="W38" s="5" t="n">
        <f aca="false">V38-C$3</f>
        <v>908</v>
      </c>
      <c r="X38" s="124" t="n">
        <f aca="false">VLOOKUP($A38,Table,MATCH(X$4,Curves,0))</f>
        <v>2</v>
      </c>
      <c r="Y38" s="129" t="n">
        <f aca="false">1/(1+CHOOSE(F$3,(X39+($K$3/10000))/2,(X38+($K$3/10000))/2))^(2*W38/365.25)</f>
        <v>0.031863818351198</v>
      </c>
      <c r="Z38" s="5" t="n">
        <f aca="false">IF(AND(mthbeg&lt;=A38,mthend&gt;=A38),1,0)</f>
        <v>0</v>
      </c>
      <c r="AA38" s="5" t="n">
        <f aca="false">U38*Z38</f>
        <v>0</v>
      </c>
      <c r="AC38" s="115" t="n">
        <f aca="false">IF(G31=2,F38*(S38-Q38),F38*(Q38-S38))</f>
        <v>0</v>
      </c>
      <c r="AE38" s="116" t="n">
        <f aca="false">IF($G$3=1,F38*(R38-Q38),F38*(Q38-R38))</f>
        <v>0</v>
      </c>
      <c r="AG38" s="116" t="n">
        <f aca="false">AC38+AE38</f>
        <v>0</v>
      </c>
    </row>
    <row r="39" customFormat="false" ht="12.75" hidden="false" customHeight="false" outlineLevel="0" collapsed="false">
      <c r="A39" s="120" t="n">
        <f aca="false">EDATE(A38,1)</f>
        <v>38169</v>
      </c>
      <c r="B39" s="121" t="e">
        <f aca="false">VLOOKUP(A39,'Inputs-Summary'!$A$32:$E$41,5,FALSE())</f>
        <v>#N/A</v>
      </c>
      <c r="C39" s="122"/>
      <c r="D39" s="123" t="e">
        <f aca="false">B39+C39</f>
        <v>#N/A</v>
      </c>
      <c r="E39" s="111" t="n">
        <f aca="false">IF(Z39=0,0,IF(AND(Z39=1,$H$3=1),D39*U39,IF($H$3=2,D39,"N/A")))</f>
        <v>0</v>
      </c>
      <c r="F39" s="111" t="n">
        <f aca="false">E39*Y39</f>
        <v>0</v>
      </c>
      <c r="G39" s="124" t="n">
        <f aca="false">VLOOKUP($A39,Table,MATCH(G$4,Curves,0))</f>
        <v>3</v>
      </c>
      <c r="H39" s="125" t="n">
        <f aca="false">G39+$H$7</f>
        <v>3</v>
      </c>
      <c r="I39" s="124" t="n">
        <f aca="false">H39</f>
        <v>3</v>
      </c>
      <c r="J39" s="124" t="n">
        <f aca="false">VLOOKUP($A39,Table,MATCH(J$4,Curves,0))</f>
        <v>4</v>
      </c>
      <c r="K39" s="125" t="n">
        <f aca="false">J39+$K$7</f>
        <v>4</v>
      </c>
      <c r="L39" s="126" t="n">
        <f aca="false">K39</f>
        <v>4</v>
      </c>
      <c r="M39" s="124" t="n">
        <f aca="false">VLOOKUP($A39,Table,MATCH(M$4,Curves,0))</f>
        <v>4</v>
      </c>
      <c r="N39" s="125" t="n">
        <f aca="false">M39+$N$7</f>
        <v>4</v>
      </c>
      <c r="O39" s="126" t="n">
        <v>-0.04</v>
      </c>
      <c r="P39" s="114"/>
      <c r="Q39" s="126" t="n">
        <f aca="false">M39+J39+G39</f>
        <v>11</v>
      </c>
      <c r="R39" s="126" t="n">
        <f aca="false">N39+K39+H39</f>
        <v>11</v>
      </c>
      <c r="S39" s="126" t="n">
        <f aca="false">O39+L39+I39</f>
        <v>6.96</v>
      </c>
      <c r="T39" s="127"/>
      <c r="U39" s="5" t="n">
        <f aca="false">A40-A39</f>
        <v>31</v>
      </c>
      <c r="V39" s="128" t="n">
        <f aca="false">CHOOSE(F$3,A40+24,A39)</f>
        <v>38169</v>
      </c>
      <c r="W39" s="5" t="n">
        <f aca="false">V39-C$3</f>
        <v>938</v>
      </c>
      <c r="X39" s="124" t="n">
        <f aca="false">VLOOKUP($A39,Table,MATCH(X$4,Curves,0))</f>
        <v>2</v>
      </c>
      <c r="Y39" s="129" t="n">
        <f aca="false">1/(1+CHOOSE(F$3,(X40+($K$3/10000))/2,(X39+($K$3/10000))/2))^(2*W39/365.25)</f>
        <v>0.0284346118966718</v>
      </c>
      <c r="Z39" s="5" t="n">
        <f aca="false">IF(AND(mthbeg&lt;=A39,mthend&gt;=A39),1,0)</f>
        <v>0</v>
      </c>
      <c r="AA39" s="5" t="n">
        <f aca="false">U39*Z39</f>
        <v>0</v>
      </c>
      <c r="AC39" s="115" t="n">
        <f aca="false">IF(G32=2,F39*(S39-Q39),F39*(Q39-S39))</f>
        <v>0</v>
      </c>
      <c r="AE39" s="116" t="n">
        <f aca="false">IF($G$3=1,F39*(R39-Q39),F39*(Q39-R39))</f>
        <v>0</v>
      </c>
      <c r="AG39" s="116" t="n">
        <f aca="false">AC39+AE39</f>
        <v>0</v>
      </c>
    </row>
    <row r="40" customFormat="false" ht="12.75" hidden="false" customHeight="false" outlineLevel="0" collapsed="false">
      <c r="A40" s="120" t="n">
        <f aca="false">EDATE(A39,1)</f>
        <v>38200</v>
      </c>
      <c r="B40" s="121" t="e">
        <f aca="false">VLOOKUP(A40,'Inputs-Summary'!$A$32:$E$41,5,FALSE())</f>
        <v>#N/A</v>
      </c>
      <c r="C40" s="122"/>
      <c r="D40" s="123" t="e">
        <f aca="false">B40+C40</f>
        <v>#N/A</v>
      </c>
      <c r="E40" s="111" t="n">
        <f aca="false">IF(Z40=0,0,IF(AND(Z40=1,$H$3=1),D40*U40,IF($H$3=2,D40,"N/A")))</f>
        <v>0</v>
      </c>
      <c r="F40" s="111" t="n">
        <f aca="false">E40*Y40</f>
        <v>0</v>
      </c>
      <c r="G40" s="124" t="n">
        <f aca="false">VLOOKUP($A40,Table,MATCH(G$4,Curves,0))</f>
        <v>3</v>
      </c>
      <c r="H40" s="125" t="n">
        <f aca="false">G40+$H$7</f>
        <v>3</v>
      </c>
      <c r="I40" s="124" t="n">
        <f aca="false">H40</f>
        <v>3</v>
      </c>
      <c r="J40" s="124" t="n">
        <f aca="false">VLOOKUP($A40,Table,MATCH(J$4,Curves,0))</f>
        <v>4</v>
      </c>
      <c r="K40" s="125" t="n">
        <f aca="false">J40+$K$7</f>
        <v>4</v>
      </c>
      <c r="L40" s="126" t="n">
        <f aca="false">K40</f>
        <v>4</v>
      </c>
      <c r="M40" s="124" t="n">
        <f aca="false">VLOOKUP($A40,Table,MATCH(M$4,Curves,0))</f>
        <v>4</v>
      </c>
      <c r="N40" s="125" t="n">
        <f aca="false">M40+$N$7</f>
        <v>4</v>
      </c>
      <c r="O40" s="126" t="n">
        <v>-0.04</v>
      </c>
      <c r="P40" s="114"/>
      <c r="Q40" s="126" t="n">
        <f aca="false">M40+J40+G40</f>
        <v>11</v>
      </c>
      <c r="R40" s="126" t="n">
        <f aca="false">N40+K40+H40</f>
        <v>11</v>
      </c>
      <c r="S40" s="126" t="n">
        <f aca="false">O40+L40+I40</f>
        <v>6.96</v>
      </c>
      <c r="T40" s="127"/>
      <c r="U40" s="5" t="n">
        <f aca="false">A41-A40</f>
        <v>31</v>
      </c>
      <c r="V40" s="128" t="n">
        <f aca="false">CHOOSE(F$3,A41+24,A40)</f>
        <v>38200</v>
      </c>
      <c r="W40" s="5" t="n">
        <f aca="false">V40-C$3</f>
        <v>969</v>
      </c>
      <c r="X40" s="124" t="n">
        <f aca="false">VLOOKUP($A40,Table,MATCH(X$4,Curves,0))</f>
        <v>2</v>
      </c>
      <c r="Y40" s="129" t="n">
        <f aca="false">1/(1+CHOOSE(F$3,(X41+($K$3/10000))/2,(X40+($K$3/10000))/2))^(2*W40/365.25)</f>
        <v>0.0252783336543544</v>
      </c>
      <c r="Z40" s="5" t="n">
        <f aca="false">IF(AND(mthbeg&lt;=A40,mthend&gt;=A40),1,0)</f>
        <v>0</v>
      </c>
      <c r="AA40" s="5" t="n">
        <f aca="false">U40*Z40</f>
        <v>0</v>
      </c>
      <c r="AC40" s="115" t="n">
        <f aca="false">IF(G33=2,F40*(S40-Q40),F40*(Q40-S40))</f>
        <v>0</v>
      </c>
      <c r="AE40" s="116" t="n">
        <f aca="false">IF($G$3=1,F40*(R40-Q40),F40*(Q40-R40))</f>
        <v>0</v>
      </c>
      <c r="AG40" s="116" t="n">
        <f aca="false">AC40+AE40</f>
        <v>0</v>
      </c>
    </row>
    <row r="41" customFormat="false" ht="12.75" hidden="false" customHeight="false" outlineLevel="0" collapsed="false">
      <c r="A41" s="120" t="n">
        <f aca="false">EDATE(A40,1)</f>
        <v>38231</v>
      </c>
      <c r="B41" s="121" t="e">
        <f aca="false">VLOOKUP(A41,'Inputs-Summary'!$A$32:$E$41,5,FALSE())</f>
        <v>#N/A</v>
      </c>
      <c r="C41" s="122"/>
      <c r="D41" s="123" t="e">
        <f aca="false">B41+C41</f>
        <v>#N/A</v>
      </c>
      <c r="E41" s="111" t="n">
        <f aca="false">IF(Z41=0,0,IF(AND(Z41=1,$H$3=1),D41*U41,IF($H$3=2,D41,"N/A")))</f>
        <v>0</v>
      </c>
      <c r="F41" s="111" t="n">
        <f aca="false">E41*Y41</f>
        <v>0</v>
      </c>
      <c r="G41" s="124" t="n">
        <f aca="false">VLOOKUP($A41,Table,MATCH(G$4,Curves,0))</f>
        <v>3</v>
      </c>
      <c r="H41" s="125" t="n">
        <f aca="false">G41+$H$7</f>
        <v>3</v>
      </c>
      <c r="I41" s="124" t="n">
        <f aca="false">H41</f>
        <v>3</v>
      </c>
      <c r="J41" s="124" t="n">
        <f aca="false">VLOOKUP($A41,Table,MATCH(J$4,Curves,0))</f>
        <v>4</v>
      </c>
      <c r="K41" s="125" t="n">
        <f aca="false">J41+$K$7</f>
        <v>4</v>
      </c>
      <c r="L41" s="126" t="n">
        <f aca="false">K41</f>
        <v>4</v>
      </c>
      <c r="M41" s="124" t="n">
        <f aca="false">VLOOKUP($A41,Table,MATCH(M$4,Curves,0))</f>
        <v>4</v>
      </c>
      <c r="N41" s="125" t="n">
        <f aca="false">M41+$N$7</f>
        <v>4</v>
      </c>
      <c r="O41" s="126" t="n">
        <v>-0.04</v>
      </c>
      <c r="P41" s="114"/>
      <c r="Q41" s="126" t="n">
        <f aca="false">M41+J41+G41</f>
        <v>11</v>
      </c>
      <c r="R41" s="126" t="n">
        <f aca="false">N41+K41+H41</f>
        <v>11</v>
      </c>
      <c r="S41" s="126" t="n">
        <f aca="false">O41+L41+I41</f>
        <v>6.96</v>
      </c>
      <c r="T41" s="127"/>
      <c r="U41" s="5" t="n">
        <f aca="false">A42-A41</f>
        <v>30</v>
      </c>
      <c r="V41" s="128" t="n">
        <f aca="false">CHOOSE(F$3,A42+24,A41)</f>
        <v>38231</v>
      </c>
      <c r="W41" s="5" t="n">
        <f aca="false">V41-C$3</f>
        <v>1000</v>
      </c>
      <c r="X41" s="124" t="n">
        <f aca="false">VLOOKUP($A41,Table,MATCH(X$4,Curves,0))</f>
        <v>2</v>
      </c>
      <c r="Y41" s="129" t="n">
        <f aca="false">1/(1+CHOOSE(F$3,(X42+($K$3/10000))/2,(X41+($K$3/10000))/2))^(2*W41/365.25)</f>
        <v>0.022472406328699</v>
      </c>
      <c r="Z41" s="5" t="n">
        <f aca="false">IF(AND(mthbeg&lt;=A41,mthend&gt;=A41),1,0)</f>
        <v>0</v>
      </c>
      <c r="AA41" s="5" t="n">
        <f aca="false">U41*Z41</f>
        <v>0</v>
      </c>
      <c r="AC41" s="115" t="n">
        <f aca="false">IF(G34=2,F41*(S41-Q41),F41*(Q41-S41))</f>
        <v>0</v>
      </c>
      <c r="AE41" s="116" t="n">
        <f aca="false">IF($G$3=1,F41*(R41-Q41),F41*(Q41-R41))</f>
        <v>0</v>
      </c>
      <c r="AG41" s="116" t="n">
        <f aca="false">AC41+AE41</f>
        <v>0</v>
      </c>
    </row>
    <row r="42" customFormat="false" ht="12.75" hidden="false" customHeight="false" outlineLevel="0" collapsed="false">
      <c r="A42" s="120" t="n">
        <f aca="false">EDATE(A41,1)</f>
        <v>38261</v>
      </c>
      <c r="B42" s="121" t="e">
        <f aca="false">VLOOKUP(A42,'Inputs-Summary'!$A$32:$E$41,5,FALSE())</f>
        <v>#N/A</v>
      </c>
      <c r="C42" s="122"/>
      <c r="D42" s="123" t="e">
        <f aca="false">B42+C42</f>
        <v>#N/A</v>
      </c>
      <c r="E42" s="111" t="n">
        <f aca="false">IF(Z42=0,0,IF(AND(Z42=1,$H$3=1),D42*U42,IF($H$3=2,D42,"N/A")))</f>
        <v>0</v>
      </c>
      <c r="F42" s="111" t="n">
        <f aca="false">E42*Y42</f>
        <v>0</v>
      </c>
      <c r="G42" s="124" t="n">
        <f aca="false">VLOOKUP($A42,Table,MATCH(G$4,Curves,0))</f>
        <v>3</v>
      </c>
      <c r="H42" s="125" t="n">
        <f aca="false">G42+$H$7</f>
        <v>3</v>
      </c>
      <c r="I42" s="124" t="n">
        <f aca="false">H42</f>
        <v>3</v>
      </c>
      <c r="J42" s="124" t="n">
        <f aca="false">VLOOKUP($A42,Table,MATCH(J$4,Curves,0))</f>
        <v>4</v>
      </c>
      <c r="K42" s="125" t="n">
        <f aca="false">J42+$K$7</f>
        <v>4</v>
      </c>
      <c r="L42" s="126" t="n">
        <f aca="false">K42</f>
        <v>4</v>
      </c>
      <c r="M42" s="124" t="n">
        <f aca="false">VLOOKUP($A42,Table,MATCH(M$4,Curves,0))</f>
        <v>4</v>
      </c>
      <c r="N42" s="125" t="n">
        <f aca="false">M42+$N$7</f>
        <v>4</v>
      </c>
      <c r="O42" s="126" t="n">
        <v>-0.04</v>
      </c>
      <c r="P42" s="114"/>
      <c r="Q42" s="126" t="n">
        <f aca="false">M42+J42+G42</f>
        <v>11</v>
      </c>
      <c r="R42" s="126" t="n">
        <f aca="false">N42+K42+H42</f>
        <v>11</v>
      </c>
      <c r="S42" s="126" t="n">
        <f aca="false">O42+L42+I42</f>
        <v>6.96</v>
      </c>
      <c r="T42" s="127"/>
      <c r="U42" s="5" t="n">
        <f aca="false">A43-A42</f>
        <v>31</v>
      </c>
      <c r="V42" s="128" t="n">
        <f aca="false">CHOOSE(F$3,A43+24,A42)</f>
        <v>38261</v>
      </c>
      <c r="W42" s="5" t="n">
        <f aca="false">V42-C$3</f>
        <v>1030</v>
      </c>
      <c r="X42" s="124" t="n">
        <f aca="false">VLOOKUP($A42,Table,MATCH(X$4,Curves,0))</f>
        <v>2</v>
      </c>
      <c r="Y42" s="129" t="n">
        <f aca="false">1/(1+CHOOSE(F$3,(X43+($K$3/10000))/2,(X42+($K$3/10000))/2))^(2*W42/365.25)</f>
        <v>0.0200539102155923</v>
      </c>
      <c r="Z42" s="5" t="n">
        <f aca="false">IF(AND(mthbeg&lt;=A42,mthend&gt;=A42),1,0)</f>
        <v>0</v>
      </c>
      <c r="AA42" s="5" t="n">
        <f aca="false">U42*Z42</f>
        <v>0</v>
      </c>
      <c r="AC42" s="115" t="n">
        <f aca="false">IF(G35=2,F42*(S42-Q42),F42*(Q42-S42))</f>
        <v>0</v>
      </c>
      <c r="AE42" s="116" t="n">
        <f aca="false">IF($G$3=1,F42*(R42-Q42),F42*(Q42-R42))</f>
        <v>0</v>
      </c>
      <c r="AG42" s="116" t="n">
        <f aca="false">AC42+AE42</f>
        <v>0</v>
      </c>
    </row>
    <row r="43" customFormat="false" ht="12.75" hidden="false" customHeight="false" outlineLevel="0" collapsed="false">
      <c r="A43" s="120" t="n">
        <f aca="false">EDATE(A42,1)</f>
        <v>38292</v>
      </c>
      <c r="B43" s="121" t="e">
        <f aca="false">VLOOKUP(A43,'Inputs-Summary'!$A$32:$E$41,5,FALSE())</f>
        <v>#N/A</v>
      </c>
      <c r="C43" s="122"/>
      <c r="D43" s="123" t="e">
        <f aca="false">B43+C43</f>
        <v>#N/A</v>
      </c>
      <c r="E43" s="111" t="n">
        <f aca="false">IF(Z43=0,0,IF(AND(Z43=1,$H$3=1),D43*U43,IF($H$3=2,D43,"N/A")))</f>
        <v>0</v>
      </c>
      <c r="F43" s="111" t="n">
        <f aca="false">E43*Y43</f>
        <v>0</v>
      </c>
      <c r="G43" s="124" t="n">
        <f aca="false">VLOOKUP($A43,Table,MATCH(G$4,Curves,0))</f>
        <v>3</v>
      </c>
      <c r="H43" s="125" t="n">
        <f aca="false">G43+$H$7</f>
        <v>3</v>
      </c>
      <c r="I43" s="124" t="n">
        <f aca="false">H43</f>
        <v>3</v>
      </c>
      <c r="J43" s="124" t="n">
        <f aca="false">VLOOKUP($A43,Table,MATCH(J$4,Curves,0))</f>
        <v>4</v>
      </c>
      <c r="K43" s="125" t="n">
        <f aca="false">J43+$K$7</f>
        <v>4</v>
      </c>
      <c r="L43" s="126" t="n">
        <f aca="false">K43</f>
        <v>4</v>
      </c>
      <c r="M43" s="124" t="n">
        <f aca="false">VLOOKUP($A43,Table,MATCH(M$4,Curves,0))</f>
        <v>4</v>
      </c>
      <c r="N43" s="125" t="n">
        <f aca="false">M43+$N$7</f>
        <v>4</v>
      </c>
      <c r="O43" s="126" t="n">
        <v>-0.04</v>
      </c>
      <c r="P43" s="114"/>
      <c r="Q43" s="126" t="n">
        <f aca="false">M43+J43+G43</f>
        <v>11</v>
      </c>
      <c r="R43" s="126" t="n">
        <f aca="false">N43+K43+H43</f>
        <v>11</v>
      </c>
      <c r="S43" s="126" t="n">
        <f aca="false">O43+L43+I43</f>
        <v>6.96</v>
      </c>
      <c r="T43" s="127"/>
      <c r="U43" s="5" t="n">
        <f aca="false">A44-A43</f>
        <v>30</v>
      </c>
      <c r="V43" s="128" t="n">
        <f aca="false">CHOOSE(F$3,A44+24,A43)</f>
        <v>38292</v>
      </c>
      <c r="W43" s="5" t="n">
        <f aca="false">V43-C$3</f>
        <v>1061</v>
      </c>
      <c r="X43" s="124" t="n">
        <f aca="false">VLOOKUP($A43,Table,MATCH(X$4,Curves,0))</f>
        <v>2</v>
      </c>
      <c r="Y43" s="129" t="n">
        <f aca="false">1/(1+CHOOSE(F$3,(X44+($K$3/10000))/2,(X43+($K$3/10000))/2))^(2*W43/365.25)</f>
        <v>0.0178279005652102</v>
      </c>
      <c r="Z43" s="5" t="n">
        <f aca="false">IF(AND(mthbeg&lt;=A43,mthend&gt;=A43),1,0)</f>
        <v>0</v>
      </c>
      <c r="AA43" s="5" t="n">
        <f aca="false">U43*Z43</f>
        <v>0</v>
      </c>
      <c r="AC43" s="115" t="n">
        <f aca="false">IF(G36=2,F43*(S43-Q43),F43*(Q43-S43))</f>
        <v>0</v>
      </c>
      <c r="AE43" s="116" t="n">
        <f aca="false">IF($G$3=1,F43*(R43-Q43),F43*(Q43-R43))</f>
        <v>0</v>
      </c>
      <c r="AG43" s="116" t="n">
        <f aca="false">AC43+AE43</f>
        <v>0</v>
      </c>
    </row>
    <row r="44" customFormat="false" ht="12.75" hidden="false" customHeight="false" outlineLevel="0" collapsed="false">
      <c r="A44" s="120" t="n">
        <f aca="false">EDATE(A43,1)</f>
        <v>38322</v>
      </c>
      <c r="B44" s="121" t="e">
        <f aca="false">VLOOKUP(A44,'Inputs-Summary'!$A$32:$E$41,5,FALSE())</f>
        <v>#N/A</v>
      </c>
      <c r="C44" s="122"/>
      <c r="D44" s="123" t="e">
        <f aca="false">B44+C44</f>
        <v>#N/A</v>
      </c>
      <c r="E44" s="111" t="n">
        <f aca="false">IF(Z44=0,0,IF(AND(Z44=1,$H$3=1),D44*U44,IF($H$3=2,D44,"N/A")))</f>
        <v>0</v>
      </c>
      <c r="F44" s="111" t="n">
        <f aca="false">E44*Y44</f>
        <v>0</v>
      </c>
      <c r="G44" s="124" t="n">
        <f aca="false">VLOOKUP($A44,Table,MATCH(G$4,Curves,0))</f>
        <v>3</v>
      </c>
      <c r="H44" s="125" t="n">
        <f aca="false">G44+$H$7</f>
        <v>3</v>
      </c>
      <c r="I44" s="124" t="n">
        <f aca="false">H44</f>
        <v>3</v>
      </c>
      <c r="J44" s="124" t="n">
        <f aca="false">VLOOKUP($A44,Table,MATCH(J$4,Curves,0))</f>
        <v>4</v>
      </c>
      <c r="K44" s="125" t="n">
        <f aca="false">J44+$K$7</f>
        <v>4</v>
      </c>
      <c r="L44" s="126" t="n">
        <f aca="false">K44</f>
        <v>4</v>
      </c>
      <c r="M44" s="124" t="n">
        <f aca="false">VLOOKUP($A44,Table,MATCH(M$4,Curves,0))</f>
        <v>4</v>
      </c>
      <c r="N44" s="125" t="n">
        <f aca="false">M44+$N$7</f>
        <v>4</v>
      </c>
      <c r="O44" s="126" t="n">
        <v>-0.04</v>
      </c>
      <c r="P44" s="114"/>
      <c r="Q44" s="126" t="n">
        <f aca="false">M44+J44+G44</f>
        <v>11</v>
      </c>
      <c r="R44" s="126" t="n">
        <f aca="false">N44+K44+H44</f>
        <v>11</v>
      </c>
      <c r="S44" s="126" t="n">
        <f aca="false">O44+L44+I44</f>
        <v>6.96</v>
      </c>
      <c r="T44" s="127"/>
      <c r="U44" s="5" t="n">
        <f aca="false">A45-A44</f>
        <v>31</v>
      </c>
      <c r="V44" s="128" t="n">
        <f aca="false">CHOOSE(F$3,A45+24,A44)</f>
        <v>38322</v>
      </c>
      <c r="W44" s="5" t="n">
        <f aca="false">V44-C$3</f>
        <v>1091</v>
      </c>
      <c r="X44" s="124" t="n">
        <f aca="false">VLOOKUP($A44,Table,MATCH(X$4,Curves,0))</f>
        <v>2</v>
      </c>
      <c r="Y44" s="129" t="n">
        <f aca="false">1/(1+CHOOSE(F$3,(X45+($K$3/10000))/2,(X44+($K$3/10000))/2))^(2*W44/365.25)</f>
        <v>0.0159092494162788</v>
      </c>
      <c r="Z44" s="5" t="n">
        <f aca="false">IF(AND(mthbeg&lt;=A44,mthend&gt;=A44),1,0)</f>
        <v>0</v>
      </c>
      <c r="AA44" s="5" t="n">
        <f aca="false">U44*Z44</f>
        <v>0</v>
      </c>
      <c r="AC44" s="115" t="n">
        <f aca="false">IF(G37=2,F44*(S44-Q44),F44*(Q44-S44))</f>
        <v>0</v>
      </c>
      <c r="AE44" s="116" t="n">
        <f aca="false">IF($G$3=1,F44*(R44-Q44),F44*(Q44-R44))</f>
        <v>0</v>
      </c>
      <c r="AG44" s="116" t="n">
        <f aca="false">AC44+AE44</f>
        <v>0</v>
      </c>
    </row>
    <row r="45" customFormat="false" ht="12.75" hidden="false" customHeight="false" outlineLevel="0" collapsed="false">
      <c r="A45" s="120" t="n">
        <f aca="false">EDATE(A44,1)</f>
        <v>38353</v>
      </c>
      <c r="B45" s="121" t="e">
        <f aca="false">VLOOKUP(A45,'Inputs-Summary'!$A$32:$E$41,5,FALSE())</f>
        <v>#N/A</v>
      </c>
      <c r="C45" s="122"/>
      <c r="D45" s="123" t="e">
        <f aca="false">B45+C45</f>
        <v>#N/A</v>
      </c>
      <c r="E45" s="111" t="n">
        <f aca="false">IF(Z45=0,0,IF(AND(Z45=1,$H$3=1),D45*U45,IF($H$3=2,D45,"N/A")))</f>
        <v>0</v>
      </c>
      <c r="F45" s="111" t="n">
        <f aca="false">E45*Y45</f>
        <v>0</v>
      </c>
      <c r="G45" s="124" t="n">
        <f aca="false">VLOOKUP($A45,Table,MATCH(G$4,Curves,0))</f>
        <v>3</v>
      </c>
      <c r="H45" s="125" t="n">
        <f aca="false">G45+$H$7</f>
        <v>3</v>
      </c>
      <c r="I45" s="124" t="n">
        <f aca="false">H45</f>
        <v>3</v>
      </c>
      <c r="J45" s="124" t="n">
        <f aca="false">VLOOKUP($A45,Table,MATCH(J$4,Curves,0))</f>
        <v>4</v>
      </c>
      <c r="K45" s="125" t="n">
        <f aca="false">J45+$K$7</f>
        <v>4</v>
      </c>
      <c r="L45" s="126" t="n">
        <f aca="false">K45</f>
        <v>4</v>
      </c>
      <c r="M45" s="124" t="n">
        <f aca="false">VLOOKUP($A45,Table,MATCH(M$4,Curves,0))</f>
        <v>4</v>
      </c>
      <c r="N45" s="125" t="n">
        <f aca="false">M45+$N$7</f>
        <v>4</v>
      </c>
      <c r="O45" s="126" t="n">
        <v>-0.04</v>
      </c>
      <c r="P45" s="114"/>
      <c r="Q45" s="126" t="n">
        <f aca="false">M45+J45+G45</f>
        <v>11</v>
      </c>
      <c r="R45" s="126" t="n">
        <f aca="false">N45+K45+H45</f>
        <v>11</v>
      </c>
      <c r="S45" s="126" t="n">
        <f aca="false">O45+L45+I45</f>
        <v>6.96</v>
      </c>
      <c r="T45" s="127"/>
      <c r="U45" s="5" t="n">
        <f aca="false">A46-A45</f>
        <v>31</v>
      </c>
      <c r="V45" s="128" t="n">
        <f aca="false">CHOOSE(F$3,A46+24,A45)</f>
        <v>38353</v>
      </c>
      <c r="W45" s="5" t="n">
        <f aca="false">V45-C$3</f>
        <v>1122</v>
      </c>
      <c r="X45" s="124" t="n">
        <f aca="false">VLOOKUP($A45,Table,MATCH(X$4,Curves,0))</f>
        <v>2</v>
      </c>
      <c r="Y45" s="129" t="n">
        <f aca="false">1/(1+CHOOSE(F$3,(X46+($K$3/10000))/2,(X45+($K$3/10000))/2))^(2*W45/365.25)</f>
        <v>0.0141433024089247</v>
      </c>
      <c r="Z45" s="5" t="n">
        <f aca="false">IF(AND(mthbeg&lt;=A45,mthend&gt;=A45),1,0)</f>
        <v>0</v>
      </c>
      <c r="AA45" s="5" t="n">
        <f aca="false">U45*Z45</f>
        <v>0</v>
      </c>
      <c r="AC45" s="115" t="n">
        <f aca="false">IF(G38=2,F45*(S45-Q45),F45*(Q45-S45))</f>
        <v>0</v>
      </c>
      <c r="AE45" s="116" t="n">
        <f aca="false">IF($G$3=1,F45*(R45-Q45),F45*(Q45-R45))</f>
        <v>0</v>
      </c>
      <c r="AG45" s="116" t="n">
        <f aca="false">AC45+AE45</f>
        <v>0</v>
      </c>
    </row>
    <row r="46" customFormat="false" ht="12.75" hidden="false" customHeight="false" outlineLevel="0" collapsed="false">
      <c r="A46" s="120" t="n">
        <f aca="false">EDATE(A45,1)</f>
        <v>38384</v>
      </c>
      <c r="B46" s="121" t="e">
        <f aca="false">VLOOKUP(A46,'Inputs-Summary'!$A$32:$E$41,5,FALSE())</f>
        <v>#N/A</v>
      </c>
      <c r="C46" s="122"/>
      <c r="D46" s="123" t="e">
        <f aca="false">B46+C46</f>
        <v>#N/A</v>
      </c>
      <c r="E46" s="111" t="n">
        <f aca="false">IF(Z46=0,0,IF(AND(Z46=1,$H$3=1),D46*U46,IF($H$3=2,D46,"N/A")))</f>
        <v>0</v>
      </c>
      <c r="F46" s="111" t="n">
        <f aca="false">E46*Y46</f>
        <v>0</v>
      </c>
      <c r="G46" s="124" t="n">
        <f aca="false">VLOOKUP($A46,Table,MATCH(G$4,Curves,0))</f>
        <v>3</v>
      </c>
      <c r="H46" s="125" t="n">
        <f aca="false">G46+$H$7</f>
        <v>3</v>
      </c>
      <c r="I46" s="124" t="n">
        <f aca="false">H46</f>
        <v>3</v>
      </c>
      <c r="J46" s="124" t="n">
        <f aca="false">VLOOKUP($A46,Table,MATCH(J$4,Curves,0))</f>
        <v>4</v>
      </c>
      <c r="K46" s="125" t="n">
        <f aca="false">J46+$K$7</f>
        <v>4</v>
      </c>
      <c r="L46" s="126" t="n">
        <f aca="false">K46</f>
        <v>4</v>
      </c>
      <c r="M46" s="124" t="n">
        <f aca="false">VLOOKUP($A46,Table,MATCH(M$4,Curves,0))</f>
        <v>4</v>
      </c>
      <c r="N46" s="125" t="n">
        <f aca="false">M46+$N$7</f>
        <v>4</v>
      </c>
      <c r="O46" s="126" t="n">
        <v>-0.04</v>
      </c>
      <c r="P46" s="114"/>
      <c r="Q46" s="126" t="n">
        <f aca="false">M46+J46+G46</f>
        <v>11</v>
      </c>
      <c r="R46" s="126" t="n">
        <f aca="false">N46+K46+H46</f>
        <v>11</v>
      </c>
      <c r="S46" s="126" t="n">
        <f aca="false">O46+L46+I46</f>
        <v>6.96</v>
      </c>
      <c r="T46" s="127"/>
      <c r="U46" s="5" t="n">
        <f aca="false">A47-A46</f>
        <v>28</v>
      </c>
      <c r="V46" s="128" t="n">
        <f aca="false">CHOOSE(F$3,A47+24,A46)</f>
        <v>38384</v>
      </c>
      <c r="W46" s="5" t="n">
        <f aca="false">V46-C$3</f>
        <v>1153</v>
      </c>
      <c r="X46" s="124" t="n">
        <f aca="false">VLOOKUP($A46,Table,MATCH(X$4,Curves,0))</f>
        <v>2</v>
      </c>
      <c r="Y46" s="129" t="n">
        <f aca="false">1/(1+CHOOSE(F$3,(X47+($K$3/10000))/2,(X46+($K$3/10000))/2))^(2*W46/365.25)</f>
        <v>0.0125733777751713</v>
      </c>
      <c r="Z46" s="5" t="n">
        <f aca="false">IF(AND(mthbeg&lt;=A46,mthend&gt;=A46),1,0)</f>
        <v>0</v>
      </c>
      <c r="AA46" s="5" t="n">
        <f aca="false">U46*Z46</f>
        <v>0</v>
      </c>
      <c r="AC46" s="115" t="n">
        <f aca="false">IF(G39=2,F46*(S46-Q46),F46*(Q46-S46))</f>
        <v>0</v>
      </c>
      <c r="AE46" s="116" t="n">
        <f aca="false">IF($G$3=1,F46*(R46-Q46),F46*(Q46-R46))</f>
        <v>0</v>
      </c>
      <c r="AG46" s="116" t="n">
        <f aca="false">AC46+AE46</f>
        <v>0</v>
      </c>
    </row>
    <row r="47" customFormat="false" ht="12.75" hidden="false" customHeight="false" outlineLevel="0" collapsed="false">
      <c r="A47" s="120" t="n">
        <f aca="false">EDATE(A46,1)</f>
        <v>38412</v>
      </c>
      <c r="B47" s="121" t="e">
        <f aca="false">VLOOKUP(A47,'Inputs-Summary'!$A$32:$E$41,5,FALSE())</f>
        <v>#N/A</v>
      </c>
      <c r="C47" s="122"/>
      <c r="D47" s="123" t="e">
        <f aca="false">B47+C47</f>
        <v>#N/A</v>
      </c>
      <c r="E47" s="111" t="n">
        <f aca="false">IF(Z47=0,0,IF(AND(Z47=1,$H$3=1),D47*U47,IF($H$3=2,D47,"N/A")))</f>
        <v>0</v>
      </c>
      <c r="F47" s="111" t="n">
        <f aca="false">E47*Y47</f>
        <v>0</v>
      </c>
      <c r="G47" s="124" t="n">
        <f aca="false">VLOOKUP($A47,Table,MATCH(G$4,Curves,0))</f>
        <v>3</v>
      </c>
      <c r="H47" s="125" t="n">
        <f aca="false">G47+$H$7</f>
        <v>3</v>
      </c>
      <c r="I47" s="124" t="n">
        <f aca="false">H47</f>
        <v>3</v>
      </c>
      <c r="J47" s="124" t="n">
        <f aca="false">VLOOKUP($A47,Table,MATCH(J$4,Curves,0))</f>
        <v>4</v>
      </c>
      <c r="K47" s="125" t="n">
        <f aca="false">J47+$K$7</f>
        <v>4</v>
      </c>
      <c r="L47" s="126" t="n">
        <f aca="false">K47</f>
        <v>4</v>
      </c>
      <c r="M47" s="124" t="n">
        <f aca="false">VLOOKUP($A47,Table,MATCH(M$4,Curves,0))</f>
        <v>4</v>
      </c>
      <c r="N47" s="125" t="n">
        <f aca="false">M47+$N$7</f>
        <v>4</v>
      </c>
      <c r="O47" s="126" t="n">
        <v>-0.04</v>
      </c>
      <c r="P47" s="114"/>
      <c r="Q47" s="126" t="n">
        <f aca="false">M47+J47+G47</f>
        <v>11</v>
      </c>
      <c r="R47" s="126" t="n">
        <f aca="false">N47+K47+H47</f>
        <v>11</v>
      </c>
      <c r="S47" s="126" t="n">
        <f aca="false">O47+L47+I47</f>
        <v>6.96</v>
      </c>
      <c r="T47" s="127"/>
      <c r="U47" s="5" t="n">
        <f aca="false">A48-A47</f>
        <v>31</v>
      </c>
      <c r="V47" s="128" t="n">
        <f aca="false">CHOOSE(F$3,A48+24,A47)</f>
        <v>38412</v>
      </c>
      <c r="W47" s="5" t="n">
        <f aca="false">V47-C$3</f>
        <v>1181</v>
      </c>
      <c r="X47" s="124" t="n">
        <f aca="false">VLOOKUP($A47,Table,MATCH(X$4,Curves,0))</f>
        <v>2</v>
      </c>
      <c r="Y47" s="129" t="n">
        <f aca="false">1/(1+CHOOSE(F$3,(X48+($K$3/10000))/2,(X47+($K$3/10000))/2))^(2*W47/365.25)</f>
        <v>0.011305718104576</v>
      </c>
      <c r="Z47" s="5" t="n">
        <f aca="false">IF(AND(mthbeg&lt;=A47,mthend&gt;=A47),1,0)</f>
        <v>0</v>
      </c>
      <c r="AA47" s="5" t="n">
        <f aca="false">U47*Z47</f>
        <v>0</v>
      </c>
      <c r="AC47" s="115" t="n">
        <f aca="false">IF(G40=2,F47*(S47-Q47),F47*(Q47-S47))</f>
        <v>0</v>
      </c>
      <c r="AE47" s="116" t="n">
        <f aca="false">IF($G$3=1,F47*(R47-Q47),F47*(Q47-R47))</f>
        <v>0</v>
      </c>
      <c r="AG47" s="116" t="n">
        <f aca="false">AC47+AE47</f>
        <v>0</v>
      </c>
    </row>
    <row r="48" customFormat="false" ht="12.75" hidden="false" customHeight="false" outlineLevel="0" collapsed="false">
      <c r="A48" s="120" t="n">
        <f aca="false">EDATE(A47,1)</f>
        <v>38443</v>
      </c>
      <c r="B48" s="121" t="e">
        <f aca="false">VLOOKUP(A48,'Inputs-Summary'!$A$32:$E$41,5,FALSE())</f>
        <v>#N/A</v>
      </c>
      <c r="C48" s="122"/>
      <c r="D48" s="123" t="e">
        <f aca="false">B48+C48</f>
        <v>#N/A</v>
      </c>
      <c r="E48" s="111" t="n">
        <f aca="false">IF(Z48=0,0,IF(AND(Z48=1,$H$3=1),D48*U48,IF($H$3=2,D48,"N/A")))</f>
        <v>0</v>
      </c>
      <c r="F48" s="111" t="n">
        <f aca="false">E48*Y48</f>
        <v>0</v>
      </c>
      <c r="G48" s="124" t="n">
        <f aca="false">VLOOKUP($A48,Table,MATCH(G$4,Curves,0))</f>
        <v>3</v>
      </c>
      <c r="H48" s="125" t="n">
        <f aca="false">G48+$H$7</f>
        <v>3</v>
      </c>
      <c r="I48" s="124" t="n">
        <f aca="false">H48</f>
        <v>3</v>
      </c>
      <c r="J48" s="124" t="n">
        <f aca="false">VLOOKUP($A48,Table,MATCH(J$4,Curves,0))</f>
        <v>4</v>
      </c>
      <c r="K48" s="125" t="n">
        <f aca="false">J48+$K$7</f>
        <v>4</v>
      </c>
      <c r="L48" s="126" t="n">
        <f aca="false">K48</f>
        <v>4</v>
      </c>
      <c r="M48" s="124" t="n">
        <f aca="false">VLOOKUP($A48,Table,MATCH(M$4,Curves,0))</f>
        <v>4</v>
      </c>
      <c r="N48" s="125" t="n">
        <f aca="false">M48+$N$7</f>
        <v>4</v>
      </c>
      <c r="O48" s="126" t="n">
        <v>-0.04</v>
      </c>
      <c r="P48" s="114"/>
      <c r="Q48" s="126" t="n">
        <f aca="false">M48+J48+G48</f>
        <v>11</v>
      </c>
      <c r="R48" s="126" t="n">
        <f aca="false">N48+K48+H48</f>
        <v>11</v>
      </c>
      <c r="S48" s="126" t="n">
        <f aca="false">O48+L48+I48</f>
        <v>6.96</v>
      </c>
      <c r="T48" s="127"/>
      <c r="U48" s="5" t="n">
        <f aca="false">A49-A48</f>
        <v>30</v>
      </c>
      <c r="V48" s="128" t="n">
        <f aca="false">CHOOSE(F$3,A49+24,A48)</f>
        <v>38443</v>
      </c>
      <c r="W48" s="5" t="n">
        <f aca="false">V48-C$3</f>
        <v>1212</v>
      </c>
      <c r="X48" s="124" t="n">
        <f aca="false">VLOOKUP($A48,Table,MATCH(X$4,Curves,0))</f>
        <v>2</v>
      </c>
      <c r="Y48" s="129" t="n">
        <f aca="false">1/(1+CHOOSE(F$3,(X49+($K$3/10000))/2,(X48+($K$3/10000))/2))^(2*W48/365.25)</f>
        <v>0.0100507689532769</v>
      </c>
      <c r="Z48" s="5" t="n">
        <f aca="false">IF(AND(mthbeg&lt;=A48,mthend&gt;=A48),1,0)</f>
        <v>0</v>
      </c>
      <c r="AA48" s="5" t="n">
        <f aca="false">U48*Z48</f>
        <v>0</v>
      </c>
      <c r="AC48" s="115" t="n">
        <f aca="false">IF(G41=2,F48*(S48-Q48),F48*(Q48-S48))</f>
        <v>0</v>
      </c>
      <c r="AE48" s="116" t="n">
        <f aca="false">IF($G$3=1,F48*(R48-Q48),F48*(Q48-R48))</f>
        <v>0</v>
      </c>
      <c r="AG48" s="116" t="n">
        <f aca="false">AC48+AE48</f>
        <v>0</v>
      </c>
    </row>
    <row r="49" customFormat="false" ht="12.75" hidden="false" customHeight="false" outlineLevel="0" collapsed="false">
      <c r="A49" s="120" t="n">
        <f aca="false">EDATE(A48,1)</f>
        <v>38473</v>
      </c>
      <c r="B49" s="121" t="e">
        <f aca="false">VLOOKUP(A49,'Inputs-Summary'!$A$32:$E$41,5,FALSE())</f>
        <v>#N/A</v>
      </c>
      <c r="C49" s="122"/>
      <c r="D49" s="123" t="e">
        <f aca="false">B49+C49</f>
        <v>#N/A</v>
      </c>
      <c r="E49" s="111" t="n">
        <f aca="false">IF(Z49=0,0,IF(AND(Z49=1,$H$3=1),D49*U49,IF($H$3=2,D49,"N/A")))</f>
        <v>0</v>
      </c>
      <c r="F49" s="111" t="n">
        <f aca="false">E49*Y49</f>
        <v>0</v>
      </c>
      <c r="G49" s="124" t="n">
        <f aca="false">VLOOKUP($A49,Table,MATCH(G$4,Curves,0))</f>
        <v>3</v>
      </c>
      <c r="H49" s="125" t="n">
        <f aca="false">G49+$H$7</f>
        <v>3</v>
      </c>
      <c r="I49" s="124" t="n">
        <f aca="false">H49</f>
        <v>3</v>
      </c>
      <c r="J49" s="124" t="n">
        <f aca="false">VLOOKUP($A49,Table,MATCH(J$4,Curves,0))</f>
        <v>4</v>
      </c>
      <c r="K49" s="125" t="n">
        <f aca="false">J49+$K$7</f>
        <v>4</v>
      </c>
      <c r="L49" s="126" t="n">
        <f aca="false">K49</f>
        <v>4</v>
      </c>
      <c r="M49" s="124" t="n">
        <f aca="false">VLOOKUP($A49,Table,MATCH(M$4,Curves,0))</f>
        <v>4</v>
      </c>
      <c r="N49" s="125" t="n">
        <f aca="false">M49+$N$7</f>
        <v>4</v>
      </c>
      <c r="O49" s="126" t="n">
        <v>-0.04</v>
      </c>
      <c r="P49" s="114"/>
      <c r="Q49" s="126" t="n">
        <f aca="false">M49+J49+G49</f>
        <v>11</v>
      </c>
      <c r="R49" s="126" t="n">
        <f aca="false">N49+K49+H49</f>
        <v>11</v>
      </c>
      <c r="S49" s="126" t="n">
        <f aca="false">O49+L49+I49</f>
        <v>6.96</v>
      </c>
      <c r="T49" s="127"/>
      <c r="U49" s="5" t="n">
        <f aca="false">A50-A49</f>
        <v>31</v>
      </c>
      <c r="V49" s="128" t="n">
        <f aca="false">CHOOSE(F$3,A50+24,A49)</f>
        <v>38473</v>
      </c>
      <c r="W49" s="5" t="n">
        <f aca="false">V49-C$3</f>
        <v>1242</v>
      </c>
      <c r="X49" s="124" t="n">
        <f aca="false">VLOOKUP($A49,Table,MATCH(X$4,Curves,0))</f>
        <v>2</v>
      </c>
      <c r="Y49" s="129" t="n">
        <f aca="false">1/(1+CHOOSE(F$3,(X50+($K$3/10000))/2,(X49+($K$3/10000))/2))^(2*W49/365.25)</f>
        <v>0.00896909815702623</v>
      </c>
      <c r="Z49" s="5" t="n">
        <f aca="false">IF(AND(mthbeg&lt;=A49,mthend&gt;=A49),1,0)</f>
        <v>0</v>
      </c>
      <c r="AA49" s="5" t="n">
        <f aca="false">U49*Z49</f>
        <v>0</v>
      </c>
      <c r="AC49" s="115" t="n">
        <f aca="false">IF(G42=2,F49*(S49-Q49),F49*(Q49-S49))</f>
        <v>0</v>
      </c>
      <c r="AE49" s="116" t="n">
        <f aca="false">IF($G$3=1,F49*(R49-Q49),F49*(Q49-R49))</f>
        <v>0</v>
      </c>
      <c r="AG49" s="116" t="n">
        <f aca="false">AC49+AE49</f>
        <v>0</v>
      </c>
    </row>
    <row r="50" customFormat="false" ht="12.75" hidden="false" customHeight="false" outlineLevel="0" collapsed="false">
      <c r="A50" s="120" t="n">
        <f aca="false">EDATE(A49,1)</f>
        <v>38504</v>
      </c>
      <c r="B50" s="121" t="e">
        <f aca="false">VLOOKUP(A50,'Inputs-Summary'!$A$32:$E$41,5,FALSE())</f>
        <v>#N/A</v>
      </c>
      <c r="C50" s="122"/>
      <c r="D50" s="123" t="e">
        <f aca="false">B50+C50</f>
        <v>#N/A</v>
      </c>
      <c r="E50" s="111" t="n">
        <f aca="false">IF(Z50=0,0,IF(AND(Z50=1,$H$3=1),D50*U50,IF($H$3=2,D50,"N/A")))</f>
        <v>0</v>
      </c>
      <c r="F50" s="111" t="n">
        <f aca="false">E50*Y50</f>
        <v>0</v>
      </c>
      <c r="G50" s="124" t="n">
        <f aca="false">VLOOKUP($A50,Table,MATCH(G$4,Curves,0))</f>
        <v>3</v>
      </c>
      <c r="H50" s="125" t="n">
        <f aca="false">G50+$H$7</f>
        <v>3</v>
      </c>
      <c r="I50" s="124" t="n">
        <f aca="false">H50</f>
        <v>3</v>
      </c>
      <c r="J50" s="124" t="n">
        <f aca="false">VLOOKUP($A50,Table,MATCH(J$4,Curves,0))</f>
        <v>4</v>
      </c>
      <c r="K50" s="125" t="n">
        <f aca="false">J50+$K$7</f>
        <v>4</v>
      </c>
      <c r="L50" s="126" t="n">
        <f aca="false">K50</f>
        <v>4</v>
      </c>
      <c r="M50" s="124" t="n">
        <f aca="false">VLOOKUP($A50,Table,MATCH(M$4,Curves,0))</f>
        <v>4</v>
      </c>
      <c r="N50" s="125" t="n">
        <f aca="false">M50+$N$7</f>
        <v>4</v>
      </c>
      <c r="O50" s="126" t="n">
        <v>-0.04</v>
      </c>
      <c r="P50" s="114"/>
      <c r="Q50" s="126" t="n">
        <f aca="false">M50+J50+G50</f>
        <v>11</v>
      </c>
      <c r="R50" s="126" t="n">
        <f aca="false">N50+K50+H50</f>
        <v>11</v>
      </c>
      <c r="S50" s="126" t="n">
        <f aca="false">O50+L50+I50</f>
        <v>6.96</v>
      </c>
      <c r="T50" s="127"/>
      <c r="U50" s="5" t="n">
        <f aca="false">A51-A50</f>
        <v>30</v>
      </c>
      <c r="V50" s="128" t="n">
        <f aca="false">CHOOSE(F$3,A51+24,A50)</f>
        <v>38504</v>
      </c>
      <c r="W50" s="5" t="n">
        <f aca="false">V50-C$3</f>
        <v>1273</v>
      </c>
      <c r="X50" s="124" t="n">
        <f aca="false">VLOOKUP($A50,Table,MATCH(X$4,Curves,0))</f>
        <v>2</v>
      </c>
      <c r="Y50" s="129" t="n">
        <f aca="false">1/(1+CHOOSE(F$3,(X51+($K$3/10000))/2,(X50+($K$3/10000))/2))^(2*W50/365.25)</f>
        <v>0.0079735168046553</v>
      </c>
      <c r="Z50" s="5" t="n">
        <f aca="false">IF(AND(mthbeg&lt;=A50,mthend&gt;=A50),1,0)</f>
        <v>0</v>
      </c>
      <c r="AA50" s="5" t="n">
        <f aca="false">U50*Z50</f>
        <v>0</v>
      </c>
      <c r="AC50" s="115" t="n">
        <f aca="false">IF(G43=2,F50*(S50-Q50),F50*(Q50-S50))</f>
        <v>0</v>
      </c>
      <c r="AE50" s="116" t="n">
        <f aca="false">IF($G$3=1,F50*(R50-Q50),F50*(Q50-R50))</f>
        <v>0</v>
      </c>
      <c r="AG50" s="116" t="n">
        <f aca="false">AC50+AE50</f>
        <v>0</v>
      </c>
    </row>
    <row r="51" customFormat="false" ht="12.75" hidden="false" customHeight="false" outlineLevel="0" collapsed="false">
      <c r="A51" s="120" t="n">
        <f aca="false">EDATE(A50,1)</f>
        <v>38534</v>
      </c>
      <c r="B51" s="121" t="e">
        <f aca="false">VLOOKUP(A51,'Inputs-Summary'!$A$32:$E$41,5,FALSE())</f>
        <v>#N/A</v>
      </c>
      <c r="C51" s="122"/>
      <c r="D51" s="123" t="e">
        <f aca="false">B51+C51</f>
        <v>#N/A</v>
      </c>
      <c r="E51" s="111" t="n">
        <f aca="false">IF(Z51=0,0,IF(AND(Z51=1,$H$3=1),D51*U51,IF($H$3=2,D51,"N/A")))</f>
        <v>0</v>
      </c>
      <c r="F51" s="111" t="n">
        <f aca="false">E51*Y51</f>
        <v>0</v>
      </c>
      <c r="G51" s="124" t="n">
        <f aca="false">VLOOKUP($A51,Table,MATCH(G$4,Curves,0))</f>
        <v>3</v>
      </c>
      <c r="H51" s="125" t="n">
        <f aca="false">G51+$H$7</f>
        <v>3</v>
      </c>
      <c r="I51" s="124" t="n">
        <f aca="false">H51</f>
        <v>3</v>
      </c>
      <c r="J51" s="124" t="n">
        <f aca="false">VLOOKUP($A51,Table,MATCH(J$4,Curves,0))</f>
        <v>4</v>
      </c>
      <c r="K51" s="125" t="n">
        <f aca="false">J51+$K$7</f>
        <v>4</v>
      </c>
      <c r="L51" s="126" t="n">
        <f aca="false">K51</f>
        <v>4</v>
      </c>
      <c r="M51" s="124" t="n">
        <f aca="false">VLOOKUP($A51,Table,MATCH(M$4,Curves,0))</f>
        <v>4</v>
      </c>
      <c r="N51" s="125" t="n">
        <f aca="false">M51+$N$7</f>
        <v>4</v>
      </c>
      <c r="O51" s="126" t="n">
        <v>-0.04</v>
      </c>
      <c r="P51" s="114"/>
      <c r="Q51" s="126" t="n">
        <f aca="false">M51+J51+G51</f>
        <v>11</v>
      </c>
      <c r="R51" s="126" t="n">
        <f aca="false">N51+K51+H51</f>
        <v>11</v>
      </c>
      <c r="S51" s="126" t="n">
        <f aca="false">O51+L51+I51</f>
        <v>6.96</v>
      </c>
      <c r="T51" s="127"/>
      <c r="U51" s="5" t="n">
        <f aca="false">A52-A51</f>
        <v>31</v>
      </c>
      <c r="V51" s="128" t="n">
        <f aca="false">CHOOSE(F$3,A52+24,A51)</f>
        <v>38534</v>
      </c>
      <c r="W51" s="5" t="n">
        <f aca="false">V51-C$3</f>
        <v>1303</v>
      </c>
      <c r="X51" s="124" t="n">
        <f aca="false">VLOOKUP($A51,Table,MATCH(X$4,Curves,0))</f>
        <v>2</v>
      </c>
      <c r="Y51" s="129" t="n">
        <f aca="false">1/(1+CHOOSE(F$3,(X52+($K$3/10000))/2,(X51+($K$3/10000))/2))^(2*W51/365.25)</f>
        <v>0.00711540133994771</v>
      </c>
      <c r="Z51" s="5" t="n">
        <f aca="false">IF(AND(mthbeg&lt;=A51,mthend&gt;=A51),1,0)</f>
        <v>0</v>
      </c>
      <c r="AA51" s="5" t="n">
        <f aca="false">U51*Z51</f>
        <v>0</v>
      </c>
      <c r="AC51" s="115" t="n">
        <f aca="false">IF(G44=2,F51*(S51-Q51),F51*(Q51-S51))</f>
        <v>0</v>
      </c>
      <c r="AE51" s="116" t="n">
        <f aca="false">IF($G$3=1,F51*(R51-Q51),F51*(Q51-R51))</f>
        <v>0</v>
      </c>
      <c r="AG51" s="116" t="n">
        <f aca="false">AC51+AE51</f>
        <v>0</v>
      </c>
    </row>
    <row r="52" customFormat="false" ht="12.75" hidden="false" customHeight="false" outlineLevel="0" collapsed="false">
      <c r="A52" s="120" t="n">
        <f aca="false">EDATE(A51,1)</f>
        <v>38565</v>
      </c>
      <c r="B52" s="121" t="e">
        <f aca="false">VLOOKUP(A52,'Inputs-Summary'!$A$32:$E$41,5,FALSE())</f>
        <v>#N/A</v>
      </c>
      <c r="C52" s="122"/>
      <c r="D52" s="123" t="e">
        <f aca="false">B52+C52</f>
        <v>#N/A</v>
      </c>
      <c r="E52" s="111" t="n">
        <f aca="false">IF(Z52=0,0,IF(AND(Z52=1,$H$3=1),D52*U52,IF($H$3=2,D52,"N/A")))</f>
        <v>0</v>
      </c>
      <c r="F52" s="111" t="n">
        <f aca="false">E52*Y52</f>
        <v>0</v>
      </c>
      <c r="G52" s="124" t="n">
        <f aca="false">VLOOKUP($A52,Table,MATCH(G$4,Curves,0))</f>
        <v>3</v>
      </c>
      <c r="H52" s="125" t="n">
        <f aca="false">G52+$H$7</f>
        <v>3</v>
      </c>
      <c r="I52" s="124" t="n">
        <f aca="false">H52</f>
        <v>3</v>
      </c>
      <c r="J52" s="124" t="n">
        <f aca="false">VLOOKUP($A52,Table,MATCH(J$4,Curves,0))</f>
        <v>4</v>
      </c>
      <c r="K52" s="125" t="n">
        <f aca="false">J52+$K$7</f>
        <v>4</v>
      </c>
      <c r="L52" s="126" t="n">
        <f aca="false">K52</f>
        <v>4</v>
      </c>
      <c r="M52" s="124" t="n">
        <f aca="false">VLOOKUP($A52,Table,MATCH(M$4,Curves,0))</f>
        <v>4</v>
      </c>
      <c r="N52" s="125" t="n">
        <f aca="false">M52+$N$7</f>
        <v>4</v>
      </c>
      <c r="O52" s="126" t="n">
        <v>-0.04</v>
      </c>
      <c r="P52" s="114"/>
      <c r="Q52" s="126" t="n">
        <f aca="false">M52+J52+G52</f>
        <v>11</v>
      </c>
      <c r="R52" s="126" t="n">
        <f aca="false">N52+K52+H52</f>
        <v>11</v>
      </c>
      <c r="S52" s="126" t="n">
        <f aca="false">O52+L52+I52</f>
        <v>6.96</v>
      </c>
      <c r="T52" s="127"/>
      <c r="U52" s="5" t="n">
        <f aca="false">A53-A52</f>
        <v>31</v>
      </c>
      <c r="V52" s="128" t="n">
        <f aca="false">CHOOSE(F$3,A53+24,A52)</f>
        <v>38565</v>
      </c>
      <c r="W52" s="5" t="n">
        <f aca="false">V52-C$3</f>
        <v>1334</v>
      </c>
      <c r="X52" s="124" t="n">
        <f aca="false">VLOOKUP($A52,Table,MATCH(X$4,Curves,0))</f>
        <v>2</v>
      </c>
      <c r="Y52" s="129" t="n">
        <f aca="false">1/(1+CHOOSE(F$3,(X53+($K$3/10000))/2,(X52+($K$3/10000))/2))^(2*W52/365.25)</f>
        <v>0.00632558270214659</v>
      </c>
      <c r="Z52" s="5" t="n">
        <f aca="false">IF(AND(mthbeg&lt;=A52,mthend&gt;=A52),1,0)</f>
        <v>0</v>
      </c>
      <c r="AA52" s="5" t="n">
        <f aca="false">U52*Z52</f>
        <v>0</v>
      </c>
      <c r="AC52" s="115" t="n">
        <f aca="false">IF(G45=2,F52*(S52-Q52),F52*(Q52-S52))</f>
        <v>0</v>
      </c>
      <c r="AE52" s="116" t="n">
        <f aca="false">IF($G$3=1,F52*(R52-Q52),F52*(Q52-R52))</f>
        <v>0</v>
      </c>
      <c r="AG52" s="116" t="n">
        <f aca="false">AC52+AE52</f>
        <v>0</v>
      </c>
    </row>
    <row r="53" customFormat="false" ht="12.75" hidden="false" customHeight="false" outlineLevel="0" collapsed="false">
      <c r="A53" s="120" t="n">
        <f aca="false">EDATE(A52,1)</f>
        <v>38596</v>
      </c>
      <c r="B53" s="121" t="e">
        <f aca="false">VLOOKUP(A53,'Inputs-Summary'!$A$32:$E$41,5,FALSE())</f>
        <v>#N/A</v>
      </c>
      <c r="C53" s="122"/>
      <c r="D53" s="123" t="e">
        <f aca="false">B53+C53</f>
        <v>#N/A</v>
      </c>
      <c r="E53" s="111" t="n">
        <f aca="false">IF(Z53=0,0,IF(AND(Z53=1,$H$3=1),D53*U53,IF($H$3=2,D53,"N/A")))</f>
        <v>0</v>
      </c>
      <c r="F53" s="111" t="n">
        <f aca="false">E53*Y53</f>
        <v>0</v>
      </c>
      <c r="G53" s="124" t="n">
        <f aca="false">VLOOKUP($A53,Table,MATCH(G$4,Curves,0))</f>
        <v>3</v>
      </c>
      <c r="H53" s="125" t="n">
        <f aca="false">G53+$H$7</f>
        <v>3</v>
      </c>
      <c r="I53" s="124" t="n">
        <f aca="false">H53</f>
        <v>3</v>
      </c>
      <c r="J53" s="124" t="n">
        <f aca="false">VLOOKUP($A53,Table,MATCH(J$4,Curves,0))</f>
        <v>4</v>
      </c>
      <c r="K53" s="125" t="n">
        <f aca="false">J53+$K$7</f>
        <v>4</v>
      </c>
      <c r="L53" s="126" t="n">
        <f aca="false">K53</f>
        <v>4</v>
      </c>
      <c r="M53" s="124" t="n">
        <f aca="false">VLOOKUP($A53,Table,MATCH(M$4,Curves,0))</f>
        <v>4</v>
      </c>
      <c r="N53" s="125" t="n">
        <f aca="false">M53+$N$7</f>
        <v>4</v>
      </c>
      <c r="O53" s="126" t="n">
        <v>-0.04</v>
      </c>
      <c r="P53" s="114"/>
      <c r="Q53" s="126" t="n">
        <f aca="false">M53+J53+G53</f>
        <v>11</v>
      </c>
      <c r="R53" s="126" t="n">
        <f aca="false">N53+K53+H53</f>
        <v>11</v>
      </c>
      <c r="S53" s="126" t="n">
        <f aca="false">O53+L53+I53</f>
        <v>6.96</v>
      </c>
      <c r="T53" s="127"/>
      <c r="U53" s="5" t="n">
        <f aca="false">A54-A53</f>
        <v>30</v>
      </c>
      <c r="V53" s="128" t="n">
        <f aca="false">CHOOSE(F$3,A54+24,A53)</f>
        <v>38596</v>
      </c>
      <c r="W53" s="5" t="n">
        <f aca="false">V53-C$3</f>
        <v>1365</v>
      </c>
      <c r="X53" s="124" t="n">
        <f aca="false">VLOOKUP($A53,Table,MATCH(X$4,Curves,0))</f>
        <v>2</v>
      </c>
      <c r="Y53" s="129" t="n">
        <f aca="false">1/(1+CHOOSE(F$3,(X54+($K$3/10000))/2,(X53+($K$3/10000))/2))^(2*W53/365.25)</f>
        <v>0.00562343494203942</v>
      </c>
      <c r="Z53" s="5" t="n">
        <f aca="false">IF(AND(mthbeg&lt;=A53,mthend&gt;=A53),1,0)</f>
        <v>0</v>
      </c>
      <c r="AA53" s="5" t="n">
        <f aca="false">U53*Z53</f>
        <v>0</v>
      </c>
      <c r="AC53" s="115" t="n">
        <f aca="false">IF(G46=2,F53*(S53-Q53),F53*(Q53-S53))</f>
        <v>0</v>
      </c>
      <c r="AE53" s="116" t="n">
        <f aca="false">IF($G$3=1,F53*(R53-Q53),F53*(Q53-R53))</f>
        <v>0</v>
      </c>
      <c r="AG53" s="116" t="n">
        <f aca="false">AC53+AE53</f>
        <v>0</v>
      </c>
    </row>
    <row r="54" customFormat="false" ht="12.75" hidden="false" customHeight="false" outlineLevel="0" collapsed="false">
      <c r="A54" s="120" t="n">
        <f aca="false">EDATE(A53,1)</f>
        <v>38626</v>
      </c>
      <c r="B54" s="121" t="e">
        <f aca="false">VLOOKUP(A54,'Inputs-Summary'!$A$32:$E$41,5,FALSE())</f>
        <v>#N/A</v>
      </c>
      <c r="C54" s="122"/>
      <c r="D54" s="123" t="e">
        <f aca="false">B54+C54</f>
        <v>#N/A</v>
      </c>
      <c r="E54" s="111" t="n">
        <f aca="false">IF(Z54=0,0,IF(AND(Z54=1,$H$3=1),D54*U54,IF($H$3=2,D54,"N/A")))</f>
        <v>0</v>
      </c>
      <c r="F54" s="111" t="n">
        <f aca="false">E54*Y54</f>
        <v>0</v>
      </c>
      <c r="G54" s="124" t="n">
        <f aca="false">VLOOKUP($A54,Table,MATCH(G$4,Curves,0))</f>
        <v>3</v>
      </c>
      <c r="H54" s="125" t="n">
        <f aca="false">G54+$H$7</f>
        <v>3</v>
      </c>
      <c r="I54" s="124" t="n">
        <f aca="false">H54</f>
        <v>3</v>
      </c>
      <c r="J54" s="124" t="n">
        <f aca="false">VLOOKUP($A54,Table,MATCH(J$4,Curves,0))</f>
        <v>4</v>
      </c>
      <c r="K54" s="125" t="n">
        <f aca="false">J54+$K$7</f>
        <v>4</v>
      </c>
      <c r="L54" s="126" t="n">
        <f aca="false">K54</f>
        <v>4</v>
      </c>
      <c r="M54" s="124" t="n">
        <f aca="false">VLOOKUP($A54,Table,MATCH(M$4,Curves,0))</f>
        <v>4</v>
      </c>
      <c r="N54" s="125" t="n">
        <f aca="false">M54+$N$7</f>
        <v>4</v>
      </c>
      <c r="O54" s="126" t="n">
        <v>-0.04</v>
      </c>
      <c r="P54" s="114"/>
      <c r="Q54" s="126" t="n">
        <f aca="false">M54+J54+G54</f>
        <v>11</v>
      </c>
      <c r="R54" s="126" t="n">
        <f aca="false">N54+K54+H54</f>
        <v>11</v>
      </c>
      <c r="S54" s="126" t="n">
        <f aca="false">O54+L54+I54</f>
        <v>6.96</v>
      </c>
      <c r="T54" s="127"/>
      <c r="U54" s="5" t="n">
        <f aca="false">A55-A54</f>
        <v>31</v>
      </c>
      <c r="V54" s="128" t="n">
        <f aca="false">CHOOSE(F$3,A55+24,A54)</f>
        <v>38626</v>
      </c>
      <c r="W54" s="5" t="n">
        <f aca="false">V54-C$3</f>
        <v>1395</v>
      </c>
      <c r="X54" s="124" t="n">
        <f aca="false">VLOOKUP($A54,Table,MATCH(X$4,Curves,0))</f>
        <v>2</v>
      </c>
      <c r="Y54" s="129" t="n">
        <f aca="false">1/(1+CHOOSE(F$3,(X55+($K$3/10000))/2,(X54+($K$3/10000))/2))^(2*W54/365.25)</f>
        <v>0.00501823693383761</v>
      </c>
      <c r="Z54" s="5" t="n">
        <f aca="false">IF(AND(mthbeg&lt;=A54,mthend&gt;=A54),1,0)</f>
        <v>0</v>
      </c>
      <c r="AA54" s="5" t="n">
        <f aca="false">U54*Z54</f>
        <v>0</v>
      </c>
      <c r="AC54" s="115" t="n">
        <f aca="false">IF(G47=2,F54*(S54-Q54),F54*(Q54-S54))</f>
        <v>0</v>
      </c>
      <c r="AE54" s="116" t="n">
        <f aca="false">IF($G$3=1,F54*(R54-Q54),F54*(Q54-R54))</f>
        <v>0</v>
      </c>
      <c r="AG54" s="116" t="n">
        <f aca="false">AC54+AE54</f>
        <v>0</v>
      </c>
    </row>
    <row r="55" customFormat="false" ht="12.75" hidden="false" customHeight="false" outlineLevel="0" collapsed="false">
      <c r="A55" s="120" t="n">
        <f aca="false">EDATE(A54,1)</f>
        <v>38657</v>
      </c>
      <c r="B55" s="121" t="e">
        <f aca="false">VLOOKUP(A55,'Inputs-Summary'!$A$32:$E$41,5,FALSE())</f>
        <v>#N/A</v>
      </c>
      <c r="C55" s="122"/>
      <c r="D55" s="123" t="e">
        <f aca="false">B55+C55</f>
        <v>#N/A</v>
      </c>
      <c r="E55" s="111" t="n">
        <f aca="false">IF(Z55=0,0,IF(AND(Z55=1,$H$3=1),D55*U55,IF($H$3=2,D55,"N/A")))</f>
        <v>0</v>
      </c>
      <c r="F55" s="111" t="n">
        <f aca="false">E55*Y55</f>
        <v>0</v>
      </c>
      <c r="G55" s="124" t="n">
        <f aca="false">VLOOKUP($A55,Table,MATCH(G$4,Curves,0))</f>
        <v>3</v>
      </c>
      <c r="H55" s="125" t="n">
        <f aca="false">G55+$H$7</f>
        <v>3</v>
      </c>
      <c r="I55" s="124" t="n">
        <f aca="false">H55</f>
        <v>3</v>
      </c>
      <c r="J55" s="124" t="n">
        <f aca="false">VLOOKUP($A55,Table,MATCH(J$4,Curves,0))</f>
        <v>4</v>
      </c>
      <c r="K55" s="125" t="n">
        <f aca="false">J55+$K$7</f>
        <v>4</v>
      </c>
      <c r="L55" s="126" t="n">
        <f aca="false">K55</f>
        <v>4</v>
      </c>
      <c r="M55" s="124" t="n">
        <f aca="false">VLOOKUP($A55,Table,MATCH(M$4,Curves,0))</f>
        <v>4</v>
      </c>
      <c r="N55" s="125" t="n">
        <f aca="false">M55+$N$7</f>
        <v>4</v>
      </c>
      <c r="O55" s="126" t="n">
        <v>-0.04</v>
      </c>
      <c r="P55" s="114"/>
      <c r="Q55" s="126" t="n">
        <f aca="false">M55+J55+G55</f>
        <v>11</v>
      </c>
      <c r="R55" s="126" t="n">
        <f aca="false">N55+K55+H55</f>
        <v>11</v>
      </c>
      <c r="S55" s="126" t="n">
        <f aca="false">O55+L55+I55</f>
        <v>6.96</v>
      </c>
      <c r="T55" s="127"/>
      <c r="U55" s="5" t="n">
        <f aca="false">A56-A55</f>
        <v>30</v>
      </c>
      <c r="V55" s="128" t="n">
        <f aca="false">CHOOSE(F$3,A56+24,A55)</f>
        <v>38657</v>
      </c>
      <c r="W55" s="5" t="n">
        <f aca="false">V55-C$3</f>
        <v>1426</v>
      </c>
      <c r="X55" s="124" t="n">
        <f aca="false">VLOOKUP($A55,Table,MATCH(X$4,Curves,0))</f>
        <v>2</v>
      </c>
      <c r="Y55" s="129" t="n">
        <f aca="false">1/(1+CHOOSE(F$3,(X56+($K$3/10000))/2,(X55+($K$3/10000))/2))^(2*W55/365.25)</f>
        <v>0.00446120622398926</v>
      </c>
      <c r="Z55" s="5" t="n">
        <f aca="false">IF(AND(mthbeg&lt;=A55,mthend&gt;=A55),1,0)</f>
        <v>0</v>
      </c>
      <c r="AA55" s="5" t="n">
        <f aca="false">U55*Z55</f>
        <v>0</v>
      </c>
      <c r="AC55" s="115" t="n">
        <f aca="false">IF(G48=2,F55*(S55-Q55),F55*(Q55-S55))</f>
        <v>0</v>
      </c>
      <c r="AE55" s="116" t="n">
        <f aca="false">IF($G$3=1,F55*(R55-Q55),F55*(Q55-R55))</f>
        <v>0</v>
      </c>
      <c r="AG55" s="116" t="n">
        <f aca="false">AC55+AE55</f>
        <v>0</v>
      </c>
    </row>
    <row r="56" customFormat="false" ht="12.75" hidden="false" customHeight="false" outlineLevel="0" collapsed="false">
      <c r="A56" s="120" t="n">
        <f aca="false">EDATE(A55,1)</f>
        <v>38687</v>
      </c>
      <c r="B56" s="121" t="e">
        <f aca="false">VLOOKUP(A56,'Inputs-Summary'!$A$32:$E$41,5,FALSE())</f>
        <v>#N/A</v>
      </c>
      <c r="C56" s="122"/>
      <c r="D56" s="123" t="e">
        <f aca="false">B56+C56</f>
        <v>#N/A</v>
      </c>
      <c r="E56" s="111" t="n">
        <f aca="false">IF(Z56=0,0,IF(AND(Z56=1,$H$3=1),D56*U56,IF($H$3=2,D56,"N/A")))</f>
        <v>0</v>
      </c>
      <c r="F56" s="111" t="n">
        <f aca="false">E56*Y56</f>
        <v>0</v>
      </c>
      <c r="G56" s="124" t="n">
        <f aca="false">VLOOKUP($A56,Table,MATCH(G$4,Curves,0))</f>
        <v>3</v>
      </c>
      <c r="H56" s="125" t="n">
        <f aca="false">G56+$H$7</f>
        <v>3</v>
      </c>
      <c r="I56" s="124" t="n">
        <f aca="false">H56</f>
        <v>3</v>
      </c>
      <c r="J56" s="124" t="n">
        <f aca="false">VLOOKUP($A56,Table,MATCH(J$4,Curves,0))</f>
        <v>4</v>
      </c>
      <c r="K56" s="125" t="n">
        <f aca="false">J56+$K$7</f>
        <v>4</v>
      </c>
      <c r="L56" s="126" t="n">
        <f aca="false">K56</f>
        <v>4</v>
      </c>
      <c r="M56" s="124" t="n">
        <f aca="false">VLOOKUP($A56,Table,MATCH(M$4,Curves,0))</f>
        <v>4</v>
      </c>
      <c r="N56" s="125" t="n">
        <f aca="false">M56+$N$7</f>
        <v>4</v>
      </c>
      <c r="O56" s="126" t="n">
        <v>-0.04</v>
      </c>
      <c r="P56" s="114"/>
      <c r="Q56" s="126" t="n">
        <f aca="false">M56+J56+G56</f>
        <v>11</v>
      </c>
      <c r="R56" s="126" t="n">
        <f aca="false">N56+K56+H56</f>
        <v>11</v>
      </c>
      <c r="S56" s="126" t="n">
        <f aca="false">O56+L56+I56</f>
        <v>6.96</v>
      </c>
      <c r="T56" s="127"/>
      <c r="U56" s="5" t="n">
        <f aca="false">A57-A56</f>
        <v>31</v>
      </c>
      <c r="V56" s="128" t="n">
        <f aca="false">CHOOSE(F$3,A57+24,A56)</f>
        <v>38687</v>
      </c>
      <c r="W56" s="5" t="n">
        <f aca="false">V56-C$3</f>
        <v>1456</v>
      </c>
      <c r="X56" s="124" t="n">
        <f aca="false">VLOOKUP($A56,Table,MATCH(X$4,Curves,0))</f>
        <v>2</v>
      </c>
      <c r="Y56" s="129" t="n">
        <f aca="false">1/(1+CHOOSE(F$3,(X57+($K$3/10000))/2,(X56+($K$3/10000))/2))^(2*W56/365.25)</f>
        <v>0.00398108808467339</v>
      </c>
      <c r="Z56" s="5" t="n">
        <f aca="false">IF(AND(mthbeg&lt;=A56,mthend&gt;=A56),1,0)</f>
        <v>0</v>
      </c>
      <c r="AA56" s="5" t="n">
        <f aca="false">U56*Z56</f>
        <v>0</v>
      </c>
      <c r="AC56" s="115" t="n">
        <f aca="false">IF(G49=2,F56*(S56-Q56),F56*(Q56-S56))</f>
        <v>0</v>
      </c>
      <c r="AE56" s="116" t="n">
        <f aca="false">IF($G$3=1,F56*(R56-Q56),F56*(Q56-R56))</f>
        <v>0</v>
      </c>
      <c r="AG56" s="116" t="n">
        <f aca="false">AC56+AE56</f>
        <v>0</v>
      </c>
    </row>
    <row r="57" customFormat="false" ht="12.75" hidden="false" customHeight="false" outlineLevel="0" collapsed="false">
      <c r="A57" s="120" t="n">
        <f aca="false">EDATE(A56,1)</f>
        <v>38718</v>
      </c>
      <c r="B57" s="121" t="e">
        <f aca="false">VLOOKUP(A57,'Inputs-Summary'!$A$32:$E$41,5,FALSE())</f>
        <v>#N/A</v>
      </c>
      <c r="C57" s="122"/>
      <c r="D57" s="123" t="e">
        <f aca="false">B57+C57</f>
        <v>#N/A</v>
      </c>
      <c r="E57" s="111" t="n">
        <f aca="false">IF(Z57=0,0,IF(AND(Z57=1,$H$3=1),D57*U57,IF($H$3=2,D57,"N/A")))</f>
        <v>0</v>
      </c>
      <c r="F57" s="111" t="n">
        <f aca="false">E57*Y57</f>
        <v>0</v>
      </c>
      <c r="G57" s="124" t="n">
        <f aca="false">VLOOKUP($A57,Table,MATCH(G$4,Curves,0))</f>
        <v>3</v>
      </c>
      <c r="H57" s="125" t="n">
        <f aca="false">G57+$H$7</f>
        <v>3</v>
      </c>
      <c r="I57" s="124" t="n">
        <f aca="false">H57</f>
        <v>3</v>
      </c>
      <c r="J57" s="124" t="n">
        <f aca="false">VLOOKUP($A57,Table,MATCH(J$4,Curves,0))</f>
        <v>4</v>
      </c>
      <c r="K57" s="125" t="n">
        <f aca="false">J57+$K$7</f>
        <v>4</v>
      </c>
      <c r="L57" s="126" t="n">
        <f aca="false">K57</f>
        <v>4</v>
      </c>
      <c r="M57" s="124" t="n">
        <f aca="false">VLOOKUP($A57,Table,MATCH(M$4,Curves,0))</f>
        <v>4</v>
      </c>
      <c r="N57" s="125" t="n">
        <f aca="false">M57+$N$7</f>
        <v>4</v>
      </c>
      <c r="O57" s="126" t="n">
        <v>-0.04</v>
      </c>
      <c r="P57" s="114"/>
      <c r="Q57" s="126" t="n">
        <f aca="false">M57+J57+G57</f>
        <v>11</v>
      </c>
      <c r="R57" s="126" t="n">
        <f aca="false">N57+K57+H57</f>
        <v>11</v>
      </c>
      <c r="S57" s="126" t="n">
        <f aca="false">O57+L57+I57</f>
        <v>6.96</v>
      </c>
      <c r="T57" s="127"/>
      <c r="U57" s="5" t="n">
        <f aca="false">A58-A57</f>
        <v>31</v>
      </c>
      <c r="V57" s="128" t="n">
        <f aca="false">CHOOSE(F$3,A58+24,A57)</f>
        <v>38718</v>
      </c>
      <c r="W57" s="5" t="n">
        <f aca="false">V57-C$3</f>
        <v>1487</v>
      </c>
      <c r="X57" s="124" t="n">
        <f aca="false">VLOOKUP($A57,Table,MATCH(X$4,Curves,0))</f>
        <v>2</v>
      </c>
      <c r="Y57" s="129" t="n">
        <f aca="false">1/(1+CHOOSE(F$3,(X58+($K$3/10000))/2,(X57+($K$3/10000))/2))^(2*W57/365.25)</f>
        <v>0.00353918222191482</v>
      </c>
      <c r="Z57" s="5" t="n">
        <f aca="false">IF(AND(mthbeg&lt;=A57,mthend&gt;=A57),1,0)</f>
        <v>0</v>
      </c>
      <c r="AA57" s="5" t="n">
        <f aca="false">U57*Z57</f>
        <v>0</v>
      </c>
      <c r="AC57" s="115" t="n">
        <f aca="false">IF(G50=2,F57*(S57-Q57),F57*(Q57-S57))</f>
        <v>0</v>
      </c>
      <c r="AE57" s="116" t="n">
        <f aca="false">IF($G$3=1,F57*(R57-Q57),F57*(Q57-R57))</f>
        <v>0</v>
      </c>
      <c r="AG57" s="116" t="n">
        <f aca="false">AC57+AE57</f>
        <v>0</v>
      </c>
    </row>
    <row r="58" customFormat="false" ht="12.75" hidden="false" customHeight="false" outlineLevel="0" collapsed="false">
      <c r="A58" s="120" t="n">
        <f aca="false">EDATE(A57,1)</f>
        <v>38749</v>
      </c>
      <c r="B58" s="121" t="e">
        <f aca="false">VLOOKUP(A58,'Inputs-Summary'!$A$32:$E$41,5,FALSE())</f>
        <v>#N/A</v>
      </c>
      <c r="C58" s="122"/>
      <c r="D58" s="123" t="e">
        <f aca="false">B58+C58</f>
        <v>#N/A</v>
      </c>
      <c r="E58" s="111" t="n">
        <f aca="false">IF(Z58=0,0,IF(AND(Z58=1,$H$3=1),D58*U58,IF($H$3=2,D58,"N/A")))</f>
        <v>0</v>
      </c>
      <c r="F58" s="111" t="n">
        <f aca="false">E58*Y58</f>
        <v>0</v>
      </c>
      <c r="G58" s="124" t="n">
        <f aca="false">VLOOKUP($A58,Table,MATCH(G$4,Curves,0))</f>
        <v>3</v>
      </c>
      <c r="H58" s="125" t="n">
        <f aca="false">G58+$H$7</f>
        <v>3</v>
      </c>
      <c r="I58" s="124" t="n">
        <f aca="false">H58</f>
        <v>3</v>
      </c>
      <c r="J58" s="124" t="n">
        <f aca="false">VLOOKUP($A58,Table,MATCH(J$4,Curves,0))</f>
        <v>4</v>
      </c>
      <c r="K58" s="125" t="n">
        <f aca="false">J58+$K$7</f>
        <v>4</v>
      </c>
      <c r="L58" s="126" t="n">
        <f aca="false">K58</f>
        <v>4</v>
      </c>
      <c r="M58" s="124" t="n">
        <f aca="false">VLOOKUP($A58,Table,MATCH(M$4,Curves,0))</f>
        <v>4</v>
      </c>
      <c r="N58" s="125" t="n">
        <f aca="false">M58+$N$7</f>
        <v>4</v>
      </c>
      <c r="O58" s="126" t="n">
        <v>-0.04</v>
      </c>
      <c r="P58" s="114"/>
      <c r="Q58" s="126" t="n">
        <f aca="false">M58+J58+G58</f>
        <v>11</v>
      </c>
      <c r="R58" s="126" t="n">
        <f aca="false">N58+K58+H58</f>
        <v>11</v>
      </c>
      <c r="S58" s="126" t="n">
        <f aca="false">O58+L58+I58</f>
        <v>6.96</v>
      </c>
      <c r="T58" s="127"/>
      <c r="U58" s="5" t="n">
        <f aca="false">A59-A58</f>
        <v>28</v>
      </c>
      <c r="V58" s="128" t="n">
        <f aca="false">CHOOSE(F$3,A59+24,A58)</f>
        <v>38749</v>
      </c>
      <c r="W58" s="5" t="n">
        <f aca="false">V58-C$3</f>
        <v>1518</v>
      </c>
      <c r="X58" s="124" t="n">
        <f aca="false">VLOOKUP($A58,Table,MATCH(X$4,Curves,0))</f>
        <v>2</v>
      </c>
      <c r="Y58" s="129" t="n">
        <f aca="false">1/(1+CHOOSE(F$3,(X59+($K$3/10000))/2,(X58+($K$3/10000))/2))^(2*W58/365.25)</f>
        <v>0.0031463284744039</v>
      </c>
      <c r="Z58" s="5" t="n">
        <f aca="false">IF(AND(mthbeg&lt;=A58,mthend&gt;=A58),1,0)</f>
        <v>0</v>
      </c>
      <c r="AA58" s="5" t="n">
        <f aca="false">U58*Z58</f>
        <v>0</v>
      </c>
      <c r="AC58" s="115" t="n">
        <f aca="false">IF(G51=2,F58*(S58-Q58),F58*(Q58-S58))</f>
        <v>0</v>
      </c>
      <c r="AE58" s="116" t="n">
        <f aca="false">IF($G$3=1,F58*(R58-Q58),F58*(Q58-R58))</f>
        <v>0</v>
      </c>
      <c r="AG58" s="116" t="n">
        <f aca="false">AC58+AE58</f>
        <v>0</v>
      </c>
    </row>
    <row r="59" customFormat="false" ht="12.75" hidden="false" customHeight="false" outlineLevel="0" collapsed="false">
      <c r="A59" s="120" t="n">
        <f aca="false">EDATE(A58,1)</f>
        <v>38777</v>
      </c>
      <c r="B59" s="121" t="e">
        <f aca="false">VLOOKUP(A59,'Inputs-Summary'!$A$32:$E$41,5,FALSE())</f>
        <v>#N/A</v>
      </c>
      <c r="C59" s="122"/>
      <c r="D59" s="123" t="e">
        <f aca="false">B59+C59</f>
        <v>#N/A</v>
      </c>
      <c r="E59" s="111" t="n">
        <f aca="false">IF(Z59=0,0,IF(AND(Z59=1,$H$3=1),D59*U59,IF($H$3=2,D59,"N/A")))</f>
        <v>0</v>
      </c>
      <c r="F59" s="111" t="n">
        <f aca="false">E59*Y59</f>
        <v>0</v>
      </c>
      <c r="G59" s="124" t="n">
        <f aca="false">VLOOKUP($A59,Table,MATCH(G$4,Curves,0))</f>
        <v>3</v>
      </c>
      <c r="H59" s="125" t="n">
        <f aca="false">G59+$H$7</f>
        <v>3</v>
      </c>
      <c r="I59" s="124" t="n">
        <f aca="false">H59</f>
        <v>3</v>
      </c>
      <c r="J59" s="124" t="n">
        <f aca="false">VLOOKUP($A59,Table,MATCH(J$4,Curves,0))</f>
        <v>4</v>
      </c>
      <c r="K59" s="125" t="n">
        <f aca="false">J59+$K$7</f>
        <v>4</v>
      </c>
      <c r="L59" s="126" t="n">
        <f aca="false">K59</f>
        <v>4</v>
      </c>
      <c r="M59" s="124" t="n">
        <f aca="false">VLOOKUP($A59,Table,MATCH(M$4,Curves,0))</f>
        <v>4</v>
      </c>
      <c r="N59" s="125" t="n">
        <f aca="false">M59+$N$7</f>
        <v>4</v>
      </c>
      <c r="O59" s="126" t="n">
        <v>-0.04</v>
      </c>
      <c r="P59" s="114"/>
      <c r="Q59" s="126" t="n">
        <f aca="false">M59+J59+G59</f>
        <v>11</v>
      </c>
      <c r="R59" s="126" t="n">
        <f aca="false">N59+K59+H59</f>
        <v>11</v>
      </c>
      <c r="S59" s="126" t="n">
        <f aca="false">O59+L59+I59</f>
        <v>6.96</v>
      </c>
      <c r="T59" s="127"/>
      <c r="U59" s="5" t="n">
        <f aca="false">A60-A59</f>
        <v>31</v>
      </c>
      <c r="V59" s="128" t="n">
        <f aca="false">CHOOSE(F$3,A60+24,A59)</f>
        <v>38777</v>
      </c>
      <c r="W59" s="5" t="n">
        <f aca="false">V59-C$3</f>
        <v>1546</v>
      </c>
      <c r="X59" s="124" t="n">
        <f aca="false">VLOOKUP($A59,Table,MATCH(X$4,Curves,0))</f>
        <v>2</v>
      </c>
      <c r="Y59" s="129" t="n">
        <f aca="false">1/(1+CHOOSE(F$3,(X60+($K$3/10000))/2,(X59+($K$3/10000))/2))^(2*W59/365.25)</f>
        <v>0.0028291127040066</v>
      </c>
      <c r="Z59" s="5" t="n">
        <f aca="false">IF(AND(mthbeg&lt;=A59,mthend&gt;=A59),1,0)</f>
        <v>0</v>
      </c>
      <c r="AA59" s="5" t="n">
        <f aca="false">U59*Z59</f>
        <v>0</v>
      </c>
      <c r="AC59" s="115" t="n">
        <f aca="false">IF(G52=2,F59*(S59-Q59),F59*(Q59-S59))</f>
        <v>0</v>
      </c>
      <c r="AE59" s="116" t="n">
        <f aca="false">IF($G$3=1,F59*(R59-Q59),F59*(Q59-R59))</f>
        <v>0</v>
      </c>
      <c r="AG59" s="116" t="n">
        <f aca="false">AC59+AE59</f>
        <v>0</v>
      </c>
    </row>
    <row r="60" customFormat="false" ht="12.75" hidden="false" customHeight="false" outlineLevel="0" collapsed="false">
      <c r="A60" s="120" t="n">
        <f aca="false">EDATE(A59,1)</f>
        <v>38808</v>
      </c>
      <c r="B60" s="121" t="e">
        <f aca="false">VLOOKUP(A60,'Inputs-Summary'!$A$32:$E$41,5,FALSE())</f>
        <v>#N/A</v>
      </c>
      <c r="C60" s="122"/>
      <c r="D60" s="123" t="e">
        <f aca="false">B60+C60</f>
        <v>#N/A</v>
      </c>
      <c r="E60" s="111" t="n">
        <f aca="false">IF(Z60=0,0,IF(AND(Z60=1,$H$3=1),D60*U60,IF($H$3=2,D60,"N/A")))</f>
        <v>0</v>
      </c>
      <c r="F60" s="111" t="n">
        <f aca="false">E60*Y60</f>
        <v>0</v>
      </c>
      <c r="G60" s="124" t="n">
        <f aca="false">VLOOKUP($A60,Table,MATCH(G$4,Curves,0))</f>
        <v>3</v>
      </c>
      <c r="H60" s="125" t="n">
        <f aca="false">G60+$H$7</f>
        <v>3</v>
      </c>
      <c r="I60" s="124" t="n">
        <f aca="false">H60</f>
        <v>3</v>
      </c>
      <c r="J60" s="124" t="n">
        <f aca="false">VLOOKUP($A60,Table,MATCH(J$4,Curves,0))</f>
        <v>4</v>
      </c>
      <c r="K60" s="125" t="n">
        <f aca="false">J60+$K$7</f>
        <v>4</v>
      </c>
      <c r="L60" s="126" t="n">
        <f aca="false">K60</f>
        <v>4</v>
      </c>
      <c r="M60" s="124" t="n">
        <f aca="false">VLOOKUP($A60,Table,MATCH(M$4,Curves,0))</f>
        <v>4</v>
      </c>
      <c r="N60" s="125" t="n">
        <f aca="false">M60+$N$7</f>
        <v>4</v>
      </c>
      <c r="O60" s="126" t="n">
        <v>-0.04</v>
      </c>
      <c r="P60" s="114"/>
      <c r="Q60" s="126" t="n">
        <f aca="false">M60+J60+G60</f>
        <v>11</v>
      </c>
      <c r="R60" s="126" t="n">
        <f aca="false">N60+K60+H60</f>
        <v>11</v>
      </c>
      <c r="S60" s="126" t="n">
        <f aca="false">O60+L60+I60</f>
        <v>6.96</v>
      </c>
      <c r="T60" s="127"/>
      <c r="U60" s="5" t="n">
        <f aca="false">A61-A60</f>
        <v>30</v>
      </c>
      <c r="V60" s="128" t="n">
        <f aca="false">CHOOSE(F$3,A61+24,A60)</f>
        <v>38808</v>
      </c>
      <c r="W60" s="5" t="n">
        <f aca="false">V60-C$3</f>
        <v>1577</v>
      </c>
      <c r="X60" s="124" t="n">
        <f aca="false">VLOOKUP($A60,Table,MATCH(X$4,Curves,0))</f>
        <v>2</v>
      </c>
      <c r="Y60" s="129" t="n">
        <f aca="false">1/(1+CHOOSE(F$3,(X61+($K$3/10000))/2,(X60+($K$3/10000))/2))^(2*W60/365.25)</f>
        <v>0.00251507758001164</v>
      </c>
      <c r="Z60" s="5" t="n">
        <f aca="false">IF(AND(mthbeg&lt;=A60,mthend&gt;=A60),1,0)</f>
        <v>0</v>
      </c>
      <c r="AA60" s="5" t="n">
        <f aca="false">U60*Z60</f>
        <v>0</v>
      </c>
      <c r="AC60" s="115" t="n">
        <f aca="false">IF(G53=2,F60*(S60-Q60),F60*(Q60-S60))</f>
        <v>0</v>
      </c>
      <c r="AE60" s="116" t="n">
        <f aca="false">IF($G$3=1,F60*(R60-Q60),F60*(Q60-R60))</f>
        <v>0</v>
      </c>
      <c r="AG60" s="116" t="n">
        <f aca="false">AC60+AE60</f>
        <v>0</v>
      </c>
    </row>
    <row r="61" customFormat="false" ht="12.75" hidden="false" customHeight="false" outlineLevel="0" collapsed="false">
      <c r="A61" s="120" t="n">
        <f aca="false">EDATE(A60,1)</f>
        <v>38838</v>
      </c>
      <c r="B61" s="121" t="e">
        <f aca="false">VLOOKUP(A61,'Inputs-Summary'!$A$32:$E$41,5,FALSE())</f>
        <v>#N/A</v>
      </c>
      <c r="C61" s="122"/>
      <c r="D61" s="123" t="e">
        <f aca="false">B61+C61</f>
        <v>#N/A</v>
      </c>
      <c r="E61" s="111" t="n">
        <f aca="false">IF(Z61=0,0,IF(AND(Z61=1,$H$3=1),D61*U61,IF($H$3=2,D61,"N/A")))</f>
        <v>0</v>
      </c>
      <c r="F61" s="111" t="n">
        <f aca="false">E61*Y61</f>
        <v>0</v>
      </c>
      <c r="G61" s="124" t="n">
        <f aca="false">VLOOKUP($A61,Table,MATCH(G$4,Curves,0))</f>
        <v>3</v>
      </c>
      <c r="H61" s="125" t="n">
        <f aca="false">G61+$H$7</f>
        <v>3</v>
      </c>
      <c r="I61" s="124" t="n">
        <f aca="false">H61</f>
        <v>3</v>
      </c>
      <c r="J61" s="124" t="n">
        <f aca="false">VLOOKUP($A61,Table,MATCH(J$4,Curves,0))</f>
        <v>4</v>
      </c>
      <c r="K61" s="125" t="n">
        <f aca="false">J61+$K$7</f>
        <v>4</v>
      </c>
      <c r="L61" s="126" t="n">
        <f aca="false">K61</f>
        <v>4</v>
      </c>
      <c r="M61" s="124" t="n">
        <f aca="false">VLOOKUP($A61,Table,MATCH(M$4,Curves,0))</f>
        <v>4</v>
      </c>
      <c r="N61" s="125" t="n">
        <f aca="false">M61+$N$7</f>
        <v>4</v>
      </c>
      <c r="O61" s="126" t="n">
        <v>-0.04</v>
      </c>
      <c r="P61" s="114"/>
      <c r="Q61" s="126" t="n">
        <f aca="false">M61+J61+G61</f>
        <v>11</v>
      </c>
      <c r="R61" s="126" t="n">
        <f aca="false">N61+K61+H61</f>
        <v>11</v>
      </c>
      <c r="S61" s="126" t="n">
        <f aca="false">O61+L61+I61</f>
        <v>6.96</v>
      </c>
      <c r="T61" s="127"/>
      <c r="U61" s="5" t="n">
        <f aca="false">A62-A61</f>
        <v>31</v>
      </c>
      <c r="V61" s="128" t="n">
        <f aca="false">CHOOSE(F$3,A62+24,A61)</f>
        <v>38838</v>
      </c>
      <c r="W61" s="5" t="n">
        <f aca="false">V61-C$3</f>
        <v>1607</v>
      </c>
      <c r="X61" s="124" t="n">
        <f aca="false">VLOOKUP($A61,Table,MATCH(X$4,Curves,0))</f>
        <v>2</v>
      </c>
      <c r="Y61" s="129" t="n">
        <f aca="false">1/(1+CHOOSE(F$3,(X62+($K$3/10000))/2,(X61+($K$3/10000))/2))^(2*W61/365.25)</f>
        <v>0.00224440316880488</v>
      </c>
      <c r="Z61" s="5" t="n">
        <f aca="false">IF(AND(mthbeg&lt;=A61,mthend&gt;=A61),1,0)</f>
        <v>0</v>
      </c>
      <c r="AA61" s="5" t="n">
        <f aca="false">U61*Z61</f>
        <v>0</v>
      </c>
      <c r="AC61" s="115" t="n">
        <f aca="false">IF(G54=2,F61*(S61-Q61),F61*(Q61-S61))</f>
        <v>0</v>
      </c>
      <c r="AE61" s="116" t="n">
        <f aca="false">IF($G$3=1,F61*(R61-Q61),F61*(Q61-R61))</f>
        <v>0</v>
      </c>
      <c r="AG61" s="116" t="n">
        <f aca="false">AC61+AE61</f>
        <v>0</v>
      </c>
    </row>
    <row r="62" customFormat="false" ht="12.75" hidden="false" customHeight="false" outlineLevel="0" collapsed="false">
      <c r="A62" s="120" t="n">
        <f aca="false">EDATE(A61,1)</f>
        <v>38869</v>
      </c>
      <c r="B62" s="121" t="e">
        <f aca="false">VLOOKUP(A62,'Inputs-Summary'!$A$32:$E$41,5,FALSE())</f>
        <v>#N/A</v>
      </c>
      <c r="C62" s="122"/>
      <c r="D62" s="123" t="e">
        <f aca="false">B62+C62</f>
        <v>#N/A</v>
      </c>
      <c r="E62" s="111" t="n">
        <f aca="false">IF(Z62=0,0,IF(AND(Z62=1,$H$3=1),D62*U62,IF($H$3=2,D62,"N/A")))</f>
        <v>0</v>
      </c>
      <c r="F62" s="111" t="n">
        <f aca="false">E62*Y62</f>
        <v>0</v>
      </c>
      <c r="G62" s="124" t="n">
        <f aca="false">VLOOKUP($A62,Table,MATCH(G$4,Curves,0))</f>
        <v>3</v>
      </c>
      <c r="H62" s="125" t="n">
        <f aca="false">G62+$H$7</f>
        <v>3</v>
      </c>
      <c r="I62" s="124" t="n">
        <f aca="false">H62</f>
        <v>3</v>
      </c>
      <c r="J62" s="124" t="n">
        <f aca="false">VLOOKUP($A62,Table,MATCH(J$4,Curves,0))</f>
        <v>4</v>
      </c>
      <c r="K62" s="125" t="n">
        <f aca="false">J62+$K$7</f>
        <v>4</v>
      </c>
      <c r="L62" s="126" t="n">
        <f aca="false">K62</f>
        <v>4</v>
      </c>
      <c r="M62" s="124" t="n">
        <f aca="false">VLOOKUP($A62,Table,MATCH(M$4,Curves,0))</f>
        <v>4</v>
      </c>
      <c r="N62" s="125" t="n">
        <f aca="false">M62+$N$7</f>
        <v>4</v>
      </c>
      <c r="O62" s="126" t="n">
        <v>-0.04</v>
      </c>
      <c r="P62" s="114"/>
      <c r="Q62" s="126" t="n">
        <f aca="false">M62+J62+G62</f>
        <v>11</v>
      </c>
      <c r="R62" s="126" t="n">
        <f aca="false">N62+K62+H62</f>
        <v>11</v>
      </c>
      <c r="S62" s="126" t="n">
        <f aca="false">O62+L62+I62</f>
        <v>6.96</v>
      </c>
      <c r="T62" s="127"/>
      <c r="U62" s="5" t="n">
        <f aca="false">A63-A62</f>
        <v>30</v>
      </c>
      <c r="V62" s="128" t="n">
        <f aca="false">CHOOSE(F$3,A63+24,A62)</f>
        <v>38869</v>
      </c>
      <c r="W62" s="5" t="n">
        <f aca="false">V62-C$3</f>
        <v>1638</v>
      </c>
      <c r="X62" s="124" t="n">
        <f aca="false">VLOOKUP($A62,Table,MATCH(X$4,Curves,0))</f>
        <v>2</v>
      </c>
      <c r="Y62" s="129" t="n">
        <f aca="false">1/(1+CHOOSE(F$3,(X63+($K$3/10000))/2,(X62+($K$3/10000))/2))^(2*W62/365.25)</f>
        <v>0.00199527155011321</v>
      </c>
      <c r="Z62" s="5" t="n">
        <f aca="false">IF(AND(mthbeg&lt;=A62,mthend&gt;=A62),1,0)</f>
        <v>0</v>
      </c>
      <c r="AA62" s="5" t="n">
        <f aca="false">U62*Z62</f>
        <v>0</v>
      </c>
      <c r="AC62" s="115" t="n">
        <f aca="false">IF(G55=2,F62*(S62-Q62),F62*(Q62-S62))</f>
        <v>0</v>
      </c>
      <c r="AE62" s="116" t="n">
        <f aca="false">IF($G$3=1,F62*(R62-Q62),F62*(Q62-R62))</f>
        <v>0</v>
      </c>
      <c r="AG62" s="116" t="n">
        <f aca="false">AC62+AE62</f>
        <v>0</v>
      </c>
    </row>
    <row r="63" customFormat="false" ht="12.75" hidden="false" customHeight="false" outlineLevel="0" collapsed="false">
      <c r="A63" s="120" t="n">
        <f aca="false">EDATE(A62,1)</f>
        <v>38899</v>
      </c>
      <c r="B63" s="121" t="e">
        <f aca="false">VLOOKUP(A63,'Inputs-Summary'!$A$32:$E$41,5,FALSE())</f>
        <v>#N/A</v>
      </c>
      <c r="C63" s="122"/>
      <c r="D63" s="123" t="e">
        <f aca="false">B63+C63</f>
        <v>#N/A</v>
      </c>
      <c r="E63" s="111" t="n">
        <f aca="false">IF(Z63=0,0,IF(AND(Z63=1,$H$3=1),D63*U63,IF($H$3=2,D63,"N/A")))</f>
        <v>0</v>
      </c>
      <c r="F63" s="111" t="n">
        <f aca="false">E63*Y63</f>
        <v>0</v>
      </c>
      <c r="G63" s="124" t="n">
        <f aca="false">VLOOKUP($A63,Table,MATCH(G$4,Curves,0))</f>
        <v>3</v>
      </c>
      <c r="H63" s="125" t="n">
        <f aca="false">G63+$H$7</f>
        <v>3</v>
      </c>
      <c r="I63" s="124" t="n">
        <f aca="false">H63</f>
        <v>3</v>
      </c>
      <c r="J63" s="124" t="n">
        <f aca="false">VLOOKUP($A63,Table,MATCH(J$4,Curves,0))</f>
        <v>4</v>
      </c>
      <c r="K63" s="125" t="n">
        <f aca="false">J63+$K$7</f>
        <v>4</v>
      </c>
      <c r="L63" s="126" t="n">
        <f aca="false">K63</f>
        <v>4</v>
      </c>
      <c r="M63" s="124" t="n">
        <f aca="false">VLOOKUP($A63,Table,MATCH(M$4,Curves,0))</f>
        <v>4</v>
      </c>
      <c r="N63" s="125" t="n">
        <f aca="false">M63+$N$7</f>
        <v>4</v>
      </c>
      <c r="O63" s="126" t="n">
        <v>-0.04</v>
      </c>
      <c r="P63" s="114"/>
      <c r="Q63" s="126" t="n">
        <f aca="false">M63+J63+G63</f>
        <v>11</v>
      </c>
      <c r="R63" s="126" t="n">
        <f aca="false">N63+K63+H63</f>
        <v>11</v>
      </c>
      <c r="S63" s="126" t="n">
        <f aca="false">O63+L63+I63</f>
        <v>6.96</v>
      </c>
      <c r="T63" s="127"/>
      <c r="U63" s="5" t="n">
        <f aca="false">A64-A63</f>
        <v>31</v>
      </c>
      <c r="V63" s="128" t="n">
        <f aca="false">CHOOSE(F$3,A64+24,A63)</f>
        <v>38899</v>
      </c>
      <c r="W63" s="5" t="n">
        <f aca="false">V63-C$3</f>
        <v>1668</v>
      </c>
      <c r="X63" s="124" t="n">
        <f aca="false">VLOOKUP($A63,Table,MATCH(X$4,Curves,0))</f>
        <v>2</v>
      </c>
      <c r="Y63" s="129" t="n">
        <f aca="false">1/(1+CHOOSE(F$3,(X64+($K$3/10000))/2,(X63+($K$3/10000))/2))^(2*W63/365.25)</f>
        <v>0.00178053902801661</v>
      </c>
      <c r="Z63" s="5" t="n">
        <f aca="false">IF(AND(mthbeg&lt;=A63,mthend&gt;=A63),1,0)</f>
        <v>0</v>
      </c>
      <c r="AA63" s="5" t="n">
        <f aca="false">U63*Z63</f>
        <v>0</v>
      </c>
      <c r="AC63" s="115" t="n">
        <f aca="false">IF(G56=2,F63*(S63-Q63),F63*(Q63-S63))</f>
        <v>0</v>
      </c>
      <c r="AE63" s="116" t="n">
        <f aca="false">IF($G$3=1,F63*(R63-Q63),F63*(Q63-R63))</f>
        <v>0</v>
      </c>
      <c r="AG63" s="116" t="n">
        <f aca="false">AC63+AE63</f>
        <v>0</v>
      </c>
    </row>
    <row r="64" customFormat="false" ht="12.75" hidden="false" customHeight="false" outlineLevel="0" collapsed="false">
      <c r="A64" s="120" t="n">
        <f aca="false">EDATE(A63,1)</f>
        <v>38930</v>
      </c>
      <c r="B64" s="121" t="e">
        <f aca="false">VLOOKUP(A64,'Inputs-Summary'!$A$32:$E$41,5,FALSE())</f>
        <v>#N/A</v>
      </c>
      <c r="C64" s="122"/>
      <c r="D64" s="123" t="e">
        <f aca="false">B64+C64</f>
        <v>#N/A</v>
      </c>
      <c r="E64" s="111" t="n">
        <f aca="false">IF(Z64=0,0,IF(AND(Z64=1,$H$3=1),D64*U64,IF($H$3=2,D64,"N/A")))</f>
        <v>0</v>
      </c>
      <c r="F64" s="111" t="n">
        <f aca="false">E64*Y64</f>
        <v>0</v>
      </c>
      <c r="G64" s="124" t="n">
        <f aca="false">VLOOKUP($A64,Table,MATCH(G$4,Curves,0))</f>
        <v>3</v>
      </c>
      <c r="H64" s="125" t="n">
        <f aca="false">G64+$H$7</f>
        <v>3</v>
      </c>
      <c r="I64" s="124" t="n">
        <f aca="false">H64</f>
        <v>3</v>
      </c>
      <c r="J64" s="124" t="n">
        <f aca="false">VLOOKUP($A64,Table,MATCH(J$4,Curves,0))</f>
        <v>4</v>
      </c>
      <c r="K64" s="125" t="n">
        <f aca="false">J64+$K$7</f>
        <v>4</v>
      </c>
      <c r="L64" s="126" t="n">
        <f aca="false">K64</f>
        <v>4</v>
      </c>
      <c r="M64" s="124" t="n">
        <f aca="false">VLOOKUP($A64,Table,MATCH(M$4,Curves,0))</f>
        <v>4</v>
      </c>
      <c r="N64" s="125" t="n">
        <f aca="false">M64+$N$7</f>
        <v>4</v>
      </c>
      <c r="O64" s="126" t="n">
        <v>-0.04</v>
      </c>
      <c r="P64" s="114"/>
      <c r="Q64" s="126" t="n">
        <f aca="false">M64+J64+G64</f>
        <v>11</v>
      </c>
      <c r="R64" s="126" t="n">
        <f aca="false">N64+K64+H64</f>
        <v>11</v>
      </c>
      <c r="S64" s="126" t="n">
        <f aca="false">O64+L64+I64</f>
        <v>6.96</v>
      </c>
      <c r="T64" s="127"/>
      <c r="U64" s="5" t="n">
        <f aca="false">A65-A64</f>
        <v>31</v>
      </c>
      <c r="V64" s="128" t="n">
        <f aca="false">CHOOSE(F$3,A65+24,A64)</f>
        <v>38930</v>
      </c>
      <c r="W64" s="5" t="n">
        <f aca="false">V64-C$3</f>
        <v>1699</v>
      </c>
      <c r="X64" s="124" t="n">
        <f aca="false">VLOOKUP($A64,Table,MATCH(X$4,Curves,0))</f>
        <v>2</v>
      </c>
      <c r="Y64" s="129" t="n">
        <f aca="false">1/(1+CHOOSE(F$3,(X65+($K$3/10000))/2,(X64+($K$3/10000))/2))^(2*W64/365.25)</f>
        <v>0.00158289692148293</v>
      </c>
      <c r="Z64" s="5" t="n">
        <f aca="false">IF(AND(mthbeg&lt;=A64,mthend&gt;=A64),1,0)</f>
        <v>0</v>
      </c>
      <c r="AA64" s="5" t="n">
        <f aca="false">U64*Z64</f>
        <v>0</v>
      </c>
      <c r="AC64" s="115" t="n">
        <f aca="false">IF(G57=2,F64*(S64-Q64),F64*(Q64-S64))</f>
        <v>0</v>
      </c>
      <c r="AE64" s="116" t="n">
        <f aca="false">IF($G$3=1,F64*(R64-Q64),F64*(Q64-R64))</f>
        <v>0</v>
      </c>
      <c r="AG64" s="116" t="n">
        <f aca="false">AC64+AE64</f>
        <v>0</v>
      </c>
    </row>
    <row r="65" customFormat="false" ht="12.75" hidden="false" customHeight="false" outlineLevel="0" collapsed="false">
      <c r="A65" s="120" t="n">
        <f aca="false">EDATE(A64,1)</f>
        <v>38961</v>
      </c>
      <c r="B65" s="121" t="e">
        <f aca="false">VLOOKUP(A65,'Inputs-Summary'!$A$32:$E$41,5,FALSE())</f>
        <v>#N/A</v>
      </c>
      <c r="C65" s="122"/>
      <c r="D65" s="123" t="e">
        <f aca="false">B65+C65</f>
        <v>#N/A</v>
      </c>
      <c r="E65" s="111" t="n">
        <f aca="false">IF(Z65=0,0,IF(AND(Z65=1,$H$3=1),D65*U65,IF($H$3=2,D65,"N/A")))</f>
        <v>0</v>
      </c>
      <c r="F65" s="111" t="n">
        <f aca="false">E65*Y65</f>
        <v>0</v>
      </c>
      <c r="G65" s="124" t="n">
        <f aca="false">VLOOKUP($A65,Table,MATCH(G$4,Curves,0))</f>
        <v>3</v>
      </c>
      <c r="H65" s="125" t="n">
        <f aca="false">G65+$H$7</f>
        <v>3</v>
      </c>
      <c r="I65" s="124" t="n">
        <f aca="false">H65</f>
        <v>3</v>
      </c>
      <c r="J65" s="124" t="n">
        <f aca="false">VLOOKUP($A65,Table,MATCH(J$4,Curves,0))</f>
        <v>4</v>
      </c>
      <c r="K65" s="125" t="n">
        <f aca="false">J65+$K$7</f>
        <v>4</v>
      </c>
      <c r="L65" s="126" t="n">
        <f aca="false">K65</f>
        <v>4</v>
      </c>
      <c r="M65" s="124" t="n">
        <f aca="false">VLOOKUP($A65,Table,MATCH(M$4,Curves,0))</f>
        <v>4</v>
      </c>
      <c r="N65" s="125" t="n">
        <f aca="false">M65+$N$7</f>
        <v>4</v>
      </c>
      <c r="O65" s="126" t="n">
        <v>-0.04</v>
      </c>
      <c r="P65" s="114"/>
      <c r="Q65" s="126" t="n">
        <f aca="false">M65+J65+G65</f>
        <v>11</v>
      </c>
      <c r="R65" s="126" t="n">
        <f aca="false">N65+K65+H65</f>
        <v>11</v>
      </c>
      <c r="S65" s="126" t="n">
        <f aca="false">O65+L65+I65</f>
        <v>6.96</v>
      </c>
      <c r="T65" s="127"/>
      <c r="U65" s="5" t="n">
        <f aca="false">A66-A65</f>
        <v>30</v>
      </c>
      <c r="V65" s="128" t="n">
        <f aca="false">CHOOSE(F$3,A66+24,A65)</f>
        <v>38961</v>
      </c>
      <c r="W65" s="5" t="n">
        <f aca="false">V65-C$3</f>
        <v>1730</v>
      </c>
      <c r="X65" s="124" t="n">
        <f aca="false">VLOOKUP($A65,Table,MATCH(X$4,Curves,0))</f>
        <v>2</v>
      </c>
      <c r="Y65" s="129" t="n">
        <f aca="false">1/(1+CHOOSE(F$3,(X66+($K$3/10000))/2,(X65+($K$3/10000))/2))^(2*W65/365.25)</f>
        <v>0.00140719334123845</v>
      </c>
      <c r="Z65" s="5" t="n">
        <f aca="false">IF(AND(mthbeg&lt;=A65,mthend&gt;=A65),1,0)</f>
        <v>0</v>
      </c>
      <c r="AA65" s="5" t="n">
        <f aca="false">U65*Z65</f>
        <v>0</v>
      </c>
      <c r="AC65" s="115" t="n">
        <f aca="false">IF(G58=2,F65*(S65-Q65),F65*(Q65-S65))</f>
        <v>0</v>
      </c>
      <c r="AE65" s="116" t="n">
        <f aca="false">IF($G$3=1,F65*(R65-Q65),F65*(Q65-R65))</f>
        <v>0</v>
      </c>
      <c r="AG65" s="116" t="n">
        <f aca="false">AC65+AE65</f>
        <v>0</v>
      </c>
    </row>
    <row r="66" customFormat="false" ht="12.75" hidden="false" customHeight="false" outlineLevel="0" collapsed="false">
      <c r="A66" s="120" t="n">
        <f aca="false">EDATE(A65,1)</f>
        <v>38991</v>
      </c>
      <c r="B66" s="121" t="e">
        <f aca="false">VLOOKUP(A66,'Inputs-Summary'!$A$32:$E$41,5,FALSE())</f>
        <v>#N/A</v>
      </c>
      <c r="C66" s="122"/>
      <c r="D66" s="123" t="e">
        <f aca="false">B66+C66</f>
        <v>#N/A</v>
      </c>
      <c r="E66" s="111" t="n">
        <f aca="false">IF(Z66=0,0,IF(AND(Z66=1,$H$3=1),D66*U66,IF($H$3=2,D66,"N/A")))</f>
        <v>0</v>
      </c>
      <c r="F66" s="111" t="n">
        <f aca="false">E66*Y66</f>
        <v>0</v>
      </c>
      <c r="G66" s="124" t="n">
        <f aca="false">VLOOKUP($A66,Table,MATCH(G$4,Curves,0))</f>
        <v>3</v>
      </c>
      <c r="H66" s="125" t="n">
        <f aca="false">G66+$H$7</f>
        <v>3</v>
      </c>
      <c r="I66" s="124" t="n">
        <f aca="false">H66</f>
        <v>3</v>
      </c>
      <c r="J66" s="124" t="n">
        <f aca="false">VLOOKUP($A66,Table,MATCH(J$4,Curves,0))</f>
        <v>4</v>
      </c>
      <c r="K66" s="125" t="n">
        <f aca="false">J66+$K$7</f>
        <v>4</v>
      </c>
      <c r="L66" s="126" t="n">
        <f aca="false">K66</f>
        <v>4</v>
      </c>
      <c r="M66" s="124" t="n">
        <f aca="false">VLOOKUP($A66,Table,MATCH(M$4,Curves,0))</f>
        <v>4</v>
      </c>
      <c r="N66" s="125" t="n">
        <f aca="false">M66+$N$7</f>
        <v>4</v>
      </c>
      <c r="O66" s="126" t="n">
        <v>-0.04</v>
      </c>
      <c r="P66" s="114"/>
      <c r="Q66" s="126" t="n">
        <f aca="false">M66+J66+G66</f>
        <v>11</v>
      </c>
      <c r="R66" s="126" t="n">
        <f aca="false">N66+K66+H66</f>
        <v>11</v>
      </c>
      <c r="S66" s="126" t="n">
        <f aca="false">O66+L66+I66</f>
        <v>6.96</v>
      </c>
      <c r="T66" s="127"/>
      <c r="U66" s="5" t="n">
        <f aca="false">A67-A66</f>
        <v>31</v>
      </c>
      <c r="V66" s="128" t="n">
        <f aca="false">CHOOSE(F$3,A67+24,A66)</f>
        <v>38991</v>
      </c>
      <c r="W66" s="5" t="n">
        <f aca="false">V66-C$3</f>
        <v>1760</v>
      </c>
      <c r="X66" s="124" t="n">
        <f aca="false">VLOOKUP($A66,Table,MATCH(X$4,Curves,0))</f>
        <v>2</v>
      </c>
      <c r="Y66" s="129" t="n">
        <f aca="false">1/(1+CHOOSE(F$3,(X67+($K$3/10000))/2,(X66+($K$3/10000))/2))^(2*W66/365.25)</f>
        <v>0.00125575020798447</v>
      </c>
      <c r="Z66" s="5" t="n">
        <f aca="false">IF(AND(mthbeg&lt;=A66,mthend&gt;=A66),1,0)</f>
        <v>0</v>
      </c>
      <c r="AA66" s="5" t="n">
        <f aca="false">U66*Z66</f>
        <v>0</v>
      </c>
      <c r="AC66" s="115" t="n">
        <f aca="false">IF(G59=2,F66*(S66-Q66),F66*(Q66-S66))</f>
        <v>0</v>
      </c>
      <c r="AE66" s="116" t="n">
        <f aca="false">IF($G$3=1,F66*(R66-Q66),F66*(Q66-R66))</f>
        <v>0</v>
      </c>
      <c r="AG66" s="116" t="n">
        <f aca="false">AC66+AE66</f>
        <v>0</v>
      </c>
    </row>
    <row r="67" customFormat="false" ht="12.75" hidden="false" customHeight="false" outlineLevel="0" collapsed="false">
      <c r="A67" s="120" t="n">
        <f aca="false">EDATE(A66,1)</f>
        <v>39022</v>
      </c>
      <c r="B67" s="121" t="e">
        <f aca="false">VLOOKUP(A67,'Inputs-Summary'!$A$32:$E$41,5,FALSE())</f>
        <v>#N/A</v>
      </c>
      <c r="C67" s="122"/>
      <c r="D67" s="123" t="e">
        <f aca="false">B67+C67</f>
        <v>#N/A</v>
      </c>
      <c r="E67" s="111" t="n">
        <f aca="false">IF(Z67=0,0,IF(AND(Z67=1,$H$3=1),D67*U67,IF($H$3=2,D67,"N/A")))</f>
        <v>0</v>
      </c>
      <c r="F67" s="111" t="n">
        <f aca="false">E67*Y67</f>
        <v>0</v>
      </c>
      <c r="G67" s="124" t="n">
        <f aca="false">VLOOKUP($A67,Table,MATCH(G$4,Curves,0))</f>
        <v>3</v>
      </c>
      <c r="H67" s="125" t="n">
        <f aca="false">G67+$H$7</f>
        <v>3</v>
      </c>
      <c r="I67" s="124" t="n">
        <f aca="false">H67</f>
        <v>3</v>
      </c>
      <c r="J67" s="124" t="n">
        <f aca="false">VLOOKUP($A67,Table,MATCH(J$4,Curves,0))</f>
        <v>4</v>
      </c>
      <c r="K67" s="125" t="n">
        <f aca="false">J67+$K$7</f>
        <v>4</v>
      </c>
      <c r="L67" s="126" t="n">
        <f aca="false">K67</f>
        <v>4</v>
      </c>
      <c r="M67" s="124" t="n">
        <f aca="false">VLOOKUP($A67,Table,MATCH(M$4,Curves,0))</f>
        <v>4</v>
      </c>
      <c r="N67" s="125" t="n">
        <f aca="false">M67+$N$7</f>
        <v>4</v>
      </c>
      <c r="O67" s="126" t="n">
        <v>-0.04</v>
      </c>
      <c r="P67" s="114"/>
      <c r="Q67" s="126" t="n">
        <f aca="false">M67+J67+G67</f>
        <v>11</v>
      </c>
      <c r="R67" s="126" t="n">
        <f aca="false">N67+K67+H67</f>
        <v>11</v>
      </c>
      <c r="S67" s="126" t="n">
        <f aca="false">O67+L67+I67</f>
        <v>6.96</v>
      </c>
      <c r="T67" s="127"/>
      <c r="U67" s="5" t="n">
        <f aca="false">A68-A67</f>
        <v>30</v>
      </c>
      <c r="V67" s="128" t="n">
        <f aca="false">CHOOSE(F$3,A68+24,A67)</f>
        <v>39022</v>
      </c>
      <c r="W67" s="5" t="n">
        <f aca="false">V67-C$3</f>
        <v>1791</v>
      </c>
      <c r="X67" s="124" t="n">
        <f aca="false">VLOOKUP($A67,Table,MATCH(X$4,Curves,0))</f>
        <v>2</v>
      </c>
      <c r="Y67" s="129" t="n">
        <f aca="false">1/(1+CHOOSE(F$3,(X68+($K$3/10000))/2,(X67+($K$3/10000))/2))^(2*W67/365.25)</f>
        <v>0.00111636033082877</v>
      </c>
      <c r="Z67" s="5" t="n">
        <f aca="false">IF(AND(mthbeg&lt;=A67,mthend&gt;=A67),1,0)</f>
        <v>0</v>
      </c>
      <c r="AA67" s="5" t="n">
        <f aca="false">U67*Z67</f>
        <v>0</v>
      </c>
      <c r="AC67" s="115" t="n">
        <f aca="false">IF(G60=2,F67*(S67-Q67),F67*(Q67-S67))</f>
        <v>0</v>
      </c>
      <c r="AE67" s="116" t="n">
        <f aca="false">IF($G$3=1,F67*(R67-Q67),F67*(Q67-R67))</f>
        <v>0</v>
      </c>
      <c r="AG67" s="116" t="n">
        <f aca="false">AC67+AE67</f>
        <v>0</v>
      </c>
    </row>
    <row r="68" customFormat="false" ht="12.75" hidden="false" customHeight="false" outlineLevel="0" collapsed="false">
      <c r="A68" s="120" t="n">
        <f aca="false">EDATE(A67,1)</f>
        <v>39052</v>
      </c>
      <c r="B68" s="121" t="e">
        <f aca="false">VLOOKUP(A68,'Inputs-Summary'!$A$32:$E$41,5,FALSE())</f>
        <v>#N/A</v>
      </c>
      <c r="C68" s="122"/>
      <c r="D68" s="123" t="e">
        <f aca="false">B68+C68</f>
        <v>#N/A</v>
      </c>
      <c r="E68" s="111" t="n">
        <f aca="false">IF(Z68=0,0,IF(AND(Z68=1,$H$3=1),D68*U68,IF($H$3=2,D68,"N/A")))</f>
        <v>0</v>
      </c>
      <c r="F68" s="111" t="n">
        <f aca="false">E68*Y68</f>
        <v>0</v>
      </c>
      <c r="G68" s="124" t="n">
        <f aca="false">VLOOKUP($A68,Table,MATCH(G$4,Curves,0))</f>
        <v>3</v>
      </c>
      <c r="H68" s="125" t="n">
        <f aca="false">G68+$H$7</f>
        <v>3</v>
      </c>
      <c r="I68" s="124" t="n">
        <f aca="false">H68</f>
        <v>3</v>
      </c>
      <c r="J68" s="124" t="n">
        <f aca="false">VLOOKUP($A68,Table,MATCH(J$4,Curves,0))</f>
        <v>4</v>
      </c>
      <c r="K68" s="125" t="n">
        <f aca="false">J68+$K$7</f>
        <v>4</v>
      </c>
      <c r="L68" s="126" t="n">
        <f aca="false">K68</f>
        <v>4</v>
      </c>
      <c r="M68" s="124" t="n">
        <f aca="false">VLOOKUP($A68,Table,MATCH(M$4,Curves,0))</f>
        <v>4</v>
      </c>
      <c r="N68" s="125" t="n">
        <f aca="false">M68+$N$7</f>
        <v>4</v>
      </c>
      <c r="O68" s="126" t="n">
        <v>-0.04</v>
      </c>
      <c r="P68" s="114"/>
      <c r="Q68" s="126" t="n">
        <f aca="false">M68+J68+G68</f>
        <v>11</v>
      </c>
      <c r="R68" s="126" t="n">
        <f aca="false">N68+K68+H68</f>
        <v>11</v>
      </c>
      <c r="S68" s="126" t="n">
        <f aca="false">O68+L68+I68</f>
        <v>6.96</v>
      </c>
      <c r="T68" s="127"/>
      <c r="U68" s="5" t="n">
        <f aca="false">A69-A68</f>
        <v>31</v>
      </c>
      <c r="V68" s="128" t="n">
        <f aca="false">CHOOSE(F$3,A69+24,A68)</f>
        <v>39052</v>
      </c>
      <c r="W68" s="5" t="n">
        <f aca="false">V68-C$3</f>
        <v>1821</v>
      </c>
      <c r="X68" s="124" t="n">
        <f aca="false">VLOOKUP($A68,Table,MATCH(X$4,Curves,0))</f>
        <v>2</v>
      </c>
      <c r="Y68" s="129" t="n">
        <f aca="false">1/(1+CHOOSE(F$3,(X69+($K$3/10000))/2,(X68+($K$3/10000))/2))^(2*W68/365.25)</f>
        <v>0.000996216849910671</v>
      </c>
      <c r="Z68" s="5" t="n">
        <f aca="false">IF(AND(mthbeg&lt;=A68,mthend&gt;=A68),1,0)</f>
        <v>0</v>
      </c>
      <c r="AA68" s="5" t="n">
        <f aca="false">U68*Z68</f>
        <v>0</v>
      </c>
      <c r="AC68" s="115" t="n">
        <f aca="false">IF(G61=2,F68*(S68-Q68),F68*(Q68-S68))</f>
        <v>0</v>
      </c>
      <c r="AE68" s="116" t="n">
        <f aca="false">IF($G$3=1,F68*(R68-Q68),F68*(Q68-R68))</f>
        <v>0</v>
      </c>
      <c r="AG68" s="116" t="n">
        <f aca="false">AC68+AE68</f>
        <v>0</v>
      </c>
    </row>
    <row r="69" customFormat="false" ht="12.75" hidden="false" customHeight="false" outlineLevel="0" collapsed="false">
      <c r="A69" s="120" t="n">
        <f aca="false">EDATE(A68,1)</f>
        <v>39083</v>
      </c>
      <c r="B69" s="121" t="e">
        <f aca="false">VLOOKUP(A69,'Inputs-Summary'!$A$32:$E$41,5,FALSE())</f>
        <v>#N/A</v>
      </c>
      <c r="C69" s="122"/>
      <c r="D69" s="123" t="e">
        <f aca="false">B69+C69</f>
        <v>#N/A</v>
      </c>
      <c r="E69" s="111" t="n">
        <f aca="false">IF(Z69=0,0,IF(AND(Z69=1,$H$3=1),D69*U69,IF($H$3=2,D69,"N/A")))</f>
        <v>0</v>
      </c>
      <c r="F69" s="111" t="n">
        <f aca="false">E69*Y69</f>
        <v>0</v>
      </c>
      <c r="G69" s="124" t="n">
        <f aca="false">VLOOKUP($A69,Table,MATCH(G$4,Curves,0))</f>
        <v>3</v>
      </c>
      <c r="H69" s="125" t="n">
        <f aca="false">G69+$H$7</f>
        <v>3</v>
      </c>
      <c r="I69" s="124" t="n">
        <f aca="false">H69</f>
        <v>3</v>
      </c>
      <c r="J69" s="124" t="n">
        <f aca="false">VLOOKUP($A69,Table,MATCH(J$4,Curves,0))</f>
        <v>4</v>
      </c>
      <c r="K69" s="125" t="n">
        <f aca="false">J69+$K$7</f>
        <v>4</v>
      </c>
      <c r="L69" s="126" t="n">
        <f aca="false">K69</f>
        <v>4</v>
      </c>
      <c r="M69" s="124" t="n">
        <f aca="false">VLOOKUP($A69,Table,MATCH(M$4,Curves,0))</f>
        <v>4</v>
      </c>
      <c r="N69" s="125" t="n">
        <f aca="false">M69+$N$7</f>
        <v>4</v>
      </c>
      <c r="O69" s="126" t="n">
        <v>-0.04</v>
      </c>
      <c r="P69" s="114"/>
      <c r="Q69" s="126" t="n">
        <f aca="false">M69+J69+G69</f>
        <v>11</v>
      </c>
      <c r="R69" s="126" t="n">
        <f aca="false">N69+K69+H69</f>
        <v>11</v>
      </c>
      <c r="S69" s="126" t="n">
        <f aca="false">O69+L69+I69</f>
        <v>6.96</v>
      </c>
      <c r="T69" s="127"/>
      <c r="U69" s="5" t="n">
        <f aca="false">A70-A69</f>
        <v>31</v>
      </c>
      <c r="V69" s="128" t="n">
        <f aca="false">CHOOSE(F$3,A70+24,A69)</f>
        <v>39083</v>
      </c>
      <c r="W69" s="5" t="n">
        <f aca="false">V69-C$3</f>
        <v>1852</v>
      </c>
      <c r="X69" s="124" t="n">
        <f aca="false">VLOOKUP($A69,Table,MATCH(X$4,Curves,0))</f>
        <v>2</v>
      </c>
      <c r="Y69" s="129" t="n">
        <f aca="false">1/(1+CHOOSE(F$3,(X70+($K$3/10000))/2,(X69+($K$3/10000))/2))^(2*W69/365.25)</f>
        <v>0.000885635507023727</v>
      </c>
      <c r="Z69" s="5" t="n">
        <f aca="false">IF(AND(mthbeg&lt;=A69,mthend&gt;=A69),1,0)</f>
        <v>0</v>
      </c>
      <c r="AA69" s="5" t="n">
        <f aca="false">U69*Z69</f>
        <v>0</v>
      </c>
      <c r="AC69" s="115" t="n">
        <f aca="false">IF(G62=2,F69*(S69-Q69),F69*(Q69-S69))</f>
        <v>0</v>
      </c>
      <c r="AE69" s="116" t="n">
        <f aca="false">IF($G$3=1,F69*(R69-Q69),F69*(Q69-R69))</f>
        <v>0</v>
      </c>
      <c r="AG69" s="116" t="n">
        <f aca="false">AC69+AE69</f>
        <v>0</v>
      </c>
    </row>
    <row r="70" customFormat="false" ht="12.75" hidden="false" customHeight="false" outlineLevel="0" collapsed="false">
      <c r="A70" s="120" t="n">
        <f aca="false">EDATE(A69,1)</f>
        <v>39114</v>
      </c>
      <c r="B70" s="121" t="e">
        <f aca="false">VLOOKUP(A70,'Inputs-Summary'!$A$32:$E$41,5,FALSE())</f>
        <v>#N/A</v>
      </c>
      <c r="C70" s="122"/>
      <c r="D70" s="123" t="e">
        <f aca="false">B70+C70</f>
        <v>#N/A</v>
      </c>
      <c r="E70" s="111" t="n">
        <f aca="false">IF(Z70=0,0,IF(AND(Z70=1,$H$3=1),D70*U70,IF($H$3=2,D70,"N/A")))</f>
        <v>0</v>
      </c>
      <c r="F70" s="111" t="n">
        <f aca="false">E70*Y70</f>
        <v>0</v>
      </c>
      <c r="G70" s="124" t="n">
        <f aca="false">VLOOKUP($A70,Table,MATCH(G$4,Curves,0))</f>
        <v>3</v>
      </c>
      <c r="H70" s="125" t="n">
        <f aca="false">G70+$H$7</f>
        <v>3</v>
      </c>
      <c r="I70" s="124" t="n">
        <f aca="false">H70</f>
        <v>3</v>
      </c>
      <c r="J70" s="124" t="n">
        <f aca="false">VLOOKUP($A70,Table,MATCH(J$4,Curves,0))</f>
        <v>4</v>
      </c>
      <c r="K70" s="125" t="n">
        <f aca="false">J70+$K$7</f>
        <v>4</v>
      </c>
      <c r="L70" s="126" t="n">
        <f aca="false">K70</f>
        <v>4</v>
      </c>
      <c r="M70" s="124" t="n">
        <f aca="false">VLOOKUP($A70,Table,MATCH(M$4,Curves,0))</f>
        <v>4</v>
      </c>
      <c r="N70" s="125" t="n">
        <f aca="false">M70+$N$7</f>
        <v>4</v>
      </c>
      <c r="O70" s="126" t="n">
        <v>-0.04</v>
      </c>
      <c r="P70" s="114"/>
      <c r="Q70" s="126" t="n">
        <f aca="false">M70+J70+G70</f>
        <v>11</v>
      </c>
      <c r="R70" s="126" t="n">
        <f aca="false">N70+K70+H70</f>
        <v>11</v>
      </c>
      <c r="S70" s="126" t="n">
        <f aca="false">O70+L70+I70</f>
        <v>6.96</v>
      </c>
      <c r="T70" s="127"/>
      <c r="U70" s="5" t="n">
        <f aca="false">A71-A70</f>
        <v>28</v>
      </c>
      <c r="V70" s="128" t="n">
        <f aca="false">CHOOSE(F$3,A71+24,A70)</f>
        <v>39114</v>
      </c>
      <c r="W70" s="5" t="n">
        <f aca="false">V70-C$3</f>
        <v>1883</v>
      </c>
      <c r="X70" s="124" t="n">
        <f aca="false">VLOOKUP($A70,Table,MATCH(X$4,Curves,0))</f>
        <v>2</v>
      </c>
      <c r="Y70" s="129" t="n">
        <f aca="false">1/(1+CHOOSE(F$3,(X71+($K$3/10000))/2,(X70+($K$3/10000))/2))^(2*W70/365.25)</f>
        <v>0.000787328834451561</v>
      </c>
      <c r="Z70" s="5" t="n">
        <f aca="false">IF(AND(mthbeg&lt;=A70,mthend&gt;=A70),1,0)</f>
        <v>0</v>
      </c>
      <c r="AA70" s="5" t="n">
        <f aca="false">U70*Z70</f>
        <v>0</v>
      </c>
      <c r="AC70" s="115" t="n">
        <f aca="false">IF(G63=2,F70*(S70-Q70),F70*(Q70-S70))</f>
        <v>0</v>
      </c>
      <c r="AE70" s="116" t="n">
        <f aca="false">IF($G$3=1,F70*(R70-Q70),F70*(Q70-R70))</f>
        <v>0</v>
      </c>
      <c r="AG70" s="116" t="n">
        <f aca="false">AC70+AE70</f>
        <v>0</v>
      </c>
    </row>
    <row r="71" customFormat="false" ht="12.75" hidden="false" customHeight="false" outlineLevel="0" collapsed="false">
      <c r="A71" s="120" t="n">
        <f aca="false">EDATE(A70,1)</f>
        <v>39142</v>
      </c>
      <c r="B71" s="121" t="e">
        <f aca="false">VLOOKUP(A71,'Inputs-Summary'!$A$32:$E$41,5,FALSE())</f>
        <v>#N/A</v>
      </c>
      <c r="C71" s="122"/>
      <c r="D71" s="123" t="e">
        <f aca="false">B71+C71</f>
        <v>#N/A</v>
      </c>
      <c r="E71" s="111" t="n">
        <f aca="false">IF(Z71=0,0,IF(AND(Z71=1,$H$3=1),D71*U71,IF($H$3=2,D71,"N/A")))</f>
        <v>0</v>
      </c>
      <c r="F71" s="111" t="n">
        <f aca="false">E71*Y71</f>
        <v>0</v>
      </c>
      <c r="G71" s="124" t="n">
        <f aca="false">VLOOKUP($A71,Table,MATCH(G$4,Curves,0))</f>
        <v>3</v>
      </c>
      <c r="H71" s="125" t="n">
        <f aca="false">G71+$H$7</f>
        <v>3</v>
      </c>
      <c r="I71" s="124" t="n">
        <f aca="false">H71</f>
        <v>3</v>
      </c>
      <c r="J71" s="124" t="n">
        <f aca="false">VLOOKUP($A71,Table,MATCH(J$4,Curves,0))</f>
        <v>4</v>
      </c>
      <c r="K71" s="125" t="n">
        <f aca="false">J71+$K$7</f>
        <v>4</v>
      </c>
      <c r="L71" s="126" t="n">
        <f aca="false">K71</f>
        <v>4</v>
      </c>
      <c r="M71" s="124" t="n">
        <f aca="false">VLOOKUP($A71,Table,MATCH(M$4,Curves,0))</f>
        <v>4</v>
      </c>
      <c r="N71" s="125" t="n">
        <f aca="false">M71+$N$7</f>
        <v>4</v>
      </c>
      <c r="O71" s="126" t="n">
        <v>-0.04</v>
      </c>
      <c r="P71" s="114"/>
      <c r="Q71" s="126" t="n">
        <f aca="false">M71+J71+G71</f>
        <v>11</v>
      </c>
      <c r="R71" s="126" t="n">
        <f aca="false">N71+K71+H71</f>
        <v>11</v>
      </c>
      <c r="S71" s="126" t="n">
        <f aca="false">O71+L71+I71</f>
        <v>6.96</v>
      </c>
      <c r="T71" s="127"/>
      <c r="U71" s="5" t="n">
        <f aca="false">A72-A71</f>
        <v>31</v>
      </c>
      <c r="V71" s="128" t="n">
        <f aca="false">CHOOSE(F$3,A72+24,A71)</f>
        <v>39142</v>
      </c>
      <c r="W71" s="5" t="n">
        <f aca="false">V71-C$3</f>
        <v>1911</v>
      </c>
      <c r="X71" s="124" t="n">
        <f aca="false">VLOOKUP($A71,Table,MATCH(X$4,Curves,0))</f>
        <v>2</v>
      </c>
      <c r="Y71" s="129" t="n">
        <f aca="false">1/(1+CHOOSE(F$3,(X72+($K$3/10000))/2,(X71+($K$3/10000))/2))^(2*W71/365.25)</f>
        <v>0.000707949607263949</v>
      </c>
      <c r="Z71" s="5" t="n">
        <f aca="false">IF(AND(mthbeg&lt;=A71,mthend&gt;=A71),1,0)</f>
        <v>0</v>
      </c>
      <c r="AA71" s="5" t="n">
        <f aca="false">U71*Z71</f>
        <v>0</v>
      </c>
      <c r="AC71" s="115" t="n">
        <f aca="false">IF(G64=2,F71*(S71-Q71),F71*(Q71-S71))</f>
        <v>0</v>
      </c>
      <c r="AE71" s="116" t="n">
        <f aca="false">IF($G$3=1,F71*(R71-Q71),F71*(Q71-R71))</f>
        <v>0</v>
      </c>
      <c r="AG71" s="116" t="n">
        <f aca="false">AC71+AE71</f>
        <v>0</v>
      </c>
    </row>
    <row r="72" customFormat="false" ht="12.75" hidden="false" customHeight="false" outlineLevel="0" collapsed="false">
      <c r="A72" s="120" t="n">
        <f aca="false">EDATE(A71,1)</f>
        <v>39173</v>
      </c>
      <c r="B72" s="121" t="e">
        <f aca="false">VLOOKUP(A72,'Inputs-Summary'!$A$32:$E$41,5,FALSE())</f>
        <v>#N/A</v>
      </c>
      <c r="C72" s="122"/>
      <c r="D72" s="123" t="e">
        <f aca="false">B72+C72</f>
        <v>#N/A</v>
      </c>
      <c r="E72" s="111" t="n">
        <f aca="false">IF(Z72=0,0,IF(AND(Z72=1,$H$3=1),D72*U72,IF($H$3=2,D72,"N/A")))</f>
        <v>0</v>
      </c>
      <c r="F72" s="111" t="n">
        <f aca="false">E72*Y72</f>
        <v>0</v>
      </c>
      <c r="G72" s="124" t="n">
        <f aca="false">VLOOKUP($A72,Table,MATCH(G$4,Curves,0))</f>
        <v>3</v>
      </c>
      <c r="H72" s="125" t="n">
        <f aca="false">G72+$H$7</f>
        <v>3</v>
      </c>
      <c r="I72" s="124" t="n">
        <f aca="false">H72</f>
        <v>3</v>
      </c>
      <c r="J72" s="124" t="n">
        <f aca="false">VLOOKUP($A72,Table,MATCH(J$4,Curves,0))</f>
        <v>4</v>
      </c>
      <c r="K72" s="125" t="n">
        <f aca="false">J72+$K$7</f>
        <v>4</v>
      </c>
      <c r="L72" s="126" t="n">
        <f aca="false">K72</f>
        <v>4</v>
      </c>
      <c r="M72" s="124" t="n">
        <f aca="false">VLOOKUP($A72,Table,MATCH(M$4,Curves,0))</f>
        <v>4</v>
      </c>
      <c r="N72" s="125" t="n">
        <f aca="false">M72+$N$7</f>
        <v>4</v>
      </c>
      <c r="O72" s="126" t="n">
        <v>-0.04</v>
      </c>
      <c r="P72" s="114"/>
      <c r="Q72" s="126" t="n">
        <f aca="false">M72+J72+G72</f>
        <v>11</v>
      </c>
      <c r="R72" s="126" t="n">
        <f aca="false">N72+K72+H72</f>
        <v>11</v>
      </c>
      <c r="S72" s="126" t="n">
        <f aca="false">O72+L72+I72</f>
        <v>6.96</v>
      </c>
      <c r="T72" s="127"/>
      <c r="U72" s="5" t="n">
        <f aca="false">A73-A72</f>
        <v>30</v>
      </c>
      <c r="V72" s="128" t="n">
        <f aca="false">CHOOSE(F$3,A73+24,A72)</f>
        <v>39173</v>
      </c>
      <c r="W72" s="5" t="n">
        <f aca="false">V72-C$3</f>
        <v>1942</v>
      </c>
      <c r="X72" s="124" t="n">
        <f aca="false">VLOOKUP($A72,Table,MATCH(X$4,Curves,0))</f>
        <v>2</v>
      </c>
      <c r="Y72" s="129" t="n">
        <f aca="false">1/(1+CHOOSE(F$3,(X73+($K$3/10000))/2,(X72+($K$3/10000))/2))^(2*W72/365.25)</f>
        <v>0.000629366296537423</v>
      </c>
      <c r="Z72" s="5" t="n">
        <f aca="false">IF(AND(mthbeg&lt;=A72,mthend&gt;=A72),1,0)</f>
        <v>0</v>
      </c>
      <c r="AA72" s="5" t="n">
        <f aca="false">U72*Z72</f>
        <v>0</v>
      </c>
      <c r="AC72" s="115" t="n">
        <f aca="false">IF(G65=2,F72*(S72-Q72),F72*(Q72-S72))</f>
        <v>0</v>
      </c>
      <c r="AE72" s="116" t="n">
        <f aca="false">IF($G$3=1,F72*(R72-Q72),F72*(Q72-R72))</f>
        <v>0</v>
      </c>
      <c r="AG72" s="116" t="n">
        <f aca="false">AC72+AE72</f>
        <v>0</v>
      </c>
    </row>
    <row r="73" customFormat="false" ht="12.75" hidden="false" customHeight="false" outlineLevel="0" collapsed="false">
      <c r="A73" s="120" t="n">
        <f aca="false">EDATE(A72,1)</f>
        <v>39203</v>
      </c>
      <c r="B73" s="121" t="e">
        <f aca="false">VLOOKUP(A73,'Inputs-Summary'!$A$32:$E$41,5,FALSE())</f>
        <v>#N/A</v>
      </c>
      <c r="C73" s="122"/>
      <c r="D73" s="123" t="e">
        <f aca="false">B73+C73</f>
        <v>#N/A</v>
      </c>
      <c r="E73" s="111" t="n">
        <f aca="false">IF(Z73=0,0,IF(AND(Z73=1,$H$3=1),D73*U73,IF($H$3=2,D73,"N/A")))</f>
        <v>0</v>
      </c>
      <c r="F73" s="111" t="n">
        <f aca="false">E73*Y73</f>
        <v>0</v>
      </c>
      <c r="G73" s="124" t="n">
        <f aca="false">VLOOKUP($A73,Table,MATCH(G$4,Curves,0))</f>
        <v>3</v>
      </c>
      <c r="H73" s="125" t="n">
        <f aca="false">G73+$H$7</f>
        <v>3</v>
      </c>
      <c r="I73" s="124" t="n">
        <f aca="false">H73</f>
        <v>3</v>
      </c>
      <c r="J73" s="124" t="n">
        <f aca="false">VLOOKUP($A73,Table,MATCH(J$4,Curves,0))</f>
        <v>4</v>
      </c>
      <c r="K73" s="125" t="n">
        <f aca="false">J73+$K$7</f>
        <v>4</v>
      </c>
      <c r="L73" s="126" t="n">
        <f aca="false">K73</f>
        <v>4</v>
      </c>
      <c r="M73" s="124" t="n">
        <f aca="false">VLOOKUP($A73,Table,MATCH(M$4,Curves,0))</f>
        <v>4</v>
      </c>
      <c r="N73" s="125" t="n">
        <f aca="false">M73+$N$7</f>
        <v>4</v>
      </c>
      <c r="O73" s="126" t="n">
        <v>-0.04</v>
      </c>
      <c r="P73" s="114"/>
      <c r="Q73" s="126" t="n">
        <f aca="false">M73+J73+G73</f>
        <v>11</v>
      </c>
      <c r="R73" s="126" t="n">
        <f aca="false">N73+K73+H73</f>
        <v>11</v>
      </c>
      <c r="S73" s="126" t="n">
        <f aca="false">O73+L73+I73</f>
        <v>6.96</v>
      </c>
      <c r="T73" s="127"/>
      <c r="U73" s="5" t="n">
        <f aca="false">A74-A73</f>
        <v>31</v>
      </c>
      <c r="V73" s="128" t="n">
        <f aca="false">CHOOSE(F$3,A74+24,A73)</f>
        <v>39203</v>
      </c>
      <c r="W73" s="5" t="n">
        <f aca="false">V73-C$3</f>
        <v>1972</v>
      </c>
      <c r="X73" s="124" t="n">
        <f aca="false">VLOOKUP($A73,Table,MATCH(X$4,Curves,0))</f>
        <v>2</v>
      </c>
      <c r="Y73" s="129" t="n">
        <f aca="false">1/(1+CHOOSE(F$3,(X74+($K$3/10000))/2,(X73+($K$3/10000))/2))^(2*W73/365.25)</f>
        <v>0.000561633454774402</v>
      </c>
      <c r="Z73" s="5" t="n">
        <f aca="false">IF(AND(mthbeg&lt;=A73,mthend&gt;=A73),1,0)</f>
        <v>0</v>
      </c>
      <c r="AA73" s="5" t="n">
        <f aca="false">U73*Z73</f>
        <v>0</v>
      </c>
      <c r="AC73" s="115" t="n">
        <f aca="false">IF(G66=2,F73*(S73-Q73),F73*(Q73-S73))</f>
        <v>0</v>
      </c>
      <c r="AE73" s="116" t="n">
        <f aca="false">IF($G$3=1,F73*(R73-Q73),F73*(Q73-R73))</f>
        <v>0</v>
      </c>
      <c r="AG73" s="116" t="n">
        <f aca="false">AC73+AE73</f>
        <v>0</v>
      </c>
    </row>
    <row r="74" customFormat="false" ht="12.75" hidden="false" customHeight="false" outlineLevel="0" collapsed="false">
      <c r="A74" s="120" t="n">
        <f aca="false">EDATE(A73,1)</f>
        <v>39234</v>
      </c>
      <c r="B74" s="121" t="e">
        <f aca="false">VLOOKUP(A74,'Inputs-Summary'!$A$32:$E$41,5,FALSE())</f>
        <v>#N/A</v>
      </c>
      <c r="C74" s="122"/>
      <c r="D74" s="123" t="e">
        <f aca="false">B74+C74</f>
        <v>#N/A</v>
      </c>
      <c r="E74" s="111" t="n">
        <f aca="false">IF(Z74=0,0,IF(AND(Z74=1,$H$3=1),D74*U74,IF($H$3=2,D74,"N/A")))</f>
        <v>0</v>
      </c>
      <c r="F74" s="111" t="n">
        <f aca="false">E74*Y74</f>
        <v>0</v>
      </c>
      <c r="G74" s="124" t="n">
        <f aca="false">VLOOKUP($A74,Table,MATCH(G$4,Curves,0))</f>
        <v>3</v>
      </c>
      <c r="H74" s="125" t="n">
        <f aca="false">G74+$H$7</f>
        <v>3</v>
      </c>
      <c r="I74" s="124" t="n">
        <f aca="false">H74</f>
        <v>3</v>
      </c>
      <c r="J74" s="124" t="n">
        <f aca="false">VLOOKUP($A74,Table,MATCH(J$4,Curves,0))</f>
        <v>4</v>
      </c>
      <c r="K74" s="125" t="n">
        <f aca="false">J74+$K$7</f>
        <v>4</v>
      </c>
      <c r="L74" s="126" t="n">
        <f aca="false">K74</f>
        <v>4</v>
      </c>
      <c r="M74" s="124" t="n">
        <f aca="false">VLOOKUP($A74,Table,MATCH(M$4,Curves,0))</f>
        <v>4</v>
      </c>
      <c r="N74" s="125" t="n">
        <f aca="false">M74+$N$7</f>
        <v>4</v>
      </c>
      <c r="O74" s="126" t="n">
        <v>-0.04</v>
      </c>
      <c r="P74" s="114"/>
      <c r="Q74" s="126" t="n">
        <f aca="false">M74+J74+G74</f>
        <v>11</v>
      </c>
      <c r="R74" s="126" t="n">
        <f aca="false">N74+K74+H74</f>
        <v>11</v>
      </c>
      <c r="S74" s="126" t="n">
        <f aca="false">O74+L74+I74</f>
        <v>6.96</v>
      </c>
      <c r="T74" s="127"/>
      <c r="U74" s="5" t="n">
        <f aca="false">A75-A74</f>
        <v>30</v>
      </c>
      <c r="V74" s="128" t="n">
        <f aca="false">CHOOSE(F$3,A75+24,A74)</f>
        <v>39234</v>
      </c>
      <c r="W74" s="5" t="n">
        <f aca="false">V74-C$3</f>
        <v>2003</v>
      </c>
      <c r="X74" s="124" t="n">
        <f aca="false">VLOOKUP($A74,Table,MATCH(X$4,Curves,0))</f>
        <v>2</v>
      </c>
      <c r="Y74" s="129" t="n">
        <f aca="false">1/(1+CHOOSE(F$3,(X75+($K$3/10000))/2,(X74+($K$3/10000))/2))^(2*W74/365.25)</f>
        <v>0.00049929142387545</v>
      </c>
      <c r="Z74" s="5" t="n">
        <f aca="false">IF(AND(mthbeg&lt;=A74,mthend&gt;=A74),1,0)</f>
        <v>0</v>
      </c>
      <c r="AA74" s="5" t="n">
        <f aca="false">U74*Z74</f>
        <v>0</v>
      </c>
      <c r="AC74" s="115" t="n">
        <f aca="false">IF(G67=2,F74*(S74-Q74),F74*(Q74-S74))</f>
        <v>0</v>
      </c>
      <c r="AE74" s="116" t="n">
        <f aca="false">IF($G$3=1,F74*(R74-Q74),F74*(Q74-R74))</f>
        <v>0</v>
      </c>
      <c r="AG74" s="116" t="n">
        <f aca="false">AC74+AE74</f>
        <v>0</v>
      </c>
    </row>
    <row r="75" customFormat="false" ht="12.75" hidden="false" customHeight="false" outlineLevel="0" collapsed="false">
      <c r="A75" s="120" t="n">
        <f aca="false">EDATE(A74,1)</f>
        <v>39264</v>
      </c>
      <c r="B75" s="121" t="e">
        <f aca="false">VLOOKUP(A75,'Inputs-Summary'!$A$32:$E$41,5,FALSE())</f>
        <v>#N/A</v>
      </c>
      <c r="C75" s="122"/>
      <c r="D75" s="123" t="e">
        <f aca="false">B75+C75</f>
        <v>#N/A</v>
      </c>
      <c r="E75" s="111" t="n">
        <f aca="false">IF(Z75=0,0,IF(AND(Z75=1,$H$3=1),D75*U75,IF($H$3=2,D75,"N/A")))</f>
        <v>0</v>
      </c>
      <c r="F75" s="111" t="n">
        <f aca="false">E75*Y75</f>
        <v>0</v>
      </c>
      <c r="G75" s="124" t="n">
        <f aca="false">VLOOKUP($A75,Table,MATCH(G$4,Curves,0))</f>
        <v>3</v>
      </c>
      <c r="H75" s="125" t="n">
        <f aca="false">G75+$H$7</f>
        <v>3</v>
      </c>
      <c r="I75" s="124" t="n">
        <f aca="false">H75</f>
        <v>3</v>
      </c>
      <c r="J75" s="124" t="n">
        <f aca="false">VLOOKUP($A75,Table,MATCH(J$4,Curves,0))</f>
        <v>4</v>
      </c>
      <c r="K75" s="125" t="n">
        <f aca="false">J75+$K$7</f>
        <v>4</v>
      </c>
      <c r="L75" s="126" t="n">
        <f aca="false">K75</f>
        <v>4</v>
      </c>
      <c r="M75" s="124" t="n">
        <f aca="false">VLOOKUP($A75,Table,MATCH(M$4,Curves,0))</f>
        <v>4</v>
      </c>
      <c r="N75" s="125" t="n">
        <f aca="false">M75+$N$7</f>
        <v>4</v>
      </c>
      <c r="O75" s="126" t="n">
        <v>-0.04</v>
      </c>
      <c r="P75" s="114"/>
      <c r="Q75" s="126" t="n">
        <f aca="false">M75+J75+G75</f>
        <v>11</v>
      </c>
      <c r="R75" s="126" t="n">
        <f aca="false">N75+K75+H75</f>
        <v>11</v>
      </c>
      <c r="S75" s="126" t="n">
        <f aca="false">O75+L75+I75</f>
        <v>6.96</v>
      </c>
      <c r="T75" s="127"/>
      <c r="U75" s="5" t="n">
        <f aca="false">A76-A75</f>
        <v>31</v>
      </c>
      <c r="V75" s="128" t="n">
        <f aca="false">CHOOSE(F$3,A76+24,A75)</f>
        <v>39264</v>
      </c>
      <c r="W75" s="5" t="n">
        <f aca="false">V75-C$3</f>
        <v>2033</v>
      </c>
      <c r="X75" s="124" t="n">
        <f aca="false">VLOOKUP($A75,Table,MATCH(X$4,Curves,0))</f>
        <v>2</v>
      </c>
      <c r="Y75" s="129" t="n">
        <f aca="false">1/(1+CHOOSE(F$3,(X76+($K$3/10000))/2,(X75+($K$3/10000))/2))^(2*W75/365.25)</f>
        <v>0.000445557331037864</v>
      </c>
      <c r="Z75" s="5" t="n">
        <f aca="false">IF(AND(mthbeg&lt;=A75,mthend&gt;=A75),1,0)</f>
        <v>0</v>
      </c>
      <c r="AA75" s="5" t="n">
        <f aca="false">U75*Z75</f>
        <v>0</v>
      </c>
      <c r="AC75" s="115" t="n">
        <f aca="false">IF(G68=2,F75*(S75-Q75),F75*(Q75-S75))</f>
        <v>0</v>
      </c>
      <c r="AE75" s="116" t="n">
        <f aca="false">IF($G$3=1,F75*(R75-Q75),F75*(Q75-R75))</f>
        <v>0</v>
      </c>
      <c r="AG75" s="116" t="n">
        <f aca="false">AC75+AE75</f>
        <v>0</v>
      </c>
    </row>
    <row r="76" customFormat="false" ht="12.75" hidden="false" customHeight="false" outlineLevel="0" collapsed="false">
      <c r="A76" s="120" t="n">
        <f aca="false">EDATE(A75,1)</f>
        <v>39295</v>
      </c>
      <c r="B76" s="121" t="e">
        <f aca="false">VLOOKUP(A76,'Inputs-Summary'!$A$32:$E$41,5,FALSE())</f>
        <v>#N/A</v>
      </c>
      <c r="C76" s="122"/>
      <c r="D76" s="123" t="e">
        <f aca="false">B76+C76</f>
        <v>#N/A</v>
      </c>
      <c r="E76" s="111" t="n">
        <f aca="false">IF(Z76=0,0,IF(AND(Z76=1,$H$3=1),D76*U76,IF($H$3=2,D76,"N/A")))</f>
        <v>0</v>
      </c>
      <c r="F76" s="111" t="n">
        <f aca="false">E76*Y76</f>
        <v>0</v>
      </c>
      <c r="G76" s="124" t="n">
        <f aca="false">VLOOKUP($A76,Table,MATCH(G$4,Curves,0))</f>
        <v>3</v>
      </c>
      <c r="H76" s="125" t="n">
        <f aca="false">G76+$H$7</f>
        <v>3</v>
      </c>
      <c r="I76" s="124" t="n">
        <f aca="false">H76</f>
        <v>3</v>
      </c>
      <c r="J76" s="124" t="n">
        <f aca="false">VLOOKUP($A76,Table,MATCH(J$4,Curves,0))</f>
        <v>4</v>
      </c>
      <c r="K76" s="125" t="n">
        <f aca="false">J76+$K$7</f>
        <v>4</v>
      </c>
      <c r="L76" s="126" t="n">
        <f aca="false">K76</f>
        <v>4</v>
      </c>
      <c r="M76" s="124" t="n">
        <f aca="false">VLOOKUP($A76,Table,MATCH(M$4,Curves,0))</f>
        <v>4</v>
      </c>
      <c r="N76" s="125" t="n">
        <f aca="false">M76+$N$7</f>
        <v>4</v>
      </c>
      <c r="O76" s="126" t="n">
        <v>-0.04</v>
      </c>
      <c r="P76" s="114"/>
      <c r="Q76" s="126" t="n">
        <f aca="false">M76+J76+G76</f>
        <v>11</v>
      </c>
      <c r="R76" s="126" t="n">
        <f aca="false">N76+K76+H76</f>
        <v>11</v>
      </c>
      <c r="S76" s="126" t="n">
        <f aca="false">O76+L76+I76</f>
        <v>6.96</v>
      </c>
      <c r="T76" s="127"/>
      <c r="U76" s="5" t="n">
        <f aca="false">A77-A76</f>
        <v>31</v>
      </c>
      <c r="V76" s="128" t="n">
        <f aca="false">CHOOSE(F$3,A77+24,A76)</f>
        <v>39295</v>
      </c>
      <c r="W76" s="5" t="n">
        <f aca="false">V76-C$3</f>
        <v>2064</v>
      </c>
      <c r="X76" s="124" t="n">
        <f aca="false">VLOOKUP($A76,Table,MATCH(X$4,Curves,0))</f>
        <v>2</v>
      </c>
      <c r="Y76" s="129" t="n">
        <f aca="false">1/(1+CHOOSE(F$3,(X77+($K$3/10000))/2,(X76+($K$3/10000))/2))^(2*W76/365.25)</f>
        <v>0.000396099898146915</v>
      </c>
      <c r="Z76" s="5" t="n">
        <f aca="false">IF(AND(mthbeg&lt;=A76,mthend&gt;=A76),1,0)</f>
        <v>0</v>
      </c>
      <c r="AA76" s="5" t="n">
        <f aca="false">U76*Z76</f>
        <v>0</v>
      </c>
      <c r="AC76" s="115" t="n">
        <f aca="false">IF(G69=2,F76*(S76-Q76),F76*(Q76-S76))</f>
        <v>0</v>
      </c>
      <c r="AE76" s="116" t="n">
        <f aca="false">IF($G$3=1,F76*(R76-Q76),F76*(Q76-R76))</f>
        <v>0</v>
      </c>
      <c r="AG76" s="116" t="n">
        <f aca="false">AC76+AE76</f>
        <v>0</v>
      </c>
    </row>
    <row r="77" customFormat="false" ht="12.75" hidden="false" customHeight="false" outlineLevel="0" collapsed="false">
      <c r="A77" s="120" t="n">
        <f aca="false">EDATE(A76,1)</f>
        <v>39326</v>
      </c>
      <c r="B77" s="121" t="e">
        <f aca="false">VLOOKUP(A77,'Inputs-Summary'!$A$32:$E$41,5,FALSE())</f>
        <v>#N/A</v>
      </c>
      <c r="C77" s="122"/>
      <c r="D77" s="123" t="e">
        <f aca="false">B77+C77</f>
        <v>#N/A</v>
      </c>
      <c r="E77" s="111" t="n">
        <f aca="false">IF(Z77=0,0,IF(AND(Z77=1,$H$3=1),D77*U77,IF($H$3=2,D77,"N/A")))</f>
        <v>0</v>
      </c>
      <c r="F77" s="111" t="n">
        <f aca="false">E77*Y77</f>
        <v>0</v>
      </c>
      <c r="G77" s="124" t="n">
        <f aca="false">VLOOKUP($A77,Table,MATCH(G$4,Curves,0))</f>
        <v>3</v>
      </c>
      <c r="H77" s="125" t="n">
        <f aca="false">G77+$H$7</f>
        <v>3</v>
      </c>
      <c r="I77" s="124" t="n">
        <f aca="false">H77</f>
        <v>3</v>
      </c>
      <c r="J77" s="124" t="n">
        <f aca="false">VLOOKUP($A77,Table,MATCH(J$4,Curves,0))</f>
        <v>4</v>
      </c>
      <c r="K77" s="125" t="n">
        <f aca="false">J77+$K$7</f>
        <v>4</v>
      </c>
      <c r="L77" s="126" t="n">
        <f aca="false">K77</f>
        <v>4</v>
      </c>
      <c r="M77" s="124" t="n">
        <f aca="false">VLOOKUP($A77,Table,MATCH(M$4,Curves,0))</f>
        <v>4</v>
      </c>
      <c r="N77" s="125" t="n">
        <f aca="false">M77+$N$7</f>
        <v>4</v>
      </c>
      <c r="O77" s="126" t="n">
        <v>-0.04</v>
      </c>
      <c r="P77" s="114"/>
      <c r="Q77" s="126" t="n">
        <f aca="false">M77+J77+G77</f>
        <v>11</v>
      </c>
      <c r="R77" s="126" t="n">
        <f aca="false">N77+K77+H77</f>
        <v>11</v>
      </c>
      <c r="S77" s="126" t="n">
        <f aca="false">O77+L77+I77</f>
        <v>6.96</v>
      </c>
      <c r="T77" s="127"/>
      <c r="U77" s="5" t="n">
        <f aca="false">A78-A77</f>
        <v>30</v>
      </c>
      <c r="V77" s="128" t="n">
        <f aca="false">CHOOSE(F$3,A78+24,A77)</f>
        <v>39326</v>
      </c>
      <c r="W77" s="5" t="n">
        <f aca="false">V77-C$3</f>
        <v>2095</v>
      </c>
      <c r="X77" s="124" t="n">
        <f aca="false">VLOOKUP($A77,Table,MATCH(X$4,Curves,0))</f>
        <v>2</v>
      </c>
      <c r="Y77" s="129" t="n">
        <f aca="false">1/(1+CHOOSE(F$3,(X78+($K$3/10000))/2,(X77+($K$3/10000))/2))^(2*W77/365.25)</f>
        <v>0.000352132303482767</v>
      </c>
      <c r="Z77" s="5" t="n">
        <f aca="false">IF(AND(mthbeg&lt;=A77,mthend&gt;=A77),1,0)</f>
        <v>0</v>
      </c>
      <c r="AA77" s="5" t="n">
        <f aca="false">U77*Z77</f>
        <v>0</v>
      </c>
      <c r="AC77" s="115" t="n">
        <f aca="false">IF(G70=2,F77*(S77-Q77),F77*(Q77-S77))</f>
        <v>0</v>
      </c>
      <c r="AE77" s="116" t="n">
        <f aca="false">IF($G$3=1,F77*(R77-Q77),F77*(Q77-R77))</f>
        <v>0</v>
      </c>
      <c r="AG77" s="116" t="n">
        <f aca="false">AC77+AE77</f>
        <v>0</v>
      </c>
    </row>
    <row r="78" customFormat="false" ht="12.75" hidden="false" customHeight="false" outlineLevel="0" collapsed="false">
      <c r="A78" s="120" t="n">
        <f aca="false">EDATE(A77,1)</f>
        <v>39356</v>
      </c>
      <c r="B78" s="121" t="e">
        <f aca="false">VLOOKUP(A78,'Inputs-Summary'!$A$32:$E$41,5,FALSE())</f>
        <v>#N/A</v>
      </c>
      <c r="C78" s="122"/>
      <c r="D78" s="123" t="e">
        <f aca="false">B78+C78</f>
        <v>#N/A</v>
      </c>
      <c r="E78" s="111" t="n">
        <f aca="false">IF(Z78=0,0,IF(AND(Z78=1,$H$3=1),D78*U78,IF($H$3=2,D78,"N/A")))</f>
        <v>0</v>
      </c>
      <c r="F78" s="111" t="n">
        <f aca="false">E78*Y78</f>
        <v>0</v>
      </c>
      <c r="G78" s="124" t="n">
        <f aca="false">VLOOKUP($A78,Table,MATCH(G$4,Curves,0))</f>
        <v>3</v>
      </c>
      <c r="H78" s="125" t="n">
        <f aca="false">G78+$H$7</f>
        <v>3</v>
      </c>
      <c r="I78" s="124" t="n">
        <f aca="false">H78</f>
        <v>3</v>
      </c>
      <c r="J78" s="124" t="n">
        <f aca="false">VLOOKUP($A78,Table,MATCH(J$4,Curves,0))</f>
        <v>4</v>
      </c>
      <c r="K78" s="125" t="n">
        <f aca="false">J78+$K$7</f>
        <v>4</v>
      </c>
      <c r="L78" s="126" t="n">
        <f aca="false">K78</f>
        <v>4</v>
      </c>
      <c r="M78" s="124" t="n">
        <f aca="false">VLOOKUP($A78,Table,MATCH(M$4,Curves,0))</f>
        <v>4</v>
      </c>
      <c r="N78" s="125" t="n">
        <f aca="false">M78+$N$7</f>
        <v>4</v>
      </c>
      <c r="O78" s="126" t="n">
        <v>-0.04</v>
      </c>
      <c r="P78" s="114"/>
      <c r="Q78" s="126" t="n">
        <f aca="false">M78+J78+G78</f>
        <v>11</v>
      </c>
      <c r="R78" s="126" t="n">
        <f aca="false">N78+K78+H78</f>
        <v>11</v>
      </c>
      <c r="S78" s="126" t="n">
        <f aca="false">O78+L78+I78</f>
        <v>6.96</v>
      </c>
      <c r="T78" s="127"/>
      <c r="U78" s="5" t="n">
        <f aca="false">A79-A78</f>
        <v>31</v>
      </c>
      <c r="V78" s="128" t="n">
        <f aca="false">CHOOSE(F$3,A79+24,A78)</f>
        <v>39356</v>
      </c>
      <c r="W78" s="5" t="n">
        <f aca="false">V78-C$3</f>
        <v>2125</v>
      </c>
      <c r="X78" s="124" t="n">
        <f aca="false">VLOOKUP($A78,Table,MATCH(X$4,Curves,0))</f>
        <v>2</v>
      </c>
      <c r="Y78" s="129" t="n">
        <f aca="false">1/(1+CHOOSE(F$3,(X79+($K$3/10000))/2,(X78+($K$3/10000))/2))^(2*W78/365.25)</f>
        <v>0.000314235578280501</v>
      </c>
      <c r="Z78" s="5" t="n">
        <f aca="false">IF(AND(mthbeg&lt;=A78,mthend&gt;=A78),1,0)</f>
        <v>0</v>
      </c>
      <c r="AA78" s="5" t="n">
        <f aca="false">U78*Z78</f>
        <v>0</v>
      </c>
      <c r="AC78" s="115" t="n">
        <f aca="false">IF(G71=2,F78*(S78-Q78),F78*(Q78-S78))</f>
        <v>0</v>
      </c>
      <c r="AE78" s="116" t="n">
        <f aca="false">IF($G$3=1,F78*(R78-Q78),F78*(Q78-R78))</f>
        <v>0</v>
      </c>
      <c r="AG78" s="116" t="n">
        <f aca="false">AC78+AE78</f>
        <v>0</v>
      </c>
    </row>
    <row r="79" customFormat="false" ht="12.75" hidden="false" customHeight="false" outlineLevel="0" collapsed="false">
      <c r="A79" s="120" t="n">
        <f aca="false">EDATE(A78,1)</f>
        <v>39387</v>
      </c>
      <c r="B79" s="121" t="e">
        <f aca="false">VLOOKUP(A79,'Inputs-Summary'!$A$32:$E$41,5,FALSE())</f>
        <v>#N/A</v>
      </c>
      <c r="C79" s="122"/>
      <c r="D79" s="123" t="e">
        <f aca="false">B79+C79</f>
        <v>#N/A</v>
      </c>
      <c r="E79" s="111" t="n">
        <f aca="false">IF(Z79=0,0,IF(AND(Z79=1,$H$3=1),D79*U79,IF($H$3=2,D79,"N/A")))</f>
        <v>0</v>
      </c>
      <c r="F79" s="111" t="n">
        <f aca="false">E79*Y79</f>
        <v>0</v>
      </c>
      <c r="G79" s="124" t="n">
        <f aca="false">VLOOKUP($A79,Table,MATCH(G$4,Curves,0))</f>
        <v>3</v>
      </c>
      <c r="H79" s="125" t="n">
        <f aca="false">G79+$H$7</f>
        <v>3</v>
      </c>
      <c r="I79" s="124" t="n">
        <f aca="false">H79</f>
        <v>3</v>
      </c>
      <c r="J79" s="124" t="n">
        <f aca="false">VLOOKUP($A79,Table,MATCH(J$4,Curves,0))</f>
        <v>4</v>
      </c>
      <c r="K79" s="125" t="n">
        <f aca="false">J79+$K$7</f>
        <v>4</v>
      </c>
      <c r="L79" s="126" t="n">
        <f aca="false">K79</f>
        <v>4</v>
      </c>
      <c r="M79" s="124" t="n">
        <f aca="false">VLOOKUP($A79,Table,MATCH(M$4,Curves,0))</f>
        <v>4</v>
      </c>
      <c r="N79" s="125" t="n">
        <f aca="false">M79+$N$7</f>
        <v>4</v>
      </c>
      <c r="O79" s="126" t="n">
        <v>-0.04</v>
      </c>
      <c r="P79" s="114"/>
      <c r="Q79" s="126" t="n">
        <f aca="false">M79+J79+G79</f>
        <v>11</v>
      </c>
      <c r="R79" s="126" t="n">
        <f aca="false">N79+K79+H79</f>
        <v>11</v>
      </c>
      <c r="S79" s="126" t="n">
        <f aca="false">O79+L79+I79</f>
        <v>6.96</v>
      </c>
      <c r="T79" s="127"/>
      <c r="U79" s="5" t="n">
        <f aca="false">A80-A79</f>
        <v>30</v>
      </c>
      <c r="V79" s="128" t="n">
        <f aca="false">CHOOSE(F$3,A80+24,A79)</f>
        <v>39387</v>
      </c>
      <c r="W79" s="5" t="n">
        <f aca="false">V79-C$3</f>
        <v>2156</v>
      </c>
      <c r="X79" s="124" t="n">
        <f aca="false">VLOOKUP($A79,Table,MATCH(X$4,Curves,0))</f>
        <v>2</v>
      </c>
      <c r="Y79" s="129" t="n">
        <f aca="false">1/(1+CHOOSE(F$3,(X80+($K$3/10000))/2,(X79+($K$3/10000))/2))^(2*W79/365.25)</f>
        <v>0.000279355027693318</v>
      </c>
      <c r="Z79" s="5" t="n">
        <f aca="false">IF(AND(mthbeg&lt;=A79,mthend&gt;=A79),1,0)</f>
        <v>0</v>
      </c>
      <c r="AA79" s="5" t="n">
        <f aca="false">U79*Z79</f>
        <v>0</v>
      </c>
      <c r="AC79" s="115" t="n">
        <f aca="false">IF(G72=2,F79*(S79-Q79),F79*(Q79-S79))</f>
        <v>0</v>
      </c>
      <c r="AE79" s="116" t="n">
        <f aca="false">IF($G$3=1,F79*(R79-Q79),F79*(Q79-R79))</f>
        <v>0</v>
      </c>
      <c r="AG79" s="116" t="n">
        <f aca="false">AC79+AE79</f>
        <v>0</v>
      </c>
    </row>
    <row r="80" customFormat="false" ht="12.75" hidden="false" customHeight="false" outlineLevel="0" collapsed="false">
      <c r="A80" s="120" t="n">
        <f aca="false">EDATE(A79,1)</f>
        <v>39417</v>
      </c>
      <c r="B80" s="121" t="e">
        <f aca="false">VLOOKUP(A80,'Inputs-Summary'!$A$32:$E$41,5,FALSE())</f>
        <v>#N/A</v>
      </c>
      <c r="C80" s="122"/>
      <c r="D80" s="123" t="e">
        <f aca="false">B80+C80</f>
        <v>#N/A</v>
      </c>
      <c r="E80" s="111" t="n">
        <f aca="false">IF(Z80=0,0,IF(AND(Z80=1,$H$3=1),D80*U80,IF($H$3=2,D80,"N/A")))</f>
        <v>0</v>
      </c>
      <c r="F80" s="111" t="n">
        <f aca="false">E80*Y80</f>
        <v>0</v>
      </c>
      <c r="G80" s="124" t="n">
        <f aca="false">VLOOKUP($A80,Table,MATCH(G$4,Curves,0))</f>
        <v>3</v>
      </c>
      <c r="H80" s="125" t="n">
        <f aca="false">G80+$H$7</f>
        <v>3</v>
      </c>
      <c r="I80" s="124" t="n">
        <f aca="false">H80</f>
        <v>3</v>
      </c>
      <c r="J80" s="124" t="n">
        <f aca="false">VLOOKUP($A80,Table,MATCH(J$4,Curves,0))</f>
        <v>4</v>
      </c>
      <c r="K80" s="125" t="n">
        <f aca="false">J80+$K$7</f>
        <v>4</v>
      </c>
      <c r="L80" s="126" t="n">
        <f aca="false">K80</f>
        <v>4</v>
      </c>
      <c r="M80" s="124" t="n">
        <f aca="false">VLOOKUP($A80,Table,MATCH(M$4,Curves,0))</f>
        <v>4</v>
      </c>
      <c r="N80" s="125" t="n">
        <f aca="false">M80+$N$7</f>
        <v>4</v>
      </c>
      <c r="O80" s="126" t="n">
        <v>-0.04</v>
      </c>
      <c r="P80" s="114"/>
      <c r="Q80" s="126" t="n">
        <f aca="false">M80+J80+G80</f>
        <v>11</v>
      </c>
      <c r="R80" s="126" t="n">
        <f aca="false">N80+K80+H80</f>
        <v>11</v>
      </c>
      <c r="S80" s="126" t="n">
        <f aca="false">O80+L80+I80</f>
        <v>6.96</v>
      </c>
      <c r="T80" s="127"/>
      <c r="U80" s="5" t="n">
        <f aca="false">A81-A80</f>
        <v>31</v>
      </c>
      <c r="V80" s="128" t="n">
        <f aca="false">CHOOSE(F$3,A81+24,A80)</f>
        <v>39417</v>
      </c>
      <c r="W80" s="5" t="n">
        <f aca="false">V80-C$3</f>
        <v>2186</v>
      </c>
      <c r="X80" s="124" t="n">
        <f aca="false">VLOOKUP($A80,Table,MATCH(X$4,Curves,0))</f>
        <v>2</v>
      </c>
      <c r="Y80" s="129" t="n">
        <f aca="false">1/(1+CHOOSE(F$3,(X81+($K$3/10000))/2,(X80+($K$3/10000))/2))^(2*W80/365.25)</f>
        <v>0.000249290643898768</v>
      </c>
      <c r="Z80" s="5" t="n">
        <f aca="false">IF(AND(mthbeg&lt;=A80,mthend&gt;=A80),1,0)</f>
        <v>0</v>
      </c>
      <c r="AA80" s="5" t="n">
        <f aca="false">U80*Z80</f>
        <v>0</v>
      </c>
      <c r="AC80" s="115" t="n">
        <f aca="false">IF(G73=2,F80*(S80-Q80),F80*(Q80-S80))</f>
        <v>0</v>
      </c>
      <c r="AE80" s="116" t="n">
        <f aca="false">IF($G$3=1,F80*(R80-Q80),F80*(Q80-R80))</f>
        <v>0</v>
      </c>
      <c r="AG80" s="116" t="n">
        <f aca="false">AC80+AE80</f>
        <v>0</v>
      </c>
    </row>
    <row r="81" customFormat="false" ht="12.75" hidden="false" customHeight="false" outlineLevel="0" collapsed="false">
      <c r="A81" s="120" t="n">
        <f aca="false">EDATE(A80,1)</f>
        <v>39448</v>
      </c>
      <c r="B81" s="121" t="e">
        <f aca="false">VLOOKUP(A81,'Inputs-Summary'!$A$32:$E$41,5,FALSE())</f>
        <v>#N/A</v>
      </c>
      <c r="C81" s="122"/>
      <c r="D81" s="123" t="e">
        <f aca="false">B81+C81</f>
        <v>#N/A</v>
      </c>
      <c r="E81" s="111" t="n">
        <f aca="false">IF(Z81=0,0,IF(AND(Z81=1,$H$3=1),D81*U81,IF($H$3=2,D81,"N/A")))</f>
        <v>0</v>
      </c>
      <c r="F81" s="111" t="n">
        <f aca="false">E81*Y81</f>
        <v>0</v>
      </c>
      <c r="G81" s="124" t="n">
        <f aca="false">VLOOKUP($A81,Table,MATCH(G$4,Curves,0))</f>
        <v>3</v>
      </c>
      <c r="H81" s="125" t="n">
        <f aca="false">G81+$H$7</f>
        <v>3</v>
      </c>
      <c r="I81" s="124" t="n">
        <f aca="false">H81</f>
        <v>3</v>
      </c>
      <c r="J81" s="124" t="n">
        <f aca="false">VLOOKUP($A81,Table,MATCH(J$4,Curves,0))</f>
        <v>4</v>
      </c>
      <c r="K81" s="125" t="n">
        <f aca="false">J81+$K$7</f>
        <v>4</v>
      </c>
      <c r="L81" s="126" t="n">
        <f aca="false">K81</f>
        <v>4</v>
      </c>
      <c r="M81" s="124" t="n">
        <f aca="false">VLOOKUP($A81,Table,MATCH(M$4,Curves,0))</f>
        <v>4</v>
      </c>
      <c r="N81" s="125" t="n">
        <f aca="false">M81+$N$7</f>
        <v>4</v>
      </c>
      <c r="O81" s="126" t="n">
        <v>-0.04</v>
      </c>
      <c r="P81" s="114"/>
      <c r="Q81" s="126" t="n">
        <f aca="false">M81+J81+G81</f>
        <v>11</v>
      </c>
      <c r="R81" s="126" t="n">
        <f aca="false">N81+K81+H81</f>
        <v>11</v>
      </c>
      <c r="S81" s="126" t="n">
        <f aca="false">O81+L81+I81</f>
        <v>6.96</v>
      </c>
      <c r="T81" s="127"/>
      <c r="U81" s="5" t="n">
        <f aca="false">A82-A81</f>
        <v>31</v>
      </c>
      <c r="V81" s="128" t="n">
        <f aca="false">CHOOSE(F$3,A82+24,A81)</f>
        <v>39448</v>
      </c>
      <c r="W81" s="5" t="n">
        <f aca="false">V81-C$3</f>
        <v>2217</v>
      </c>
      <c r="X81" s="124" t="n">
        <f aca="false">VLOOKUP($A81,Table,MATCH(X$4,Curves,0))</f>
        <v>2</v>
      </c>
      <c r="Y81" s="129" t="n">
        <f aca="false">1/(1+CHOOSE(F$3,(X82+($K$3/10000))/2,(X81+($K$3/10000))/2))^(2*W81/365.25)</f>
        <v>0.000221619063987277</v>
      </c>
      <c r="Z81" s="5" t="n">
        <f aca="false">IF(AND(mthbeg&lt;=A81,mthend&gt;=A81),1,0)</f>
        <v>0</v>
      </c>
      <c r="AA81" s="5" t="n">
        <f aca="false">U81*Z81</f>
        <v>0</v>
      </c>
      <c r="AC81" s="115" t="n">
        <f aca="false">IF(G74=2,F81*(S81-Q81),F81*(Q81-S81))</f>
        <v>0</v>
      </c>
      <c r="AE81" s="116" t="n">
        <f aca="false">IF($G$3=1,F81*(R81-Q81),F81*(Q81-R81))</f>
        <v>0</v>
      </c>
      <c r="AG81" s="116" t="n">
        <f aca="false">AC81+AE81</f>
        <v>0</v>
      </c>
    </row>
    <row r="82" customFormat="false" ht="12.75" hidden="false" customHeight="false" outlineLevel="0" collapsed="false">
      <c r="A82" s="120" t="n">
        <f aca="false">EDATE(A81,1)</f>
        <v>39479</v>
      </c>
      <c r="B82" s="121" t="e">
        <f aca="false">VLOOKUP(A82,'Inputs-Summary'!$A$32:$E$41,5,FALSE())</f>
        <v>#N/A</v>
      </c>
      <c r="C82" s="122"/>
      <c r="D82" s="123" t="e">
        <f aca="false">B82+C82</f>
        <v>#N/A</v>
      </c>
      <c r="E82" s="111" t="n">
        <f aca="false">IF(Z82=0,0,IF(AND(Z82=1,$H$3=1),D82*U82,IF($H$3=2,D82,"N/A")))</f>
        <v>0</v>
      </c>
      <c r="F82" s="111" t="n">
        <f aca="false">E82*Y82</f>
        <v>0</v>
      </c>
      <c r="G82" s="124" t="n">
        <f aca="false">VLOOKUP($A82,Table,MATCH(G$4,Curves,0))</f>
        <v>3</v>
      </c>
      <c r="H82" s="125" t="n">
        <f aca="false">G82+$H$7</f>
        <v>3</v>
      </c>
      <c r="I82" s="124" t="n">
        <f aca="false">H82</f>
        <v>3</v>
      </c>
      <c r="J82" s="124" t="n">
        <f aca="false">VLOOKUP($A82,Table,MATCH(J$4,Curves,0))</f>
        <v>4</v>
      </c>
      <c r="K82" s="125" t="n">
        <f aca="false">J82+$K$7</f>
        <v>4</v>
      </c>
      <c r="L82" s="126" t="n">
        <f aca="false">K82</f>
        <v>4</v>
      </c>
      <c r="M82" s="124" t="n">
        <f aca="false">VLOOKUP($A82,Table,MATCH(M$4,Curves,0))</f>
        <v>4</v>
      </c>
      <c r="N82" s="125" t="n">
        <f aca="false">M82+$N$7</f>
        <v>4</v>
      </c>
      <c r="O82" s="126" t="n">
        <v>-0.04</v>
      </c>
      <c r="P82" s="114"/>
      <c r="Q82" s="126" t="n">
        <f aca="false">M82+J82+G82</f>
        <v>11</v>
      </c>
      <c r="R82" s="126" t="n">
        <f aca="false">N82+K82+H82</f>
        <v>11</v>
      </c>
      <c r="S82" s="126" t="n">
        <f aca="false">O82+L82+I82</f>
        <v>6.96</v>
      </c>
      <c r="T82" s="127"/>
      <c r="U82" s="5" t="n">
        <f aca="false">A83-A82</f>
        <v>29</v>
      </c>
      <c r="V82" s="128" t="n">
        <f aca="false">CHOOSE(F$3,A83+24,A82)</f>
        <v>39479</v>
      </c>
      <c r="W82" s="5" t="n">
        <f aca="false">V82-C$3</f>
        <v>2248</v>
      </c>
      <c r="X82" s="124" t="n">
        <f aca="false">VLOOKUP($A82,Table,MATCH(X$4,Curves,0))</f>
        <v>2</v>
      </c>
      <c r="Y82" s="129" t="n">
        <f aca="false">1/(1+CHOOSE(F$3,(X83+($K$3/10000))/2,(X82+($K$3/10000))/2))^(2*W82/365.25)</f>
        <v>0.000197019064793067</v>
      </c>
      <c r="Z82" s="5" t="n">
        <f aca="false">IF(AND(mthbeg&lt;=A82,mthend&gt;=A82),1,0)</f>
        <v>0</v>
      </c>
      <c r="AA82" s="5" t="n">
        <f aca="false">U82*Z82</f>
        <v>0</v>
      </c>
      <c r="AC82" s="115" t="n">
        <f aca="false">IF(G75=2,F82*(S82-Q82),F82*(Q82-S82))</f>
        <v>0</v>
      </c>
      <c r="AE82" s="116" t="n">
        <f aca="false">IF($G$3=1,F82*(R82-Q82),F82*(Q82-R82))</f>
        <v>0</v>
      </c>
      <c r="AG82" s="116" t="n">
        <f aca="false">AC82+AE82</f>
        <v>0</v>
      </c>
    </row>
    <row r="83" customFormat="false" ht="12.75" hidden="false" customHeight="false" outlineLevel="0" collapsed="false">
      <c r="A83" s="120" t="n">
        <f aca="false">EDATE(A82,1)</f>
        <v>39508</v>
      </c>
      <c r="B83" s="121" t="e">
        <f aca="false">VLOOKUP(A83,'Inputs-Summary'!$A$32:$E$41,5,FALSE())</f>
        <v>#N/A</v>
      </c>
      <c r="C83" s="122"/>
      <c r="D83" s="123" t="e">
        <f aca="false">B83+C83</f>
        <v>#N/A</v>
      </c>
      <c r="E83" s="111" t="n">
        <f aca="false">IF(Z83=0,0,IF(AND(Z83=1,$H$3=1),D83*U83,IF($H$3=2,D83,"N/A")))</f>
        <v>0</v>
      </c>
      <c r="F83" s="111" t="n">
        <f aca="false">E83*Y83</f>
        <v>0</v>
      </c>
      <c r="G83" s="124" t="n">
        <f aca="false">VLOOKUP($A83,Table,MATCH(G$4,Curves,0))</f>
        <v>3</v>
      </c>
      <c r="H83" s="125" t="n">
        <f aca="false">G83+$H$7</f>
        <v>3</v>
      </c>
      <c r="I83" s="124" t="n">
        <f aca="false">H83</f>
        <v>3</v>
      </c>
      <c r="J83" s="124" t="n">
        <f aca="false">VLOOKUP($A83,Table,MATCH(J$4,Curves,0))</f>
        <v>4</v>
      </c>
      <c r="K83" s="125" t="n">
        <f aca="false">J83+$K$7</f>
        <v>4</v>
      </c>
      <c r="L83" s="126" t="n">
        <f aca="false">K83</f>
        <v>4</v>
      </c>
      <c r="M83" s="124" t="n">
        <f aca="false">VLOOKUP($A83,Table,MATCH(M$4,Curves,0))</f>
        <v>4</v>
      </c>
      <c r="N83" s="125" t="n">
        <f aca="false">M83+$N$7</f>
        <v>4</v>
      </c>
      <c r="O83" s="126" t="n">
        <v>-0.04</v>
      </c>
      <c r="P83" s="114"/>
      <c r="Q83" s="126" t="n">
        <f aca="false">M83+J83+G83</f>
        <v>11</v>
      </c>
      <c r="R83" s="126" t="n">
        <f aca="false">N83+K83+H83</f>
        <v>11</v>
      </c>
      <c r="S83" s="126" t="n">
        <f aca="false">O83+L83+I83</f>
        <v>6.96</v>
      </c>
      <c r="T83" s="127"/>
      <c r="U83" s="5" t="n">
        <f aca="false">A84-A83</f>
        <v>31</v>
      </c>
      <c r="V83" s="128" t="n">
        <f aca="false">CHOOSE(F$3,A84+24,A83)</f>
        <v>39508</v>
      </c>
      <c r="W83" s="5" t="n">
        <f aca="false">V83-C$3</f>
        <v>2277</v>
      </c>
      <c r="X83" s="124" t="n">
        <f aca="false">VLOOKUP($A83,Table,MATCH(X$4,Curves,0))</f>
        <v>2</v>
      </c>
      <c r="Y83" s="129" t="n">
        <f aca="false">1/(1+CHOOSE(F$3,(X84+($K$3/10000))/2,(X83+($K$3/10000))/2))^(2*W83/365.25)</f>
        <v>0.000176484305815765</v>
      </c>
      <c r="Z83" s="5" t="n">
        <f aca="false">IF(AND(mthbeg&lt;=A83,mthend&gt;=A83),1,0)</f>
        <v>0</v>
      </c>
      <c r="AA83" s="5" t="n">
        <f aca="false">U83*Z83</f>
        <v>0</v>
      </c>
      <c r="AC83" s="115" t="n">
        <f aca="false">IF(G76=2,F83*(S83-Q83),F83*(Q83-S83))</f>
        <v>0</v>
      </c>
      <c r="AE83" s="116" t="n">
        <f aca="false">IF($G$3=1,F83*(R83-Q83),F83*(Q83-R83))</f>
        <v>0</v>
      </c>
      <c r="AG83" s="116" t="n">
        <f aca="false">AC83+AE83</f>
        <v>0</v>
      </c>
    </row>
    <row r="84" customFormat="false" ht="12.75" hidden="false" customHeight="false" outlineLevel="0" collapsed="false">
      <c r="A84" s="120" t="n">
        <f aca="false">EDATE(A83,1)</f>
        <v>39539</v>
      </c>
      <c r="B84" s="121" t="e">
        <f aca="false">VLOOKUP(A84,'Inputs-Summary'!$A$32:$E$41,5,FALSE())</f>
        <v>#N/A</v>
      </c>
      <c r="C84" s="122"/>
      <c r="D84" s="123" t="e">
        <f aca="false">B84+C84</f>
        <v>#N/A</v>
      </c>
      <c r="E84" s="111" t="n">
        <f aca="false">IF(Z84=0,0,IF(AND(Z84=1,$H$3=1),D84*U84,IF($H$3=2,D84,"N/A")))</f>
        <v>0</v>
      </c>
      <c r="F84" s="111" t="n">
        <f aca="false">E84*Y84</f>
        <v>0</v>
      </c>
      <c r="G84" s="124" t="n">
        <f aca="false">VLOOKUP($A84,Table,MATCH(G$4,Curves,0))</f>
        <v>3</v>
      </c>
      <c r="H84" s="125" t="n">
        <f aca="false">G84+$H$7</f>
        <v>3</v>
      </c>
      <c r="I84" s="124" t="n">
        <f aca="false">H84</f>
        <v>3</v>
      </c>
      <c r="J84" s="124" t="n">
        <f aca="false">VLOOKUP($A84,Table,MATCH(J$4,Curves,0))</f>
        <v>4</v>
      </c>
      <c r="K84" s="125" t="n">
        <f aca="false">J84+$K$7</f>
        <v>4</v>
      </c>
      <c r="L84" s="126" t="n">
        <f aca="false">K84</f>
        <v>4</v>
      </c>
      <c r="M84" s="124" t="n">
        <f aca="false">VLOOKUP($A84,Table,MATCH(M$4,Curves,0))</f>
        <v>4</v>
      </c>
      <c r="N84" s="125" t="n">
        <f aca="false">M84+$N$7</f>
        <v>4</v>
      </c>
      <c r="O84" s="126" t="n">
        <v>-0.04</v>
      </c>
      <c r="P84" s="114"/>
      <c r="Q84" s="126" t="n">
        <f aca="false">M84+J84+G84</f>
        <v>11</v>
      </c>
      <c r="R84" s="126" t="n">
        <f aca="false">N84+K84+H84</f>
        <v>11</v>
      </c>
      <c r="S84" s="126" t="n">
        <f aca="false">O84+L84+I84</f>
        <v>6.96</v>
      </c>
      <c r="T84" s="127"/>
      <c r="U84" s="5" t="n">
        <f aca="false">A85-A84</f>
        <v>30</v>
      </c>
      <c r="V84" s="128" t="n">
        <f aca="false">CHOOSE(F$3,A85+24,A84)</f>
        <v>39539</v>
      </c>
      <c r="W84" s="5" t="n">
        <f aca="false">V84-C$3</f>
        <v>2308</v>
      </c>
      <c r="X84" s="124" t="n">
        <f aca="false">VLOOKUP($A84,Table,MATCH(X$4,Curves,0))</f>
        <v>2</v>
      </c>
      <c r="Y84" s="129" t="n">
        <f aca="false">1/(1+CHOOSE(F$3,(X85+($K$3/10000))/2,(X84+($K$3/10000))/2))^(2*W84/365.25)</f>
        <v>0.000156894322432802</v>
      </c>
      <c r="Z84" s="5" t="n">
        <f aca="false">IF(AND(mthbeg&lt;=A84,mthend&gt;=A84),1,0)</f>
        <v>0</v>
      </c>
      <c r="AA84" s="5" t="n">
        <f aca="false">U84*Z84</f>
        <v>0</v>
      </c>
      <c r="AC84" s="115" t="n">
        <f aca="false">IF(G77=2,F84*(S84-Q84),F84*(Q84-S84))</f>
        <v>0</v>
      </c>
      <c r="AE84" s="116" t="n">
        <f aca="false">IF($G$3=1,F84*(R84-Q84),F84*(Q84-R84))</f>
        <v>0</v>
      </c>
      <c r="AG84" s="116" t="n">
        <f aca="false">AC84+AE84</f>
        <v>0</v>
      </c>
    </row>
    <row r="85" customFormat="false" ht="12.75" hidden="false" customHeight="false" outlineLevel="0" collapsed="false">
      <c r="A85" s="120" t="n">
        <f aca="false">EDATE(A84,1)</f>
        <v>39569</v>
      </c>
      <c r="B85" s="121" t="e">
        <f aca="false">VLOOKUP(A85,'Inputs-Summary'!$A$32:$E$41,5,FALSE())</f>
        <v>#N/A</v>
      </c>
      <c r="C85" s="122"/>
      <c r="D85" s="123" t="e">
        <f aca="false">B85+C85</f>
        <v>#N/A</v>
      </c>
      <c r="E85" s="111" t="n">
        <f aca="false">IF(Z85=0,0,IF(AND(Z85=1,$H$3=1),D85*U85,IF($H$3=2,D85,"N/A")))</f>
        <v>0</v>
      </c>
      <c r="F85" s="111" t="n">
        <f aca="false">E85*Y85</f>
        <v>0</v>
      </c>
      <c r="G85" s="124" t="n">
        <f aca="false">VLOOKUP($A85,Table,MATCH(G$4,Curves,0))</f>
        <v>3</v>
      </c>
      <c r="H85" s="125" t="n">
        <f aca="false">G85+$H$7</f>
        <v>3</v>
      </c>
      <c r="I85" s="124" t="n">
        <f aca="false">H85</f>
        <v>3</v>
      </c>
      <c r="J85" s="124" t="n">
        <f aca="false">VLOOKUP($A85,Table,MATCH(J$4,Curves,0))</f>
        <v>4</v>
      </c>
      <c r="K85" s="125" t="n">
        <f aca="false">J85+$K$7</f>
        <v>4</v>
      </c>
      <c r="L85" s="126" t="n">
        <f aca="false">K85</f>
        <v>4</v>
      </c>
      <c r="M85" s="124" t="n">
        <f aca="false">VLOOKUP($A85,Table,MATCH(M$4,Curves,0))</f>
        <v>4</v>
      </c>
      <c r="N85" s="125" t="n">
        <f aca="false">M85+$N$7</f>
        <v>4</v>
      </c>
      <c r="O85" s="126" t="n">
        <v>-0.04</v>
      </c>
      <c r="P85" s="114"/>
      <c r="Q85" s="126" t="n">
        <f aca="false">M85+J85+G85</f>
        <v>11</v>
      </c>
      <c r="R85" s="126" t="n">
        <f aca="false">N85+K85+H85</f>
        <v>11</v>
      </c>
      <c r="S85" s="126" t="n">
        <f aca="false">O85+L85+I85</f>
        <v>6.96</v>
      </c>
      <c r="T85" s="127"/>
      <c r="U85" s="5" t="n">
        <f aca="false">A86-A85</f>
        <v>31</v>
      </c>
      <c r="V85" s="128" t="n">
        <f aca="false">CHOOSE(F$3,A86+24,A85)</f>
        <v>39569</v>
      </c>
      <c r="W85" s="5" t="n">
        <f aca="false">V85-C$3</f>
        <v>2338</v>
      </c>
      <c r="X85" s="124" t="n">
        <f aca="false">VLOOKUP($A85,Table,MATCH(X$4,Curves,0))</f>
        <v>2</v>
      </c>
      <c r="Y85" s="129" t="n">
        <f aca="false">1/(1+CHOOSE(F$3,(X86+($K$3/10000))/2,(X85+($K$3/10000))/2))^(2*W85/365.25)</f>
        <v>0.000140009245533509</v>
      </c>
      <c r="Z85" s="5" t="n">
        <f aca="false">IF(AND(mthbeg&lt;=A85,mthend&gt;=A85),1,0)</f>
        <v>0</v>
      </c>
      <c r="AA85" s="5" t="n">
        <f aca="false">U85*Z85</f>
        <v>0</v>
      </c>
      <c r="AC85" s="115" t="n">
        <f aca="false">IF(G78=2,F85*(S85-Q85),F85*(Q85-S85))</f>
        <v>0</v>
      </c>
      <c r="AE85" s="116" t="n">
        <f aca="false">IF($G$3=1,F85*(R85-Q85),F85*(Q85-R85))</f>
        <v>0</v>
      </c>
      <c r="AG85" s="116" t="n">
        <f aca="false">AC85+AE85</f>
        <v>0</v>
      </c>
    </row>
    <row r="86" customFormat="false" ht="12.75" hidden="false" customHeight="false" outlineLevel="0" collapsed="false">
      <c r="A86" s="120" t="n">
        <f aca="false">EDATE(A85,1)</f>
        <v>39600</v>
      </c>
      <c r="B86" s="121" t="e">
        <f aca="false">VLOOKUP(A86,'Inputs-Summary'!$A$32:$E$41,5,FALSE())</f>
        <v>#N/A</v>
      </c>
      <c r="C86" s="122"/>
      <c r="D86" s="123" t="e">
        <f aca="false">B86+C86</f>
        <v>#N/A</v>
      </c>
      <c r="E86" s="111" t="n">
        <f aca="false">IF(Z86=0,0,IF(AND(Z86=1,$H$3=1),D86*U86,IF($H$3=2,D86,"N/A")))</f>
        <v>0</v>
      </c>
      <c r="F86" s="111" t="n">
        <f aca="false">E86*Y86</f>
        <v>0</v>
      </c>
      <c r="G86" s="124" t="n">
        <f aca="false">VLOOKUP($A86,Table,MATCH(G$4,Curves,0))</f>
        <v>3</v>
      </c>
      <c r="H86" s="125" t="n">
        <f aca="false">G86+$H$7</f>
        <v>3</v>
      </c>
      <c r="I86" s="124" t="n">
        <f aca="false">H86</f>
        <v>3</v>
      </c>
      <c r="J86" s="124" t="n">
        <f aca="false">VLOOKUP($A86,Table,MATCH(J$4,Curves,0))</f>
        <v>4</v>
      </c>
      <c r="K86" s="125" t="n">
        <f aca="false">J86+$K$7</f>
        <v>4</v>
      </c>
      <c r="L86" s="126" t="n">
        <f aca="false">K86</f>
        <v>4</v>
      </c>
      <c r="M86" s="124" t="n">
        <f aca="false">VLOOKUP($A86,Table,MATCH(M$4,Curves,0))</f>
        <v>4</v>
      </c>
      <c r="N86" s="125" t="n">
        <f aca="false">M86+$N$7</f>
        <v>4</v>
      </c>
      <c r="O86" s="126" t="n">
        <v>-0.04</v>
      </c>
      <c r="P86" s="114"/>
      <c r="Q86" s="126" t="n">
        <f aca="false">M86+J86+G86</f>
        <v>11</v>
      </c>
      <c r="R86" s="126" t="n">
        <f aca="false">N86+K86+H86</f>
        <v>11</v>
      </c>
      <c r="S86" s="126" t="n">
        <f aca="false">O86+L86+I86</f>
        <v>6.96</v>
      </c>
      <c r="T86" s="127"/>
      <c r="U86" s="5" t="n">
        <f aca="false">A87-A86</f>
        <v>30</v>
      </c>
      <c r="V86" s="128" t="n">
        <f aca="false">CHOOSE(F$3,A87+24,A86)</f>
        <v>39600</v>
      </c>
      <c r="W86" s="5" t="n">
        <f aca="false">V86-C$3</f>
        <v>2369</v>
      </c>
      <c r="X86" s="124" t="n">
        <f aca="false">VLOOKUP($A86,Table,MATCH(X$4,Curves,0))</f>
        <v>2</v>
      </c>
      <c r="Y86" s="129" t="n">
        <f aca="false">1/(1+CHOOSE(F$3,(X87+($K$3/10000))/2,(X86+($K$3/10000))/2))^(2*W86/365.25)</f>
        <v>0.000124468040434367</v>
      </c>
      <c r="Z86" s="5" t="n">
        <f aca="false">IF(AND(mthbeg&lt;=A86,mthend&gt;=A86),1,0)</f>
        <v>0</v>
      </c>
      <c r="AA86" s="5" t="n">
        <f aca="false">U86*Z86</f>
        <v>0</v>
      </c>
      <c r="AC86" s="115" t="n">
        <f aca="false">IF(G79=2,F86*(S86-Q86),F86*(Q86-S86))</f>
        <v>0</v>
      </c>
      <c r="AE86" s="116" t="n">
        <f aca="false">IF($G$3=1,F86*(R86-Q86),F86*(Q86-R86))</f>
        <v>0</v>
      </c>
      <c r="AG86" s="116" t="n">
        <f aca="false">AC86+AE86</f>
        <v>0</v>
      </c>
    </row>
    <row r="87" customFormat="false" ht="12.75" hidden="false" customHeight="false" outlineLevel="0" collapsed="false">
      <c r="A87" s="120" t="n">
        <f aca="false">EDATE(A86,1)</f>
        <v>39630</v>
      </c>
      <c r="B87" s="121" t="e">
        <f aca="false">VLOOKUP(A87,'Inputs-Summary'!$A$32:$E$41,5,FALSE())</f>
        <v>#N/A</v>
      </c>
      <c r="C87" s="122"/>
      <c r="D87" s="123" t="e">
        <f aca="false">B87+C87</f>
        <v>#N/A</v>
      </c>
      <c r="E87" s="111" t="n">
        <f aca="false">IF(Z87=0,0,IF(AND(Z87=1,$H$3=1),D87*U87,IF($H$3=2,D87,"N/A")))</f>
        <v>0</v>
      </c>
      <c r="F87" s="111" t="n">
        <f aca="false">E87*Y87</f>
        <v>0</v>
      </c>
      <c r="G87" s="124" t="n">
        <f aca="false">VLOOKUP($A87,Table,MATCH(G$4,Curves,0))</f>
        <v>3</v>
      </c>
      <c r="H87" s="125" t="n">
        <f aca="false">G87+$H$7</f>
        <v>3</v>
      </c>
      <c r="I87" s="124" t="n">
        <f aca="false">H87</f>
        <v>3</v>
      </c>
      <c r="J87" s="124" t="n">
        <f aca="false">VLOOKUP($A87,Table,MATCH(J$4,Curves,0))</f>
        <v>4</v>
      </c>
      <c r="K87" s="125" t="n">
        <f aca="false">J87+$K$7</f>
        <v>4</v>
      </c>
      <c r="L87" s="126" t="n">
        <f aca="false">K87</f>
        <v>4</v>
      </c>
      <c r="M87" s="124" t="n">
        <f aca="false">VLOOKUP($A87,Table,MATCH(M$4,Curves,0))</f>
        <v>4</v>
      </c>
      <c r="N87" s="125" t="n">
        <f aca="false">M87+$N$7</f>
        <v>4</v>
      </c>
      <c r="O87" s="126" t="n">
        <v>-0.04</v>
      </c>
      <c r="P87" s="114"/>
      <c r="Q87" s="126" t="n">
        <f aca="false">M87+J87+G87</f>
        <v>11</v>
      </c>
      <c r="R87" s="126" t="n">
        <f aca="false">N87+K87+H87</f>
        <v>11</v>
      </c>
      <c r="S87" s="126" t="n">
        <f aca="false">O87+L87+I87</f>
        <v>6.96</v>
      </c>
      <c r="T87" s="127"/>
      <c r="U87" s="5" t="n">
        <f aca="false">A88-A87</f>
        <v>31</v>
      </c>
      <c r="V87" s="128" t="n">
        <f aca="false">CHOOSE(F$3,A88+24,A87)</f>
        <v>39630</v>
      </c>
      <c r="W87" s="5" t="n">
        <f aca="false">V87-C$3</f>
        <v>2399</v>
      </c>
      <c r="X87" s="124" t="n">
        <f aca="false">VLOOKUP($A87,Table,MATCH(X$4,Curves,0))</f>
        <v>2</v>
      </c>
      <c r="Y87" s="129" t="n">
        <f aca="false">1/(1+CHOOSE(F$3,(X88+($K$3/10000))/2,(X87+($K$3/10000))/2))^(2*W87/365.25)</f>
        <v>0.000111072702721374</v>
      </c>
      <c r="Z87" s="5" t="n">
        <f aca="false">IF(AND(mthbeg&lt;=A87,mthend&gt;=A87),1,0)</f>
        <v>0</v>
      </c>
      <c r="AA87" s="5" t="n">
        <f aca="false">U87*Z87</f>
        <v>0</v>
      </c>
      <c r="AC87" s="115" t="n">
        <f aca="false">IF(G80=2,F87*(S87-Q87),F87*(Q87-S87))</f>
        <v>0</v>
      </c>
      <c r="AE87" s="116" t="n">
        <f aca="false">IF($G$3=1,F87*(R87-Q87),F87*(Q87-R87))</f>
        <v>0</v>
      </c>
      <c r="AG87" s="116" t="n">
        <f aca="false">AC87+AE87</f>
        <v>0</v>
      </c>
    </row>
    <row r="88" customFormat="false" ht="12.75" hidden="false" customHeight="false" outlineLevel="0" collapsed="false">
      <c r="A88" s="120" t="n">
        <f aca="false">EDATE(A87,1)</f>
        <v>39661</v>
      </c>
      <c r="B88" s="121" t="e">
        <f aca="false">VLOOKUP(A88,'Inputs-Summary'!$A$32:$E$41,5,FALSE())</f>
        <v>#N/A</v>
      </c>
      <c r="C88" s="122"/>
      <c r="D88" s="123" t="e">
        <f aca="false">B88+C88</f>
        <v>#N/A</v>
      </c>
      <c r="E88" s="111" t="n">
        <f aca="false">IF(Z88=0,0,IF(AND(Z88=1,$H$3=1),D88*U88,IF($H$3=2,D88,"N/A")))</f>
        <v>0</v>
      </c>
      <c r="F88" s="111" t="n">
        <f aca="false">E88*Y88</f>
        <v>0</v>
      </c>
      <c r="G88" s="124" t="n">
        <f aca="false">VLOOKUP($A88,Table,MATCH(G$4,Curves,0))</f>
        <v>3</v>
      </c>
      <c r="H88" s="125" t="n">
        <f aca="false">G88+$H$7</f>
        <v>3</v>
      </c>
      <c r="I88" s="124" t="n">
        <f aca="false">H88</f>
        <v>3</v>
      </c>
      <c r="J88" s="124" t="n">
        <f aca="false">VLOOKUP($A88,Table,MATCH(J$4,Curves,0))</f>
        <v>4</v>
      </c>
      <c r="K88" s="125" t="n">
        <f aca="false">J88+$K$7</f>
        <v>4</v>
      </c>
      <c r="L88" s="126" t="n">
        <f aca="false">K88</f>
        <v>4</v>
      </c>
      <c r="M88" s="124" t="n">
        <f aca="false">VLOOKUP($A88,Table,MATCH(M$4,Curves,0))</f>
        <v>4</v>
      </c>
      <c r="N88" s="125" t="n">
        <f aca="false">M88+$N$7</f>
        <v>4</v>
      </c>
      <c r="O88" s="126" t="n">
        <v>-0.04</v>
      </c>
      <c r="P88" s="114"/>
      <c r="Q88" s="126" t="n">
        <f aca="false">M88+J88+G88</f>
        <v>11</v>
      </c>
      <c r="R88" s="126" t="n">
        <f aca="false">N88+K88+H88</f>
        <v>11</v>
      </c>
      <c r="S88" s="126" t="n">
        <f aca="false">O88+L88+I88</f>
        <v>6.96</v>
      </c>
      <c r="T88" s="127"/>
      <c r="U88" s="5" t="n">
        <f aca="false">A89-A88</f>
        <v>31</v>
      </c>
      <c r="V88" s="128" t="n">
        <f aca="false">CHOOSE(F$3,A89+24,A88)</f>
        <v>39661</v>
      </c>
      <c r="W88" s="5" t="n">
        <f aca="false">V88-C$3</f>
        <v>2430</v>
      </c>
      <c r="X88" s="124" t="n">
        <f aca="false">VLOOKUP($A88,Table,MATCH(X$4,Curves,0))</f>
        <v>2</v>
      </c>
      <c r="Y88" s="129" t="n">
        <f aca="false">1/(1+CHOOSE(F$3,(X89+($K$3/10000))/2,(X88+($K$3/10000))/2))^(2*W88/365.25)</f>
        <v>9.8743490837322E-005</v>
      </c>
      <c r="Z88" s="5" t="n">
        <f aca="false">IF(AND(mthbeg&lt;=A88,mthend&gt;=A88),1,0)</f>
        <v>0</v>
      </c>
      <c r="AA88" s="5" t="n">
        <f aca="false">U88*Z88</f>
        <v>0</v>
      </c>
      <c r="AC88" s="115" t="n">
        <f aca="false">IF(G81=2,F88*(S88-Q88),F88*(Q88-S88))</f>
        <v>0</v>
      </c>
      <c r="AE88" s="116" t="n">
        <f aca="false">IF($G$3=1,F88*(R88-Q88),F88*(Q88-R88))</f>
        <v>0</v>
      </c>
      <c r="AG88" s="116" t="n">
        <f aca="false">AC88+AE88</f>
        <v>0</v>
      </c>
    </row>
    <row r="89" customFormat="false" ht="12.75" hidden="false" customHeight="false" outlineLevel="0" collapsed="false">
      <c r="A89" s="120" t="n">
        <f aca="false">EDATE(A88,1)</f>
        <v>39692</v>
      </c>
      <c r="B89" s="121" t="e">
        <f aca="false">VLOOKUP(A89,'Inputs-Summary'!$A$32:$E$41,5,FALSE())</f>
        <v>#N/A</v>
      </c>
      <c r="C89" s="122"/>
      <c r="D89" s="123" t="e">
        <f aca="false">B89+C89</f>
        <v>#N/A</v>
      </c>
      <c r="E89" s="111" t="n">
        <f aca="false">IF(Z89=0,0,IF(AND(Z89=1,$H$3=1),D89*U89,IF($H$3=2,D89,"N/A")))</f>
        <v>0</v>
      </c>
      <c r="F89" s="111" t="n">
        <f aca="false">E89*Y89</f>
        <v>0</v>
      </c>
      <c r="G89" s="124" t="n">
        <f aca="false">VLOOKUP($A89,Table,MATCH(G$4,Curves,0))</f>
        <v>3</v>
      </c>
      <c r="H89" s="125" t="n">
        <f aca="false">G89+$H$7</f>
        <v>3</v>
      </c>
      <c r="I89" s="124" t="n">
        <f aca="false">H89</f>
        <v>3</v>
      </c>
      <c r="J89" s="124" t="n">
        <f aca="false">VLOOKUP($A89,Table,MATCH(J$4,Curves,0))</f>
        <v>4</v>
      </c>
      <c r="K89" s="125" t="n">
        <f aca="false">J89+$K$7</f>
        <v>4</v>
      </c>
      <c r="L89" s="126" t="n">
        <f aca="false">K89</f>
        <v>4</v>
      </c>
      <c r="M89" s="124" t="n">
        <f aca="false">VLOOKUP($A89,Table,MATCH(M$4,Curves,0))</f>
        <v>4</v>
      </c>
      <c r="N89" s="125" t="n">
        <f aca="false">M89+$N$7</f>
        <v>4</v>
      </c>
      <c r="O89" s="126" t="n">
        <v>-0.04</v>
      </c>
      <c r="P89" s="114"/>
      <c r="Q89" s="126" t="n">
        <f aca="false">M89+J89+G89</f>
        <v>11</v>
      </c>
      <c r="R89" s="126" t="n">
        <f aca="false">N89+K89+H89</f>
        <v>11</v>
      </c>
      <c r="S89" s="126" t="n">
        <f aca="false">O89+L89+I89</f>
        <v>6.96</v>
      </c>
      <c r="T89" s="127"/>
      <c r="U89" s="5" t="n">
        <f aca="false">A90-A89</f>
        <v>30</v>
      </c>
      <c r="V89" s="128" t="n">
        <f aca="false">CHOOSE(F$3,A90+24,A89)</f>
        <v>39692</v>
      </c>
      <c r="W89" s="5" t="n">
        <f aca="false">V89-C$3</f>
        <v>2461</v>
      </c>
      <c r="X89" s="124" t="n">
        <f aca="false">VLOOKUP($A89,Table,MATCH(X$4,Curves,0))</f>
        <v>2</v>
      </c>
      <c r="Y89" s="129" t="n">
        <f aca="false">1/(1+CHOOSE(F$3,(X90+($K$3/10000))/2,(X89+($K$3/10000))/2))^(2*W89/365.25)</f>
        <v>8.77828372214803E-005</v>
      </c>
      <c r="Z89" s="5" t="n">
        <f aca="false">IF(AND(mthbeg&lt;=A89,mthend&gt;=A89),1,0)</f>
        <v>0</v>
      </c>
      <c r="AA89" s="5" t="n">
        <f aca="false">U89*Z89</f>
        <v>0</v>
      </c>
      <c r="AC89" s="115" t="n">
        <f aca="false">IF(G82=2,F89*(S89-Q89),F89*(Q89-S89))</f>
        <v>0</v>
      </c>
      <c r="AE89" s="116" t="n">
        <f aca="false">IF($G$3=1,F89*(R89-Q89),F89*(Q89-R89))</f>
        <v>0</v>
      </c>
      <c r="AG89" s="116" t="n">
        <f aca="false">AC89+AE89</f>
        <v>0</v>
      </c>
    </row>
    <row r="90" customFormat="false" ht="12.75" hidden="false" customHeight="false" outlineLevel="0" collapsed="false">
      <c r="A90" s="120" t="n">
        <f aca="false">EDATE(A89,1)</f>
        <v>39722</v>
      </c>
      <c r="B90" s="121" t="e">
        <f aca="false">VLOOKUP(A90,'Inputs-Summary'!$A$32:$E$41,5,FALSE())</f>
        <v>#N/A</v>
      </c>
      <c r="C90" s="122"/>
      <c r="D90" s="123" t="e">
        <f aca="false">B90+C90</f>
        <v>#N/A</v>
      </c>
      <c r="E90" s="111" t="n">
        <f aca="false">IF(Z90=0,0,IF(AND(Z90=1,$H$3=1),D90*U90,IF($H$3=2,D90,"N/A")))</f>
        <v>0</v>
      </c>
      <c r="F90" s="111" t="n">
        <f aca="false">E90*Y90</f>
        <v>0</v>
      </c>
      <c r="G90" s="124" t="n">
        <f aca="false">VLOOKUP($A90,Table,MATCH(G$4,Curves,0))</f>
        <v>3</v>
      </c>
      <c r="H90" s="125" t="n">
        <f aca="false">G90+$H$7</f>
        <v>3</v>
      </c>
      <c r="I90" s="124" t="n">
        <f aca="false">H90</f>
        <v>3</v>
      </c>
      <c r="J90" s="124" t="n">
        <f aca="false">VLOOKUP($A90,Table,MATCH(J$4,Curves,0))</f>
        <v>4</v>
      </c>
      <c r="K90" s="125" t="n">
        <f aca="false">J90+$K$7</f>
        <v>4</v>
      </c>
      <c r="L90" s="126" t="n">
        <f aca="false">K90</f>
        <v>4</v>
      </c>
      <c r="M90" s="124" t="n">
        <f aca="false">VLOOKUP($A90,Table,MATCH(M$4,Curves,0))</f>
        <v>4</v>
      </c>
      <c r="N90" s="125" t="n">
        <f aca="false">M90+$N$7</f>
        <v>4</v>
      </c>
      <c r="O90" s="126" t="n">
        <v>-0.04</v>
      </c>
      <c r="P90" s="114"/>
      <c r="Q90" s="126" t="n">
        <f aca="false">M90+J90+G90</f>
        <v>11</v>
      </c>
      <c r="R90" s="126" t="n">
        <f aca="false">N90+K90+H90</f>
        <v>11</v>
      </c>
      <c r="S90" s="126" t="n">
        <f aca="false">O90+L90+I90</f>
        <v>6.96</v>
      </c>
      <c r="T90" s="127"/>
      <c r="U90" s="5" t="n">
        <f aca="false">A91-A90</f>
        <v>31</v>
      </c>
      <c r="V90" s="128" t="n">
        <f aca="false">CHOOSE(F$3,A91+24,A90)</f>
        <v>39722</v>
      </c>
      <c r="W90" s="5" t="n">
        <f aca="false">V90-C$3</f>
        <v>2491</v>
      </c>
      <c r="X90" s="124" t="n">
        <f aca="false">VLOOKUP($A90,Table,MATCH(X$4,Curves,0))</f>
        <v>2</v>
      </c>
      <c r="Y90" s="129" t="n">
        <f aca="false">1/(1+CHOOSE(F$3,(X91+($K$3/10000))/2,(X90+($K$3/10000))/2))^(2*W90/365.25)</f>
        <v>7.83355867796575E-005</v>
      </c>
      <c r="Z90" s="5" t="n">
        <f aca="false">IF(AND(mthbeg&lt;=A90,mthend&gt;=A90),1,0)</f>
        <v>0</v>
      </c>
      <c r="AA90" s="5" t="n">
        <f aca="false">U90*Z90</f>
        <v>0</v>
      </c>
      <c r="AC90" s="115" t="n">
        <f aca="false">IF(G83=2,F90*(S90-Q90),F90*(Q90-S90))</f>
        <v>0</v>
      </c>
      <c r="AE90" s="116" t="n">
        <f aca="false">IF($G$3=1,F90*(R90-Q90),F90*(Q90-R90))</f>
        <v>0</v>
      </c>
      <c r="AG90" s="116" t="n">
        <f aca="false">AC90+AE90</f>
        <v>0</v>
      </c>
    </row>
    <row r="91" customFormat="false" ht="12.75" hidden="false" customHeight="false" outlineLevel="0" collapsed="false">
      <c r="A91" s="120" t="n">
        <f aca="false">EDATE(A90,1)</f>
        <v>39753</v>
      </c>
      <c r="B91" s="121" t="e">
        <f aca="false">VLOOKUP(A91,'Inputs-Summary'!$A$32:$E$41,5,FALSE())</f>
        <v>#N/A</v>
      </c>
      <c r="C91" s="122"/>
      <c r="D91" s="123" t="e">
        <f aca="false">B91+C91</f>
        <v>#N/A</v>
      </c>
      <c r="E91" s="111" t="n">
        <f aca="false">IF(Z91=0,0,IF(AND(Z91=1,$H$3=1),D91*U91,IF($H$3=2,D91,"N/A")))</f>
        <v>0</v>
      </c>
      <c r="F91" s="111" t="n">
        <f aca="false">E91*Y91</f>
        <v>0</v>
      </c>
      <c r="G91" s="124" t="n">
        <f aca="false">VLOOKUP($A91,Table,MATCH(G$4,Curves,0))</f>
        <v>3</v>
      </c>
      <c r="H91" s="125" t="n">
        <f aca="false">G91+$H$7</f>
        <v>3</v>
      </c>
      <c r="I91" s="124" t="n">
        <f aca="false">H91</f>
        <v>3</v>
      </c>
      <c r="J91" s="124" t="n">
        <f aca="false">VLOOKUP($A91,Table,MATCH(J$4,Curves,0))</f>
        <v>4</v>
      </c>
      <c r="K91" s="125" t="n">
        <f aca="false">J91+$K$7</f>
        <v>4</v>
      </c>
      <c r="L91" s="126" t="n">
        <f aca="false">K91</f>
        <v>4</v>
      </c>
      <c r="M91" s="124" t="n">
        <f aca="false">VLOOKUP($A91,Table,MATCH(M$4,Curves,0))</f>
        <v>4</v>
      </c>
      <c r="N91" s="125" t="n">
        <f aca="false">M91+$N$7</f>
        <v>4</v>
      </c>
      <c r="O91" s="126" t="n">
        <v>-0.04</v>
      </c>
      <c r="P91" s="114"/>
      <c r="Q91" s="126" t="n">
        <f aca="false">M91+J91+G91</f>
        <v>11</v>
      </c>
      <c r="R91" s="126" t="n">
        <f aca="false">N91+K91+H91</f>
        <v>11</v>
      </c>
      <c r="S91" s="126" t="n">
        <f aca="false">O91+L91+I91</f>
        <v>6.96</v>
      </c>
      <c r="T91" s="127"/>
      <c r="U91" s="5" t="n">
        <f aca="false">A92-A91</f>
        <v>30</v>
      </c>
      <c r="V91" s="128" t="n">
        <f aca="false">CHOOSE(F$3,A92+24,A91)</f>
        <v>39753</v>
      </c>
      <c r="W91" s="5" t="n">
        <f aca="false">V91-C$3</f>
        <v>2522</v>
      </c>
      <c r="X91" s="124" t="n">
        <f aca="false">VLOOKUP($A91,Table,MATCH(X$4,Curves,0))</f>
        <v>2</v>
      </c>
      <c r="Y91" s="129" t="n">
        <f aca="false">1/(1+CHOOSE(F$3,(X92+($K$3/10000))/2,(X91+($K$3/10000))/2))^(2*W91/365.25)</f>
        <v>6.96402365828525E-005</v>
      </c>
      <c r="Z91" s="5" t="n">
        <f aca="false">IF(AND(mthbeg&lt;=A91,mthend&gt;=A91),1,0)</f>
        <v>0</v>
      </c>
      <c r="AA91" s="5" t="n">
        <f aca="false">U91*Z91</f>
        <v>0</v>
      </c>
      <c r="AC91" s="115" t="n">
        <f aca="false">IF(G84=2,F91*(S91-Q91),F91*(Q91-S91))</f>
        <v>0</v>
      </c>
      <c r="AE91" s="116" t="n">
        <f aca="false">IF($G$3=1,F91*(R91-Q91),F91*(Q91-R91))</f>
        <v>0</v>
      </c>
      <c r="AG91" s="116" t="n">
        <f aca="false">AC91+AE91</f>
        <v>0</v>
      </c>
    </row>
    <row r="92" customFormat="false" ht="12.75" hidden="false" customHeight="false" outlineLevel="0" collapsed="false">
      <c r="A92" s="120" t="n">
        <f aca="false">EDATE(A91,1)</f>
        <v>39783</v>
      </c>
      <c r="B92" s="121" t="e">
        <f aca="false">VLOOKUP(A92,'Inputs-Summary'!$A$32:$E$41,5,FALSE())</f>
        <v>#N/A</v>
      </c>
      <c r="C92" s="122"/>
      <c r="D92" s="123" t="e">
        <f aca="false">B92+C92</f>
        <v>#N/A</v>
      </c>
      <c r="E92" s="111" t="n">
        <f aca="false">IF(Z92=0,0,IF(AND(Z92=1,$H$3=1),D92*U92,IF($H$3=2,D92,"N/A")))</f>
        <v>0</v>
      </c>
      <c r="F92" s="111" t="n">
        <f aca="false">E92*Y92</f>
        <v>0</v>
      </c>
      <c r="G92" s="124" t="n">
        <f aca="false">VLOOKUP($A92,Table,MATCH(G$4,Curves,0))</f>
        <v>3</v>
      </c>
      <c r="H92" s="125" t="n">
        <f aca="false">G92+$H$7</f>
        <v>3</v>
      </c>
      <c r="I92" s="124" t="n">
        <f aca="false">H92</f>
        <v>3</v>
      </c>
      <c r="J92" s="124" t="n">
        <f aca="false">VLOOKUP($A92,Table,MATCH(J$4,Curves,0))</f>
        <v>4</v>
      </c>
      <c r="K92" s="125" t="n">
        <f aca="false">J92+$K$7</f>
        <v>4</v>
      </c>
      <c r="L92" s="126" t="n">
        <f aca="false">K92</f>
        <v>4</v>
      </c>
      <c r="M92" s="124" t="n">
        <f aca="false">VLOOKUP($A92,Table,MATCH(M$4,Curves,0))</f>
        <v>4</v>
      </c>
      <c r="N92" s="125" t="n">
        <f aca="false">M92+$N$7</f>
        <v>4</v>
      </c>
      <c r="O92" s="126" t="n">
        <v>-0.04</v>
      </c>
      <c r="P92" s="114"/>
      <c r="Q92" s="126" t="n">
        <f aca="false">M92+J92+G92</f>
        <v>11</v>
      </c>
      <c r="R92" s="126" t="n">
        <f aca="false">N92+K92+H92</f>
        <v>11</v>
      </c>
      <c r="S92" s="126" t="n">
        <f aca="false">O92+L92+I92</f>
        <v>6.96</v>
      </c>
      <c r="T92" s="127"/>
      <c r="U92" s="5" t="n">
        <f aca="false">A93-A92</f>
        <v>31</v>
      </c>
      <c r="V92" s="128" t="n">
        <f aca="false">CHOOSE(F$3,A93+24,A92)</f>
        <v>39783</v>
      </c>
      <c r="W92" s="5" t="n">
        <f aca="false">V92-C$3</f>
        <v>2552</v>
      </c>
      <c r="X92" s="124" t="n">
        <f aca="false">VLOOKUP($A92,Table,MATCH(X$4,Curves,0))</f>
        <v>2</v>
      </c>
      <c r="Y92" s="129" t="n">
        <f aca="false">1/(1+CHOOSE(F$3,(X93+($K$3/10000))/2,(X92+($K$3/10000))/2))^(2*W92/365.25)</f>
        <v>6.2145505532339E-005</v>
      </c>
      <c r="Z92" s="5" t="n">
        <f aca="false">IF(AND(mthbeg&lt;=A92,mthend&gt;=A92),1,0)</f>
        <v>0</v>
      </c>
      <c r="AA92" s="5" t="n">
        <f aca="false">U92*Z92</f>
        <v>0</v>
      </c>
      <c r="AC92" s="115" t="n">
        <f aca="false">IF(G85=2,F92*(S92-Q92),F92*(Q92-S92))</f>
        <v>0</v>
      </c>
      <c r="AE92" s="116" t="n">
        <f aca="false">IF($G$3=1,F92*(R92-Q92),F92*(Q92-R92))</f>
        <v>0</v>
      </c>
      <c r="AG92" s="116" t="n">
        <f aca="false">AC92+AE92</f>
        <v>0</v>
      </c>
    </row>
    <row r="93" customFormat="false" ht="12.75" hidden="false" customHeight="false" outlineLevel="0" collapsed="false">
      <c r="A93" s="120" t="n">
        <f aca="false">EDATE(A92,1)</f>
        <v>39814</v>
      </c>
      <c r="B93" s="121" t="e">
        <f aca="false">VLOOKUP(A93,'Inputs-Summary'!$A$32:$E$41,5,FALSE())</f>
        <v>#N/A</v>
      </c>
      <c r="C93" s="122"/>
      <c r="D93" s="123" t="e">
        <f aca="false">B93+C93</f>
        <v>#N/A</v>
      </c>
      <c r="E93" s="111" t="n">
        <f aca="false">IF(Z93=0,0,IF(AND(Z93=1,$H$3=1),D93*U93,IF($H$3=2,D93,"N/A")))</f>
        <v>0</v>
      </c>
      <c r="F93" s="111" t="n">
        <f aca="false">E93*Y93</f>
        <v>0</v>
      </c>
      <c r="G93" s="124" t="n">
        <f aca="false">VLOOKUP($A93,Table,MATCH(G$4,Curves,0))</f>
        <v>3</v>
      </c>
      <c r="H93" s="125" t="n">
        <f aca="false">G93+$H$7</f>
        <v>3</v>
      </c>
      <c r="I93" s="124" t="n">
        <f aca="false">H93</f>
        <v>3</v>
      </c>
      <c r="J93" s="124" t="n">
        <f aca="false">VLOOKUP($A93,Table,MATCH(J$4,Curves,0))</f>
        <v>4</v>
      </c>
      <c r="K93" s="125" t="n">
        <f aca="false">J93+$K$7</f>
        <v>4</v>
      </c>
      <c r="L93" s="126" t="n">
        <f aca="false">K93</f>
        <v>4</v>
      </c>
      <c r="M93" s="124" t="n">
        <f aca="false">VLOOKUP($A93,Table,MATCH(M$4,Curves,0))</f>
        <v>4</v>
      </c>
      <c r="N93" s="125" t="n">
        <f aca="false">M93+$N$7</f>
        <v>4</v>
      </c>
      <c r="O93" s="126" t="n">
        <v>-0.04</v>
      </c>
      <c r="P93" s="114"/>
      <c r="Q93" s="126" t="n">
        <f aca="false">M93+J93+G93</f>
        <v>11</v>
      </c>
      <c r="R93" s="126" t="n">
        <f aca="false">N93+K93+H93</f>
        <v>11</v>
      </c>
      <c r="S93" s="126" t="n">
        <f aca="false">O93+L93+I93</f>
        <v>6.96</v>
      </c>
      <c r="T93" s="127"/>
      <c r="U93" s="5" t="n">
        <f aca="false">A94-A93</f>
        <v>31</v>
      </c>
      <c r="V93" s="128" t="n">
        <f aca="false">CHOOSE(F$3,A94+24,A93)</f>
        <v>39814</v>
      </c>
      <c r="W93" s="5" t="n">
        <f aca="false">V93-C$3</f>
        <v>2583</v>
      </c>
      <c r="X93" s="124" t="n">
        <f aca="false">VLOOKUP($A93,Table,MATCH(X$4,Curves,0))</f>
        <v>2</v>
      </c>
      <c r="Y93" s="129" t="n">
        <f aca="false">1/(1+CHOOSE(F$3,(X94+($K$3/10000))/2,(X93+($K$3/10000))/2))^(2*W93/365.25)</f>
        <v>5.52472750348622E-005</v>
      </c>
      <c r="Z93" s="5" t="n">
        <f aca="false">IF(AND(mthbeg&lt;=A93,mthend&gt;=A93),1,0)</f>
        <v>0</v>
      </c>
      <c r="AA93" s="5" t="n">
        <f aca="false">U93*Z93</f>
        <v>0</v>
      </c>
      <c r="AC93" s="115" t="n">
        <f aca="false">IF(G86=2,F93*(S93-Q93),F93*(Q93-S93))</f>
        <v>0</v>
      </c>
      <c r="AE93" s="116" t="n">
        <f aca="false">IF($G$3=1,F93*(R93-Q93),F93*(Q93-R93))</f>
        <v>0</v>
      </c>
      <c r="AG93" s="116" t="n">
        <f aca="false">AC93+AE93</f>
        <v>0</v>
      </c>
    </row>
    <row r="94" customFormat="false" ht="12.75" hidden="false" customHeight="false" outlineLevel="0" collapsed="false">
      <c r="A94" s="120" t="n">
        <f aca="false">EDATE(A93,1)</f>
        <v>39845</v>
      </c>
      <c r="B94" s="121" t="e">
        <f aca="false">VLOOKUP(A94,'Inputs-Summary'!$A$32:$E$41,5,FALSE())</f>
        <v>#N/A</v>
      </c>
      <c r="C94" s="122"/>
      <c r="D94" s="123" t="e">
        <f aca="false">B94+C94</f>
        <v>#N/A</v>
      </c>
      <c r="E94" s="111" t="n">
        <f aca="false">IF(Z94=0,0,IF(AND(Z94=1,$H$3=1),D94*U94,IF($H$3=2,D94,"N/A")))</f>
        <v>0</v>
      </c>
      <c r="F94" s="111" t="n">
        <f aca="false">E94*Y94</f>
        <v>0</v>
      </c>
      <c r="G94" s="124" t="n">
        <f aca="false">VLOOKUP($A94,Table,MATCH(G$4,Curves,0))</f>
        <v>3</v>
      </c>
      <c r="H94" s="125" t="n">
        <f aca="false">G94+$H$7</f>
        <v>3</v>
      </c>
      <c r="I94" s="124" t="n">
        <f aca="false">H94</f>
        <v>3</v>
      </c>
      <c r="J94" s="124" t="n">
        <f aca="false">VLOOKUP($A94,Table,MATCH(J$4,Curves,0))</f>
        <v>4</v>
      </c>
      <c r="K94" s="125" t="n">
        <f aca="false">J94+$K$7</f>
        <v>4</v>
      </c>
      <c r="L94" s="126" t="n">
        <f aca="false">K94</f>
        <v>4</v>
      </c>
      <c r="M94" s="124" t="n">
        <f aca="false">VLOOKUP($A94,Table,MATCH(M$4,Curves,0))</f>
        <v>4</v>
      </c>
      <c r="N94" s="125" t="n">
        <f aca="false">M94+$N$7</f>
        <v>4</v>
      </c>
      <c r="O94" s="126" t="n">
        <v>-0.04</v>
      </c>
      <c r="P94" s="114"/>
      <c r="Q94" s="126" t="n">
        <f aca="false">M94+J94+G94</f>
        <v>11</v>
      </c>
      <c r="R94" s="126" t="n">
        <f aca="false">N94+K94+H94</f>
        <v>11</v>
      </c>
      <c r="S94" s="126" t="n">
        <f aca="false">O94+L94+I94</f>
        <v>6.96</v>
      </c>
      <c r="T94" s="127"/>
      <c r="U94" s="5" t="n">
        <f aca="false">A95-A94</f>
        <v>28</v>
      </c>
      <c r="V94" s="128" t="n">
        <f aca="false">CHOOSE(F$3,A95+24,A94)</f>
        <v>39845</v>
      </c>
      <c r="W94" s="5" t="n">
        <f aca="false">V94-C$3</f>
        <v>2614</v>
      </c>
      <c r="X94" s="124" t="n">
        <f aca="false">VLOOKUP($A94,Table,MATCH(X$4,Curves,0))</f>
        <v>2</v>
      </c>
      <c r="Y94" s="129" t="n">
        <f aca="false">1/(1+CHOOSE(F$3,(X95+($K$3/10000))/2,(X94+($K$3/10000))/2))^(2*W94/365.25)</f>
        <v>4.91147569342627E-005</v>
      </c>
      <c r="Z94" s="5" t="n">
        <f aca="false">IF(AND(mthbeg&lt;=A94,mthend&gt;=A94),1,0)</f>
        <v>0</v>
      </c>
      <c r="AA94" s="5" t="n">
        <f aca="false">U94*Z94</f>
        <v>0</v>
      </c>
      <c r="AC94" s="115" t="n">
        <f aca="false">IF(G87=2,F94*(S94-Q94),F94*(Q94-S94))</f>
        <v>0</v>
      </c>
      <c r="AE94" s="116" t="n">
        <f aca="false">IF($G$3=1,F94*(R94-Q94),F94*(Q94-R94))</f>
        <v>0</v>
      </c>
      <c r="AG94" s="116" t="n">
        <f aca="false">AC94+AE94</f>
        <v>0</v>
      </c>
    </row>
    <row r="95" customFormat="false" ht="12.75" hidden="false" customHeight="false" outlineLevel="0" collapsed="false">
      <c r="A95" s="120" t="n">
        <f aca="false">EDATE(A94,1)</f>
        <v>39873</v>
      </c>
      <c r="B95" s="121" t="e">
        <f aca="false">VLOOKUP(A95,'Inputs-Summary'!$A$32:$E$41,5,FALSE())</f>
        <v>#N/A</v>
      </c>
      <c r="C95" s="122"/>
      <c r="D95" s="123" t="e">
        <f aca="false">B95+C95</f>
        <v>#N/A</v>
      </c>
      <c r="E95" s="111" t="n">
        <f aca="false">IF(Z95=0,0,IF(AND(Z95=1,$H$3=1),D95*U95,IF($H$3=2,D95,"N/A")))</f>
        <v>0</v>
      </c>
      <c r="F95" s="111" t="n">
        <f aca="false">E95*Y95</f>
        <v>0</v>
      </c>
      <c r="G95" s="124" t="n">
        <f aca="false">VLOOKUP($A95,Table,MATCH(G$4,Curves,0))</f>
        <v>3</v>
      </c>
      <c r="H95" s="125" t="n">
        <f aca="false">G95+$H$7</f>
        <v>3</v>
      </c>
      <c r="I95" s="124" t="n">
        <f aca="false">H95</f>
        <v>3</v>
      </c>
      <c r="J95" s="124" t="n">
        <f aca="false">VLOOKUP($A95,Table,MATCH(J$4,Curves,0))</f>
        <v>4</v>
      </c>
      <c r="K95" s="125" t="n">
        <f aca="false">J95+$K$7</f>
        <v>4</v>
      </c>
      <c r="L95" s="126" t="n">
        <f aca="false">K95</f>
        <v>4</v>
      </c>
      <c r="M95" s="124" t="n">
        <f aca="false">VLOOKUP($A95,Table,MATCH(M$4,Curves,0))</f>
        <v>4</v>
      </c>
      <c r="N95" s="125" t="n">
        <f aca="false">M95+$N$7</f>
        <v>4</v>
      </c>
      <c r="O95" s="126" t="n">
        <v>-0.04</v>
      </c>
      <c r="P95" s="114"/>
      <c r="Q95" s="126" t="n">
        <f aca="false">M95+J95+G95</f>
        <v>11</v>
      </c>
      <c r="R95" s="126" t="n">
        <f aca="false">N95+K95+H95</f>
        <v>11</v>
      </c>
      <c r="S95" s="126" t="n">
        <f aca="false">O95+L95+I95</f>
        <v>6.96</v>
      </c>
      <c r="T95" s="127"/>
      <c r="U95" s="5" t="n">
        <f aca="false">A96-A95</f>
        <v>31</v>
      </c>
      <c r="V95" s="128" t="n">
        <f aca="false">CHOOSE(F$3,A96+24,A95)</f>
        <v>39873</v>
      </c>
      <c r="W95" s="5" t="n">
        <f aca="false">V95-C$3</f>
        <v>2642</v>
      </c>
      <c r="X95" s="124" t="n">
        <f aca="false">VLOOKUP($A95,Table,MATCH(X$4,Curves,0))</f>
        <v>2</v>
      </c>
      <c r="Y95" s="129" t="n">
        <f aca="false">1/(1+CHOOSE(F$3,(X96+($K$3/10000))/2,(X95+($K$3/10000))/2))^(2*W95/365.25)</f>
        <v>4.41629613460002E-005</v>
      </c>
      <c r="Z95" s="5" t="n">
        <f aca="false">IF(AND(mthbeg&lt;=A95,mthend&gt;=A95),1,0)</f>
        <v>0</v>
      </c>
      <c r="AA95" s="5" t="n">
        <f aca="false">U95*Z95</f>
        <v>0</v>
      </c>
      <c r="AC95" s="115" t="n">
        <f aca="false">IF(G88=2,F95*(S95-Q95),F95*(Q95-S95))</f>
        <v>0</v>
      </c>
      <c r="AE95" s="116" t="n">
        <f aca="false">IF($G$3=1,F95*(R95-Q95),F95*(Q95-R95))</f>
        <v>0</v>
      </c>
      <c r="AG95" s="116" t="n">
        <f aca="false">AC95+AE95</f>
        <v>0</v>
      </c>
    </row>
    <row r="96" customFormat="false" ht="12.75" hidden="false" customHeight="false" outlineLevel="0" collapsed="false">
      <c r="A96" s="120" t="n">
        <f aca="false">EDATE(A95,1)</f>
        <v>39904</v>
      </c>
      <c r="B96" s="121" t="e">
        <f aca="false">VLOOKUP(A96,'Inputs-Summary'!$A$32:$E$41,5,FALSE())</f>
        <v>#N/A</v>
      </c>
      <c r="C96" s="122"/>
      <c r="D96" s="123" t="e">
        <f aca="false">B96+C96</f>
        <v>#N/A</v>
      </c>
      <c r="E96" s="111" t="n">
        <f aca="false">IF(Z96=0,0,IF(AND(Z96=1,$H$3=1),D96*U96,IF($H$3=2,D96,"N/A")))</f>
        <v>0</v>
      </c>
      <c r="F96" s="111" t="n">
        <f aca="false">E96*Y96</f>
        <v>0</v>
      </c>
      <c r="G96" s="124" t="n">
        <f aca="false">VLOOKUP($A96,Table,MATCH(G$4,Curves,0))</f>
        <v>3</v>
      </c>
      <c r="H96" s="125" t="n">
        <f aca="false">G96+$H$7</f>
        <v>3</v>
      </c>
      <c r="I96" s="124" t="n">
        <f aca="false">H96</f>
        <v>3</v>
      </c>
      <c r="J96" s="124" t="n">
        <f aca="false">VLOOKUP($A96,Table,MATCH(J$4,Curves,0))</f>
        <v>4</v>
      </c>
      <c r="K96" s="125" t="n">
        <f aca="false">J96+$K$7</f>
        <v>4</v>
      </c>
      <c r="L96" s="126" t="n">
        <f aca="false">K96</f>
        <v>4</v>
      </c>
      <c r="M96" s="124" t="n">
        <f aca="false">VLOOKUP($A96,Table,MATCH(M$4,Curves,0))</f>
        <v>4</v>
      </c>
      <c r="N96" s="125" t="n">
        <f aca="false">M96+$N$7</f>
        <v>4</v>
      </c>
      <c r="O96" s="126" t="n">
        <v>-0.04</v>
      </c>
      <c r="P96" s="114"/>
      <c r="Q96" s="126" t="n">
        <f aca="false">M96+J96+G96</f>
        <v>11</v>
      </c>
      <c r="R96" s="126" t="n">
        <f aca="false">N96+K96+H96</f>
        <v>11</v>
      </c>
      <c r="S96" s="126" t="n">
        <f aca="false">O96+L96+I96</f>
        <v>6.96</v>
      </c>
      <c r="T96" s="127"/>
      <c r="U96" s="5" t="n">
        <f aca="false">A97-A96</f>
        <v>30</v>
      </c>
      <c r="V96" s="128" t="n">
        <f aca="false">CHOOSE(F$3,A97+24,A96)</f>
        <v>39904</v>
      </c>
      <c r="W96" s="5" t="n">
        <f aca="false">V96-C$3</f>
        <v>2673</v>
      </c>
      <c r="X96" s="124" t="n">
        <f aca="false">VLOOKUP($A96,Table,MATCH(X$4,Curves,0))</f>
        <v>2</v>
      </c>
      <c r="Y96" s="129" t="n">
        <f aca="false">1/(1+CHOOSE(F$3,(X97+($K$3/10000))/2,(X96+($K$3/10000))/2))^(2*W96/365.25)</f>
        <v>3.9260816223738E-005</v>
      </c>
      <c r="Z96" s="5" t="n">
        <f aca="false">IF(AND(mthbeg&lt;=A96,mthend&gt;=A96),1,0)</f>
        <v>0</v>
      </c>
      <c r="AA96" s="5" t="n">
        <f aca="false">U96*Z96</f>
        <v>0</v>
      </c>
      <c r="AC96" s="115" t="n">
        <f aca="false">IF(G89=2,F96*(S96-Q96),F96*(Q96-S96))</f>
        <v>0</v>
      </c>
      <c r="AE96" s="116" t="n">
        <f aca="false">IF($G$3=1,F96*(R96-Q96),F96*(Q96-R96))</f>
        <v>0</v>
      </c>
      <c r="AG96" s="116" t="n">
        <f aca="false">AC96+AE96</f>
        <v>0</v>
      </c>
    </row>
    <row r="97" customFormat="false" ht="12.75" hidden="false" customHeight="false" outlineLevel="0" collapsed="false">
      <c r="A97" s="120" t="n">
        <f aca="false">EDATE(A96,1)</f>
        <v>39934</v>
      </c>
      <c r="B97" s="121" t="e">
        <f aca="false">VLOOKUP(A97,'Inputs-Summary'!$A$32:$E$41,5,FALSE())</f>
        <v>#N/A</v>
      </c>
      <c r="C97" s="122"/>
      <c r="D97" s="123" t="e">
        <f aca="false">B97+C97</f>
        <v>#N/A</v>
      </c>
      <c r="E97" s="111" t="n">
        <f aca="false">IF(Z97=0,0,IF(AND(Z97=1,$H$3=1),D97*U97,IF($H$3=2,D97,"N/A")))</f>
        <v>0</v>
      </c>
      <c r="F97" s="111" t="n">
        <f aca="false">E97*Y97</f>
        <v>0</v>
      </c>
      <c r="G97" s="124" t="n">
        <f aca="false">VLOOKUP($A97,Table,MATCH(G$4,Curves,0))</f>
        <v>3</v>
      </c>
      <c r="H97" s="125" t="n">
        <f aca="false">G97+$H$7</f>
        <v>3</v>
      </c>
      <c r="I97" s="124" t="n">
        <f aca="false">H97</f>
        <v>3</v>
      </c>
      <c r="J97" s="124" t="n">
        <f aca="false">VLOOKUP($A97,Table,MATCH(J$4,Curves,0))</f>
        <v>4</v>
      </c>
      <c r="K97" s="125" t="n">
        <f aca="false">J97+$K$7</f>
        <v>4</v>
      </c>
      <c r="L97" s="126" t="n">
        <f aca="false">K97</f>
        <v>4</v>
      </c>
      <c r="M97" s="124" t="n">
        <f aca="false">VLOOKUP($A97,Table,MATCH(M$4,Curves,0))</f>
        <v>4</v>
      </c>
      <c r="N97" s="125" t="n">
        <f aca="false">M97+$N$7</f>
        <v>4</v>
      </c>
      <c r="O97" s="126" t="n">
        <v>-0.04</v>
      </c>
      <c r="P97" s="114"/>
      <c r="Q97" s="126" t="n">
        <f aca="false">M97+J97+G97</f>
        <v>11</v>
      </c>
      <c r="R97" s="126" t="n">
        <f aca="false">N97+K97+H97</f>
        <v>11</v>
      </c>
      <c r="S97" s="126" t="n">
        <f aca="false">O97+L97+I97</f>
        <v>6.96</v>
      </c>
      <c r="T97" s="127"/>
      <c r="U97" s="5" t="n">
        <f aca="false">A98-A97</f>
        <v>31</v>
      </c>
      <c r="V97" s="128" t="n">
        <f aca="false">CHOOSE(F$3,A98+24,A97)</f>
        <v>39934</v>
      </c>
      <c r="W97" s="5" t="n">
        <f aca="false">V97-C$3</f>
        <v>2703</v>
      </c>
      <c r="X97" s="124" t="n">
        <f aca="false">VLOOKUP($A97,Table,MATCH(X$4,Curves,0))</f>
        <v>2</v>
      </c>
      <c r="Y97" s="129" t="n">
        <f aca="false">1/(1+CHOOSE(F$3,(X98+($K$3/10000))/2,(X97+($K$3/10000))/2))^(2*W97/365.25)</f>
        <v>3.50355396758837E-005</v>
      </c>
      <c r="Z97" s="5" t="n">
        <f aca="false">IF(AND(mthbeg&lt;=A97,mthend&gt;=A97),1,0)</f>
        <v>0</v>
      </c>
      <c r="AA97" s="5" t="n">
        <f aca="false">U97*Z97</f>
        <v>0</v>
      </c>
      <c r="AC97" s="115" t="n">
        <f aca="false">IF(G90=2,F97*(S97-Q97),F97*(Q97-S97))</f>
        <v>0</v>
      </c>
      <c r="AE97" s="116" t="n">
        <f aca="false">IF($G$3=1,F97*(R97-Q97),F97*(Q97-R97))</f>
        <v>0</v>
      </c>
      <c r="AG97" s="116" t="n">
        <f aca="false">AC97+AE97</f>
        <v>0</v>
      </c>
    </row>
    <row r="98" customFormat="false" ht="12.75" hidden="false" customHeight="false" outlineLevel="0" collapsed="false">
      <c r="A98" s="120" t="n">
        <f aca="false">EDATE(A97,1)</f>
        <v>39965</v>
      </c>
      <c r="B98" s="121" t="e">
        <f aca="false">VLOOKUP(A98,'Inputs-Summary'!$A$32:$E$41,5,FALSE())</f>
        <v>#N/A</v>
      </c>
      <c r="C98" s="122"/>
      <c r="D98" s="123" t="e">
        <f aca="false">B98+C98</f>
        <v>#N/A</v>
      </c>
      <c r="E98" s="111" t="n">
        <f aca="false">IF(Z98=0,0,IF(AND(Z98=1,$H$3=1),D98*U98,IF($H$3=2,D98,"N/A")))</f>
        <v>0</v>
      </c>
      <c r="F98" s="111" t="n">
        <f aca="false">E98*Y98</f>
        <v>0</v>
      </c>
      <c r="G98" s="124" t="n">
        <f aca="false">VLOOKUP($A98,Table,MATCH(G$4,Curves,0))</f>
        <v>3</v>
      </c>
      <c r="H98" s="125" t="n">
        <f aca="false">G98+$H$7</f>
        <v>3</v>
      </c>
      <c r="I98" s="124" t="n">
        <f aca="false">H98</f>
        <v>3</v>
      </c>
      <c r="J98" s="124" t="n">
        <f aca="false">VLOOKUP($A98,Table,MATCH(J$4,Curves,0))</f>
        <v>4</v>
      </c>
      <c r="K98" s="125" t="n">
        <f aca="false">J98+$K$7</f>
        <v>4</v>
      </c>
      <c r="L98" s="126" t="n">
        <f aca="false">K98</f>
        <v>4</v>
      </c>
      <c r="M98" s="124" t="n">
        <f aca="false">VLOOKUP($A98,Table,MATCH(M$4,Curves,0))</f>
        <v>4</v>
      </c>
      <c r="N98" s="125" t="n">
        <f aca="false">M98+$N$7</f>
        <v>4</v>
      </c>
      <c r="O98" s="126" t="n">
        <v>-0.04</v>
      </c>
      <c r="P98" s="114"/>
      <c r="Q98" s="126" t="n">
        <f aca="false">M98+J98+G98</f>
        <v>11</v>
      </c>
      <c r="R98" s="126" t="n">
        <f aca="false">N98+K98+H98</f>
        <v>11</v>
      </c>
      <c r="S98" s="126" t="n">
        <f aca="false">O98+L98+I98</f>
        <v>6.96</v>
      </c>
      <c r="T98" s="127"/>
      <c r="U98" s="5" t="n">
        <f aca="false">A99-A98</f>
        <v>30</v>
      </c>
      <c r="V98" s="128" t="n">
        <f aca="false">CHOOSE(F$3,A99+24,A98)</f>
        <v>39965</v>
      </c>
      <c r="W98" s="5" t="n">
        <f aca="false">V98-C$3</f>
        <v>2734</v>
      </c>
      <c r="X98" s="124" t="n">
        <f aca="false">VLOOKUP($A98,Table,MATCH(X$4,Curves,0))</f>
        <v>2</v>
      </c>
      <c r="Y98" s="129" t="n">
        <f aca="false">1/(1+CHOOSE(F$3,(X99+($K$3/10000))/2,(X98+($K$3/10000))/2))^(2*W98/365.25)</f>
        <v>3.11465500181848E-005</v>
      </c>
      <c r="Z98" s="5" t="n">
        <f aca="false">IF(AND(mthbeg&lt;=A98,mthend&gt;=A98),1,0)</f>
        <v>0</v>
      </c>
      <c r="AA98" s="5" t="n">
        <f aca="false">U98*Z98</f>
        <v>0</v>
      </c>
      <c r="AC98" s="115" t="n">
        <f aca="false">IF(G91=2,F98*(S98-Q98),F98*(Q98-S98))</f>
        <v>0</v>
      </c>
      <c r="AE98" s="116" t="n">
        <f aca="false">IF($G$3=1,F98*(R98-Q98),F98*(Q98-R98))</f>
        <v>0</v>
      </c>
      <c r="AG98" s="116" t="n">
        <f aca="false">AC98+AE98</f>
        <v>0</v>
      </c>
    </row>
    <row r="99" customFormat="false" ht="12.75" hidden="false" customHeight="false" outlineLevel="0" collapsed="false">
      <c r="A99" s="120" t="n">
        <f aca="false">EDATE(A98,1)</f>
        <v>39995</v>
      </c>
      <c r="B99" s="121" t="e">
        <f aca="false">VLOOKUP(A99,'Inputs-Summary'!$A$32:$E$41,5,FALSE())</f>
        <v>#N/A</v>
      </c>
      <c r="C99" s="122"/>
      <c r="D99" s="123" t="e">
        <f aca="false">B99+C99</f>
        <v>#N/A</v>
      </c>
      <c r="E99" s="111" t="n">
        <f aca="false">IF(Z99=0,0,IF(AND(Z99=1,$H$3=1),D99*U99,IF($H$3=2,D99,"N/A")))</f>
        <v>0</v>
      </c>
      <c r="F99" s="111" t="n">
        <f aca="false">E99*Y99</f>
        <v>0</v>
      </c>
      <c r="G99" s="124" t="n">
        <f aca="false">VLOOKUP($A99,Table,MATCH(G$4,Curves,0))</f>
        <v>3</v>
      </c>
      <c r="H99" s="125" t="n">
        <f aca="false">G99+$H$7</f>
        <v>3</v>
      </c>
      <c r="I99" s="124" t="n">
        <f aca="false">H99</f>
        <v>3</v>
      </c>
      <c r="J99" s="124" t="n">
        <f aca="false">VLOOKUP($A99,Table,MATCH(J$4,Curves,0))</f>
        <v>4</v>
      </c>
      <c r="K99" s="125" t="n">
        <f aca="false">J99+$K$7</f>
        <v>4</v>
      </c>
      <c r="L99" s="126" t="n">
        <f aca="false">K99</f>
        <v>4</v>
      </c>
      <c r="M99" s="124" t="n">
        <f aca="false">VLOOKUP($A99,Table,MATCH(M$4,Curves,0))</f>
        <v>4</v>
      </c>
      <c r="N99" s="125" t="n">
        <f aca="false">M99+$N$7</f>
        <v>4</v>
      </c>
      <c r="O99" s="126" t="n">
        <v>-0.04</v>
      </c>
      <c r="P99" s="114"/>
      <c r="Q99" s="126" t="n">
        <f aca="false">M99+J99+G99</f>
        <v>11</v>
      </c>
      <c r="R99" s="126" t="n">
        <f aca="false">N99+K99+H99</f>
        <v>11</v>
      </c>
      <c r="S99" s="126" t="n">
        <f aca="false">O99+L99+I99</f>
        <v>6.96</v>
      </c>
      <c r="T99" s="127"/>
      <c r="U99" s="5" t="n">
        <f aca="false">A100-A99</f>
        <v>31</v>
      </c>
      <c r="V99" s="128" t="n">
        <f aca="false">CHOOSE(F$3,A100+24,A99)</f>
        <v>39995</v>
      </c>
      <c r="W99" s="5" t="n">
        <f aca="false">V99-C$3</f>
        <v>2764</v>
      </c>
      <c r="X99" s="124" t="n">
        <f aca="false">VLOOKUP($A99,Table,MATCH(X$4,Curves,0))</f>
        <v>2</v>
      </c>
      <c r="Y99" s="129" t="n">
        <f aca="false">1/(1+CHOOSE(F$3,(X100+($K$3/10000))/2,(X99+($K$3/10000))/2))^(2*W99/365.25)</f>
        <v>2.77945364841708E-005</v>
      </c>
      <c r="Z99" s="5" t="n">
        <f aca="false">IF(AND(mthbeg&lt;=A99,mthend&gt;=A99),1,0)</f>
        <v>0</v>
      </c>
      <c r="AA99" s="5" t="n">
        <f aca="false">U99*Z99</f>
        <v>0</v>
      </c>
      <c r="AC99" s="115" t="n">
        <f aca="false">IF(G92=2,F99*(S99-Q99),F99*(Q99-S99))</f>
        <v>0</v>
      </c>
      <c r="AE99" s="116" t="n">
        <f aca="false">IF($G$3=1,F99*(R99-Q99),F99*(Q99-R99))</f>
        <v>0</v>
      </c>
      <c r="AG99" s="116" t="n">
        <f aca="false">AC99+AE99</f>
        <v>0</v>
      </c>
    </row>
    <row r="100" customFormat="false" ht="12.75" hidden="false" customHeight="false" outlineLevel="0" collapsed="false">
      <c r="A100" s="120" t="n">
        <f aca="false">EDATE(A99,1)</f>
        <v>40026</v>
      </c>
      <c r="B100" s="121" t="e">
        <f aca="false">VLOOKUP(A100,'Inputs-Summary'!$A$32:$E$41,5,FALSE())</f>
        <v>#N/A</v>
      </c>
      <c r="C100" s="122"/>
      <c r="D100" s="123" t="e">
        <f aca="false">B100+C100</f>
        <v>#N/A</v>
      </c>
      <c r="E100" s="111" t="n">
        <f aca="false">IF(Z100=0,0,IF(AND(Z100=1,$H$3=1),D100*U100,IF($H$3=2,D100,"N/A")))</f>
        <v>0</v>
      </c>
      <c r="F100" s="111" t="n">
        <f aca="false">E100*Y100</f>
        <v>0</v>
      </c>
      <c r="G100" s="124" t="n">
        <f aca="false">VLOOKUP($A100,Table,MATCH(G$4,Curves,0))</f>
        <v>3</v>
      </c>
      <c r="H100" s="125" t="n">
        <f aca="false">G100+$H$7</f>
        <v>3</v>
      </c>
      <c r="I100" s="124" t="n">
        <f aca="false">H100</f>
        <v>3</v>
      </c>
      <c r="J100" s="124" t="n">
        <f aca="false">VLOOKUP($A100,Table,MATCH(J$4,Curves,0))</f>
        <v>4</v>
      </c>
      <c r="K100" s="125" t="n">
        <f aca="false">J100+$K$7</f>
        <v>4</v>
      </c>
      <c r="L100" s="126" t="n">
        <f aca="false">K100</f>
        <v>4</v>
      </c>
      <c r="M100" s="124" t="n">
        <f aca="false">VLOOKUP($A100,Table,MATCH(M$4,Curves,0))</f>
        <v>4</v>
      </c>
      <c r="N100" s="125" t="n">
        <f aca="false">M100+$N$7</f>
        <v>4</v>
      </c>
      <c r="O100" s="126" t="n">
        <v>-0.04</v>
      </c>
      <c r="P100" s="114"/>
      <c r="Q100" s="126" t="n">
        <f aca="false">M100+J100+G100</f>
        <v>11</v>
      </c>
      <c r="R100" s="126" t="n">
        <f aca="false">N100+K100+H100</f>
        <v>11</v>
      </c>
      <c r="S100" s="126" t="n">
        <f aca="false">O100+L100+I100</f>
        <v>6.96</v>
      </c>
      <c r="T100" s="127"/>
      <c r="U100" s="5" t="n">
        <f aca="false">A101-A100</f>
        <v>31</v>
      </c>
      <c r="V100" s="128" t="n">
        <f aca="false">CHOOSE(F$3,A101+24,A100)</f>
        <v>40026</v>
      </c>
      <c r="W100" s="5" t="n">
        <f aca="false">V100-C$3</f>
        <v>2795</v>
      </c>
      <c r="X100" s="124" t="n">
        <f aca="false">VLOOKUP($A100,Table,MATCH(X$4,Curves,0))</f>
        <v>2</v>
      </c>
      <c r="Y100" s="129" t="n">
        <f aca="false">1/(1+CHOOSE(F$3,(X101+($K$3/10000))/2,(X100+($K$3/10000))/2))^(2*W100/365.25)</f>
        <v>2.47093074302601E-005</v>
      </c>
      <c r="Z100" s="5" t="n">
        <f aca="false">IF(AND(mthbeg&lt;=A100,mthend&gt;=A100),1,0)</f>
        <v>0</v>
      </c>
      <c r="AA100" s="5" t="n">
        <f aca="false">U100*Z100</f>
        <v>0</v>
      </c>
      <c r="AC100" s="115" t="n">
        <f aca="false">IF(G93=2,F100*(S100-Q100),F100*(Q100-S100))</f>
        <v>0</v>
      </c>
      <c r="AE100" s="116" t="n">
        <f aca="false">IF($G$3=1,F100*(R100-Q100),F100*(Q100-R100))</f>
        <v>0</v>
      </c>
      <c r="AG100" s="116" t="n">
        <f aca="false">AC100+AE100</f>
        <v>0</v>
      </c>
    </row>
    <row r="101" customFormat="false" ht="12.75" hidden="false" customHeight="false" outlineLevel="0" collapsed="false">
      <c r="A101" s="120" t="n">
        <f aca="false">EDATE(A100,1)</f>
        <v>40057</v>
      </c>
      <c r="B101" s="121" t="e">
        <f aca="false">VLOOKUP(A101,'Inputs-Summary'!$A$32:$E$41,5,FALSE())</f>
        <v>#N/A</v>
      </c>
      <c r="C101" s="122"/>
      <c r="D101" s="123" t="e">
        <f aca="false">B101+C101</f>
        <v>#N/A</v>
      </c>
      <c r="E101" s="111" t="n">
        <f aca="false">IF(Z101=0,0,IF(AND(Z101=1,$H$3=1),D101*U101,IF($H$3=2,D101,"N/A")))</f>
        <v>0</v>
      </c>
      <c r="F101" s="111" t="n">
        <f aca="false">E101*Y101</f>
        <v>0</v>
      </c>
      <c r="G101" s="124" t="n">
        <f aca="false">VLOOKUP($A101,Table,MATCH(G$4,Curves,0))</f>
        <v>3</v>
      </c>
      <c r="H101" s="125" t="n">
        <f aca="false">G101+$H$7</f>
        <v>3</v>
      </c>
      <c r="I101" s="124" t="n">
        <f aca="false">H101</f>
        <v>3</v>
      </c>
      <c r="J101" s="124" t="n">
        <f aca="false">VLOOKUP($A101,Table,MATCH(J$4,Curves,0))</f>
        <v>4</v>
      </c>
      <c r="K101" s="125" t="n">
        <f aca="false">J101+$K$7</f>
        <v>4</v>
      </c>
      <c r="L101" s="126" t="n">
        <f aca="false">K101</f>
        <v>4</v>
      </c>
      <c r="M101" s="124" t="n">
        <f aca="false">VLOOKUP($A101,Table,MATCH(M$4,Curves,0))</f>
        <v>4</v>
      </c>
      <c r="N101" s="125" t="n">
        <f aca="false">M101+$N$7</f>
        <v>4</v>
      </c>
      <c r="O101" s="126" t="n">
        <v>-0.04</v>
      </c>
      <c r="P101" s="114"/>
      <c r="Q101" s="126" t="n">
        <f aca="false">M101+J101+G101</f>
        <v>11</v>
      </c>
      <c r="R101" s="126" t="n">
        <f aca="false">N101+K101+H101</f>
        <v>11</v>
      </c>
      <c r="S101" s="126" t="n">
        <f aca="false">O101+L101+I101</f>
        <v>6.96</v>
      </c>
      <c r="T101" s="127"/>
      <c r="U101" s="5" t="n">
        <f aca="false">A102-A101</f>
        <v>30</v>
      </c>
      <c r="V101" s="128" t="n">
        <f aca="false">CHOOSE(F$3,A102+24,A101)</f>
        <v>40057</v>
      </c>
      <c r="W101" s="5" t="n">
        <f aca="false">V101-C$3</f>
        <v>2826</v>
      </c>
      <c r="X101" s="124" t="n">
        <f aca="false">VLOOKUP($A101,Table,MATCH(X$4,Curves,0))</f>
        <v>2</v>
      </c>
      <c r="Y101" s="129" t="n">
        <f aca="false">1/(1+CHOOSE(F$3,(X102+($K$3/10000))/2,(X101+($K$3/10000))/2))^(2*W101/365.25)</f>
        <v>2.19665427423415E-005</v>
      </c>
      <c r="Z101" s="5" t="n">
        <f aca="false">IF(AND(mthbeg&lt;=A101,mthend&gt;=A101),1,0)</f>
        <v>0</v>
      </c>
      <c r="AA101" s="5" t="n">
        <f aca="false">U101*Z101</f>
        <v>0</v>
      </c>
      <c r="AC101" s="115" t="n">
        <f aca="false">IF(G94=2,F101*(S101-Q101),F101*(Q101-S101))</f>
        <v>0</v>
      </c>
      <c r="AE101" s="116" t="n">
        <f aca="false">IF($G$3=1,F101*(R101-Q101),F101*(Q101-R101))</f>
        <v>0</v>
      </c>
      <c r="AG101" s="116" t="n">
        <f aca="false">AC101+AE101</f>
        <v>0</v>
      </c>
    </row>
    <row r="102" customFormat="false" ht="12.75" hidden="false" customHeight="false" outlineLevel="0" collapsed="false">
      <c r="A102" s="120" t="n">
        <f aca="false">EDATE(A101,1)</f>
        <v>40087</v>
      </c>
      <c r="B102" s="121" t="e">
        <f aca="false">VLOOKUP(A102,'Inputs-Summary'!$A$32:$E$41,5,FALSE())</f>
        <v>#N/A</v>
      </c>
      <c r="C102" s="122"/>
      <c r="D102" s="123" t="e">
        <f aca="false">B102+C102</f>
        <v>#N/A</v>
      </c>
      <c r="E102" s="111" t="n">
        <f aca="false">IF(Z102=0,0,IF(AND(Z102=1,$H$3=1),D102*U102,IF($H$3=2,D102,"N/A")))</f>
        <v>0</v>
      </c>
      <c r="F102" s="111" t="n">
        <f aca="false">E102*Y102</f>
        <v>0</v>
      </c>
      <c r="G102" s="124" t="n">
        <f aca="false">VLOOKUP($A102,Table,MATCH(G$4,Curves,0))</f>
        <v>3</v>
      </c>
      <c r="H102" s="125" t="n">
        <f aca="false">G102+$H$7</f>
        <v>3</v>
      </c>
      <c r="I102" s="124" t="n">
        <f aca="false">H102</f>
        <v>3</v>
      </c>
      <c r="J102" s="124" t="n">
        <f aca="false">VLOOKUP($A102,Table,MATCH(J$4,Curves,0))</f>
        <v>4</v>
      </c>
      <c r="K102" s="125" t="n">
        <f aca="false">J102+$K$7</f>
        <v>4</v>
      </c>
      <c r="L102" s="126" t="n">
        <f aca="false">K102</f>
        <v>4</v>
      </c>
      <c r="M102" s="124" t="n">
        <f aca="false">VLOOKUP($A102,Table,MATCH(M$4,Curves,0))</f>
        <v>4</v>
      </c>
      <c r="N102" s="125" t="n">
        <f aca="false">M102+$N$7</f>
        <v>4</v>
      </c>
      <c r="O102" s="126" t="n">
        <v>-0.04</v>
      </c>
      <c r="P102" s="114"/>
      <c r="Q102" s="126" t="n">
        <f aca="false">M102+J102+G102</f>
        <v>11</v>
      </c>
      <c r="R102" s="126" t="n">
        <f aca="false">N102+K102+H102</f>
        <v>11</v>
      </c>
      <c r="S102" s="126" t="n">
        <f aca="false">O102+L102+I102</f>
        <v>6.96</v>
      </c>
      <c r="T102" s="127"/>
      <c r="U102" s="5" t="n">
        <f aca="false">A103-A102</f>
        <v>31</v>
      </c>
      <c r="V102" s="128" t="n">
        <f aca="false">CHOOSE(F$3,A103+24,A102)</f>
        <v>40087</v>
      </c>
      <c r="W102" s="5" t="n">
        <f aca="false">V102-C$3</f>
        <v>2856</v>
      </c>
      <c r="X102" s="124" t="n">
        <f aca="false">VLOOKUP($A102,Table,MATCH(X$4,Curves,0))</f>
        <v>2</v>
      </c>
      <c r="Y102" s="129" t="n">
        <f aca="false">1/(1+CHOOSE(F$3,(X103+($K$3/10000))/2,(X102+($K$3/10000))/2))^(2*W102/365.25)</f>
        <v>1.96024880228031E-005</v>
      </c>
      <c r="Z102" s="5" t="n">
        <f aca="false">IF(AND(mthbeg&lt;=A102,mthend&gt;=A102),1,0)</f>
        <v>0</v>
      </c>
      <c r="AA102" s="5" t="n">
        <f aca="false">U102*Z102</f>
        <v>0</v>
      </c>
      <c r="AC102" s="115" t="n">
        <f aca="false">IF(G95=2,F102*(S102-Q102),F102*(Q102-S102))</f>
        <v>0</v>
      </c>
      <c r="AE102" s="116" t="n">
        <f aca="false">IF($G$3=1,F102*(R102-Q102),F102*(Q102-R102))</f>
        <v>0</v>
      </c>
      <c r="AG102" s="116" t="n">
        <f aca="false">AC102+AE102</f>
        <v>0</v>
      </c>
    </row>
    <row r="103" customFormat="false" ht="12.75" hidden="false" customHeight="false" outlineLevel="0" collapsed="false">
      <c r="A103" s="120" t="n">
        <f aca="false">EDATE(A102,1)</f>
        <v>40118</v>
      </c>
      <c r="B103" s="121" t="e">
        <f aca="false">VLOOKUP(A103,'Inputs-Summary'!$A$32:$E$41,5,FALSE())</f>
        <v>#N/A</v>
      </c>
      <c r="C103" s="122"/>
      <c r="D103" s="123" t="e">
        <f aca="false">B103+C103</f>
        <v>#N/A</v>
      </c>
      <c r="E103" s="111" t="n">
        <f aca="false">IF(Z103=0,0,IF(AND(Z103=1,$H$3=1),D103*U103,IF($H$3=2,D103,"N/A")))</f>
        <v>0</v>
      </c>
      <c r="F103" s="111" t="n">
        <f aca="false">E103*Y103</f>
        <v>0</v>
      </c>
      <c r="G103" s="124" t="n">
        <f aca="false">VLOOKUP($A103,Table,MATCH(G$4,Curves,0))</f>
        <v>3</v>
      </c>
      <c r="H103" s="125" t="n">
        <f aca="false">G103+$H$7</f>
        <v>3</v>
      </c>
      <c r="I103" s="124" t="n">
        <f aca="false">H103</f>
        <v>3</v>
      </c>
      <c r="J103" s="124" t="n">
        <f aca="false">VLOOKUP($A103,Table,MATCH(J$4,Curves,0))</f>
        <v>4</v>
      </c>
      <c r="K103" s="125" t="n">
        <f aca="false">J103+$K$7</f>
        <v>4</v>
      </c>
      <c r="L103" s="126" t="n">
        <f aca="false">K103</f>
        <v>4</v>
      </c>
      <c r="M103" s="124" t="n">
        <f aca="false">VLOOKUP($A103,Table,MATCH(M$4,Curves,0))</f>
        <v>4</v>
      </c>
      <c r="N103" s="125" t="n">
        <f aca="false">M103+$N$7</f>
        <v>4</v>
      </c>
      <c r="O103" s="126" t="n">
        <v>-0.04</v>
      </c>
      <c r="P103" s="114"/>
      <c r="Q103" s="126" t="n">
        <f aca="false">M103+J103+G103</f>
        <v>11</v>
      </c>
      <c r="R103" s="126" t="n">
        <f aca="false">N103+K103+H103</f>
        <v>11</v>
      </c>
      <c r="S103" s="126" t="n">
        <f aca="false">O103+L103+I103</f>
        <v>6.96</v>
      </c>
      <c r="T103" s="127"/>
      <c r="U103" s="5" t="n">
        <f aca="false">A104-A103</f>
        <v>30</v>
      </c>
      <c r="V103" s="128" t="n">
        <f aca="false">CHOOSE(F$3,A104+24,A103)</f>
        <v>40118</v>
      </c>
      <c r="W103" s="5" t="n">
        <f aca="false">V103-C$3</f>
        <v>2887</v>
      </c>
      <c r="X103" s="124" t="n">
        <f aca="false">VLOOKUP($A103,Table,MATCH(X$4,Curves,0))</f>
        <v>2</v>
      </c>
      <c r="Y103" s="129" t="n">
        <f aca="false">1/(1+CHOOSE(F$3,(X104+($K$3/10000))/2,(X103+($K$3/10000))/2))^(2*W103/365.25)</f>
        <v>1.7426586812458E-005</v>
      </c>
      <c r="Z103" s="5" t="n">
        <f aca="false">IF(AND(mthbeg&lt;=A103,mthend&gt;=A103),1,0)</f>
        <v>0</v>
      </c>
      <c r="AA103" s="5" t="n">
        <f aca="false">U103*Z103</f>
        <v>0</v>
      </c>
      <c r="AC103" s="115" t="n">
        <f aca="false">IF(G96=2,F103*(S103-Q103),F103*(Q103-S103))</f>
        <v>0</v>
      </c>
      <c r="AE103" s="116" t="n">
        <f aca="false">IF($G$3=1,F103*(R103-Q103),F103*(Q103-R103))</f>
        <v>0</v>
      </c>
      <c r="AG103" s="116" t="n">
        <f aca="false">AC103+AE103</f>
        <v>0</v>
      </c>
    </row>
    <row r="104" customFormat="false" ht="12.75" hidden="false" customHeight="false" outlineLevel="0" collapsed="false">
      <c r="A104" s="120" t="n">
        <f aca="false">EDATE(A103,1)</f>
        <v>40148</v>
      </c>
      <c r="B104" s="121" t="e">
        <f aca="false">VLOOKUP(A104,'Inputs-Summary'!$A$32:$E$41,5,FALSE())</f>
        <v>#N/A</v>
      </c>
      <c r="C104" s="122"/>
      <c r="D104" s="123" t="e">
        <f aca="false">B104+C104</f>
        <v>#N/A</v>
      </c>
      <c r="E104" s="111" t="n">
        <f aca="false">IF(Z104=0,0,IF(AND(Z104=1,$H$3=1),D104*U104,IF($H$3=2,D104,"N/A")))</f>
        <v>0</v>
      </c>
      <c r="F104" s="111" t="n">
        <f aca="false">E104*Y104</f>
        <v>0</v>
      </c>
      <c r="G104" s="124" t="n">
        <f aca="false">VLOOKUP($A104,Table,MATCH(G$4,Curves,0))</f>
        <v>3</v>
      </c>
      <c r="H104" s="125" t="n">
        <f aca="false">G104+$H$7</f>
        <v>3</v>
      </c>
      <c r="I104" s="124" t="n">
        <f aca="false">H104</f>
        <v>3</v>
      </c>
      <c r="J104" s="124" t="n">
        <f aca="false">VLOOKUP($A104,Table,MATCH(J$4,Curves,0))</f>
        <v>4</v>
      </c>
      <c r="K104" s="125" t="n">
        <f aca="false">J104+$K$7</f>
        <v>4</v>
      </c>
      <c r="L104" s="126" t="n">
        <f aca="false">K104</f>
        <v>4</v>
      </c>
      <c r="M104" s="124" t="n">
        <f aca="false">VLOOKUP($A104,Table,MATCH(M$4,Curves,0))</f>
        <v>4</v>
      </c>
      <c r="N104" s="125" t="n">
        <f aca="false">M104+$N$7</f>
        <v>4</v>
      </c>
      <c r="O104" s="126" t="n">
        <v>-0.04</v>
      </c>
      <c r="P104" s="114"/>
      <c r="Q104" s="126" t="n">
        <f aca="false">M104+J104+G104</f>
        <v>11</v>
      </c>
      <c r="R104" s="126" t="n">
        <f aca="false">N104+K104+H104</f>
        <v>11</v>
      </c>
      <c r="S104" s="126" t="n">
        <f aca="false">O104+L104+I104</f>
        <v>6.96</v>
      </c>
      <c r="T104" s="127"/>
      <c r="U104" s="5" t="n">
        <f aca="false">A105-A104</f>
        <v>31</v>
      </c>
      <c r="V104" s="128" t="n">
        <f aca="false">CHOOSE(F$3,A105+24,A104)</f>
        <v>40148</v>
      </c>
      <c r="W104" s="5" t="n">
        <f aca="false">V104-C$3</f>
        <v>2917</v>
      </c>
      <c r="X104" s="124" t="n">
        <f aca="false">VLOOKUP($A104,Table,MATCH(X$4,Curves,0))</f>
        <v>2</v>
      </c>
      <c r="Y104" s="129" t="n">
        <f aca="false">1/(1+CHOOSE(F$3,(X105+($K$3/10000))/2,(X104+($K$3/10000))/2))^(2*W104/365.25)</f>
        <v>1.55511253307554E-005</v>
      </c>
      <c r="Z104" s="5" t="n">
        <f aca="false">IF(AND(mthbeg&lt;=A104,mthend&gt;=A104),1,0)</f>
        <v>0</v>
      </c>
      <c r="AA104" s="5" t="n">
        <f aca="false">U104*Z104</f>
        <v>0</v>
      </c>
      <c r="AC104" s="115" t="n">
        <f aca="false">IF(G97=2,F104*(S104-Q104),F104*(Q104-S104))</f>
        <v>0</v>
      </c>
      <c r="AE104" s="116" t="n">
        <f aca="false">IF($G$3=1,F104*(R104-Q104),F104*(Q104-R104))</f>
        <v>0</v>
      </c>
      <c r="AG104" s="116" t="n">
        <f aca="false">AC104+AE104</f>
        <v>0</v>
      </c>
    </row>
    <row r="105" customFormat="false" ht="12.75" hidden="false" customHeight="false" outlineLevel="0" collapsed="false">
      <c r="A105" s="120" t="n">
        <f aca="false">EDATE(A104,1)</f>
        <v>40179</v>
      </c>
      <c r="B105" s="121" t="e">
        <f aca="false">VLOOKUP(A105,'Inputs-Summary'!$A$32:$E$41,5,FALSE())</f>
        <v>#N/A</v>
      </c>
      <c r="C105" s="122"/>
      <c r="D105" s="123" t="e">
        <f aca="false">B105+C105</f>
        <v>#N/A</v>
      </c>
      <c r="E105" s="111" t="n">
        <f aca="false">IF(Z105=0,0,IF(AND(Z105=1,$H$3=1),D105*U105,IF($H$3=2,D105,"N/A")))</f>
        <v>0</v>
      </c>
      <c r="F105" s="111" t="n">
        <f aca="false">E105*Y105</f>
        <v>0</v>
      </c>
      <c r="G105" s="124" t="n">
        <f aca="false">VLOOKUP($A105,Table,MATCH(G$4,Curves,0))</f>
        <v>3</v>
      </c>
      <c r="H105" s="125" t="n">
        <f aca="false">G105+$H$7</f>
        <v>3</v>
      </c>
      <c r="I105" s="124" t="n">
        <f aca="false">H105</f>
        <v>3</v>
      </c>
      <c r="J105" s="124" t="n">
        <f aca="false">VLOOKUP($A105,Table,MATCH(J$4,Curves,0))</f>
        <v>4</v>
      </c>
      <c r="K105" s="125" t="n">
        <f aca="false">J105+$K$7</f>
        <v>4</v>
      </c>
      <c r="L105" s="126" t="n">
        <f aca="false">K105</f>
        <v>4</v>
      </c>
      <c r="M105" s="124" t="n">
        <f aca="false">VLOOKUP($A105,Table,MATCH(M$4,Curves,0))</f>
        <v>4</v>
      </c>
      <c r="N105" s="125" t="n">
        <f aca="false">M105+$N$7</f>
        <v>4</v>
      </c>
      <c r="O105" s="126" t="n">
        <v>-0.04</v>
      </c>
      <c r="P105" s="114"/>
      <c r="Q105" s="126" t="n">
        <f aca="false">M105+J105+G105</f>
        <v>11</v>
      </c>
      <c r="R105" s="126" t="n">
        <f aca="false">N105+K105+H105</f>
        <v>11</v>
      </c>
      <c r="S105" s="126" t="n">
        <f aca="false">O105+L105+I105</f>
        <v>6.96</v>
      </c>
      <c r="T105" s="127"/>
      <c r="U105" s="5" t="n">
        <f aca="false">A106-A105</f>
        <v>31</v>
      </c>
      <c r="V105" s="128" t="n">
        <f aca="false">CHOOSE(F$3,A106+24,A105)</f>
        <v>40179</v>
      </c>
      <c r="W105" s="5" t="n">
        <f aca="false">V105-C$3</f>
        <v>2948</v>
      </c>
      <c r="X105" s="124" t="n">
        <f aca="false">VLOOKUP($A105,Table,MATCH(X$4,Curves,0))</f>
        <v>2</v>
      </c>
      <c r="Y105" s="129" t="n">
        <f aca="false">1/(1+CHOOSE(F$3,(X106+($K$3/10000))/2,(X105+($K$3/10000))/2))^(2*W105/365.25)</f>
        <v>1.38249305543548E-005</v>
      </c>
      <c r="Z105" s="5" t="n">
        <f aca="false">IF(AND(mthbeg&lt;=A105,mthend&gt;=A105),1,0)</f>
        <v>0</v>
      </c>
      <c r="AA105" s="5" t="n">
        <f aca="false">U105*Z105</f>
        <v>0</v>
      </c>
      <c r="AC105" s="115" t="n">
        <f aca="false">IF(G98=2,F105*(S105-Q105),F105*(Q105-S105))</f>
        <v>0</v>
      </c>
      <c r="AE105" s="116" t="n">
        <f aca="false">IF($G$3=1,F105*(R105-Q105),F105*(Q105-R105))</f>
        <v>0</v>
      </c>
      <c r="AG105" s="116" t="n">
        <f aca="false">AC105+AE105</f>
        <v>0</v>
      </c>
    </row>
    <row r="106" customFormat="false" ht="12.75" hidden="false" customHeight="false" outlineLevel="0" collapsed="false">
      <c r="A106" s="120" t="n">
        <f aca="false">EDATE(A105,1)</f>
        <v>40210</v>
      </c>
      <c r="B106" s="121" t="e">
        <f aca="false">VLOOKUP(A106,'Inputs-Summary'!$A$32:$E$41,5,FALSE())</f>
        <v>#N/A</v>
      </c>
      <c r="C106" s="122"/>
      <c r="D106" s="123" t="e">
        <f aca="false">B106+C106</f>
        <v>#N/A</v>
      </c>
      <c r="E106" s="111" t="n">
        <f aca="false">IF(Z106=0,0,IF(AND(Z106=1,$H$3=1),D106*U106,IF($H$3=2,D106,"N/A")))</f>
        <v>0</v>
      </c>
      <c r="F106" s="111" t="n">
        <f aca="false">E106*Y106</f>
        <v>0</v>
      </c>
      <c r="G106" s="124" t="n">
        <f aca="false">VLOOKUP($A106,Table,MATCH(G$4,Curves,0))</f>
        <v>3</v>
      </c>
      <c r="H106" s="125" t="n">
        <f aca="false">G106+$H$7</f>
        <v>3</v>
      </c>
      <c r="I106" s="124" t="n">
        <f aca="false">H106</f>
        <v>3</v>
      </c>
      <c r="J106" s="124" t="n">
        <f aca="false">VLOOKUP($A106,Table,MATCH(J$4,Curves,0))</f>
        <v>4</v>
      </c>
      <c r="K106" s="125" t="n">
        <f aca="false">J106+$K$7</f>
        <v>4</v>
      </c>
      <c r="L106" s="126" t="n">
        <f aca="false">K106</f>
        <v>4</v>
      </c>
      <c r="M106" s="124" t="n">
        <f aca="false">VLOOKUP($A106,Table,MATCH(M$4,Curves,0))</f>
        <v>4</v>
      </c>
      <c r="N106" s="125" t="n">
        <f aca="false">M106+$N$7</f>
        <v>4</v>
      </c>
      <c r="O106" s="126" t="n">
        <v>-0.04</v>
      </c>
      <c r="P106" s="114"/>
      <c r="Q106" s="126" t="n">
        <f aca="false">M106+J106+G106</f>
        <v>11</v>
      </c>
      <c r="R106" s="126" t="n">
        <f aca="false">N106+K106+H106</f>
        <v>11</v>
      </c>
      <c r="S106" s="126" t="n">
        <f aca="false">O106+L106+I106</f>
        <v>6.96</v>
      </c>
      <c r="T106" s="127"/>
      <c r="U106" s="5" t="n">
        <f aca="false">A107-A106</f>
        <v>28</v>
      </c>
      <c r="V106" s="128" t="n">
        <f aca="false">CHOOSE(F$3,A107+24,A106)</f>
        <v>40210</v>
      </c>
      <c r="W106" s="5" t="n">
        <f aca="false">V106-C$3</f>
        <v>2979</v>
      </c>
      <c r="X106" s="124" t="n">
        <f aca="false">VLOOKUP($A106,Table,MATCH(X$4,Curves,0))</f>
        <v>2</v>
      </c>
      <c r="Y106" s="129" t="n">
        <f aca="false">1/(1+CHOOSE(F$3,(X107+($K$3/10000))/2,(X106+($K$3/10000))/2))^(2*W106/365.25)</f>
        <v>1.22903456031402E-005</v>
      </c>
      <c r="Z106" s="5" t="n">
        <f aca="false">IF(AND(mthbeg&lt;=A106,mthend&gt;=A106),1,0)</f>
        <v>0</v>
      </c>
      <c r="AA106" s="5" t="n">
        <f aca="false">U106*Z106</f>
        <v>0</v>
      </c>
      <c r="AC106" s="115" t="n">
        <f aca="false">IF(G99=2,F106*(S106-Q106),F106*(Q106-S106))</f>
        <v>0</v>
      </c>
      <c r="AE106" s="116" t="n">
        <f aca="false">IF($G$3=1,F106*(R106-Q106),F106*(Q106-R106))</f>
        <v>0</v>
      </c>
      <c r="AG106" s="116" t="n">
        <f aca="false">AC106+AE106</f>
        <v>0</v>
      </c>
    </row>
    <row r="107" customFormat="false" ht="12.75" hidden="false" customHeight="false" outlineLevel="0" collapsed="false">
      <c r="A107" s="120" t="n">
        <f aca="false">EDATE(A106,1)</f>
        <v>40238</v>
      </c>
      <c r="B107" s="121" t="e">
        <f aca="false">VLOOKUP(A107,'Inputs-Summary'!$A$32:$E$41,5,FALSE())</f>
        <v>#N/A</v>
      </c>
      <c r="C107" s="122"/>
      <c r="D107" s="123" t="e">
        <f aca="false">B107+C107</f>
        <v>#N/A</v>
      </c>
      <c r="E107" s="111" t="n">
        <f aca="false">IF(Z107=0,0,IF(AND(Z107=1,$H$3=1),D107*U107,IF($H$3=2,D107,"N/A")))</f>
        <v>0</v>
      </c>
      <c r="F107" s="111" t="n">
        <f aca="false">E107*Y107</f>
        <v>0</v>
      </c>
      <c r="G107" s="124" t="n">
        <f aca="false">VLOOKUP($A107,Table,MATCH(G$4,Curves,0))</f>
        <v>3</v>
      </c>
      <c r="H107" s="125" t="n">
        <f aca="false">G107+$H$7</f>
        <v>3</v>
      </c>
      <c r="I107" s="124" t="n">
        <f aca="false">H107</f>
        <v>3</v>
      </c>
      <c r="J107" s="124" t="n">
        <f aca="false">VLOOKUP($A107,Table,MATCH(J$4,Curves,0))</f>
        <v>4</v>
      </c>
      <c r="K107" s="125" t="n">
        <f aca="false">J107+$K$7</f>
        <v>4</v>
      </c>
      <c r="L107" s="126" t="n">
        <f aca="false">K107</f>
        <v>4</v>
      </c>
      <c r="M107" s="124" t="n">
        <f aca="false">VLOOKUP($A107,Table,MATCH(M$4,Curves,0))</f>
        <v>4</v>
      </c>
      <c r="N107" s="125" t="n">
        <f aca="false">M107+$N$7</f>
        <v>4</v>
      </c>
      <c r="O107" s="126" t="n">
        <v>-0.04</v>
      </c>
      <c r="P107" s="114"/>
      <c r="Q107" s="126" t="n">
        <f aca="false">M107+J107+G107</f>
        <v>11</v>
      </c>
      <c r="R107" s="126" t="n">
        <f aca="false">N107+K107+H107</f>
        <v>11</v>
      </c>
      <c r="S107" s="126" t="n">
        <f aca="false">O107+L107+I107</f>
        <v>6.96</v>
      </c>
      <c r="T107" s="127"/>
      <c r="U107" s="5" t="n">
        <f aca="false">A108-A107</f>
        <v>31</v>
      </c>
      <c r="V107" s="128" t="n">
        <f aca="false">CHOOSE(F$3,A108+24,A107)</f>
        <v>40238</v>
      </c>
      <c r="W107" s="5" t="n">
        <f aca="false">V107-C$3</f>
        <v>3007</v>
      </c>
      <c r="X107" s="124" t="n">
        <f aca="false">VLOOKUP($A107,Table,MATCH(X$4,Curves,0))</f>
        <v>2</v>
      </c>
      <c r="Y107" s="129" t="n">
        <f aca="false">1/(1+CHOOSE(F$3,(X108+($K$3/10000))/2,(X107+($K$3/10000))/2))^(2*W107/365.25)</f>
        <v>1.10512215000258E-005</v>
      </c>
      <c r="Z107" s="5" t="n">
        <f aca="false">IF(AND(mthbeg&lt;=A107,mthend&gt;=A107),1,0)</f>
        <v>0</v>
      </c>
      <c r="AA107" s="5" t="n">
        <f aca="false">U107*Z107</f>
        <v>0</v>
      </c>
      <c r="AC107" s="115" t="n">
        <f aca="false">IF(G100=2,F107*(S107-Q107),F107*(Q107-S107))</f>
        <v>0</v>
      </c>
      <c r="AE107" s="116" t="n">
        <f aca="false">IF($G$3=1,F107*(R107-Q107),F107*(Q107-R107))</f>
        <v>0</v>
      </c>
      <c r="AG107" s="116" t="n">
        <f aca="false">AC107+AE107</f>
        <v>0</v>
      </c>
    </row>
    <row r="108" customFormat="false" ht="12.75" hidden="false" customHeight="false" outlineLevel="0" collapsed="false">
      <c r="A108" s="120" t="n">
        <f aca="false">EDATE(A107,1)</f>
        <v>40269</v>
      </c>
      <c r="B108" s="121" t="e">
        <f aca="false">VLOOKUP(A108,'Inputs-Summary'!$A$32:$E$41,5,FALSE())</f>
        <v>#N/A</v>
      </c>
      <c r="C108" s="122"/>
      <c r="D108" s="123" t="e">
        <f aca="false">B108+C108</f>
        <v>#N/A</v>
      </c>
      <c r="E108" s="111" t="n">
        <f aca="false">IF(Z108=0,0,IF(AND(Z108=1,$H$3=1),D108*U108,IF($H$3=2,D108,"N/A")))</f>
        <v>0</v>
      </c>
      <c r="F108" s="111" t="n">
        <f aca="false">E108*Y108</f>
        <v>0</v>
      </c>
      <c r="G108" s="124" t="n">
        <f aca="false">VLOOKUP($A108,Table,MATCH(G$4,Curves,0))</f>
        <v>3</v>
      </c>
      <c r="H108" s="125" t="n">
        <f aca="false">G108+$H$7</f>
        <v>3</v>
      </c>
      <c r="I108" s="124" t="n">
        <f aca="false">H108</f>
        <v>3</v>
      </c>
      <c r="J108" s="124" t="n">
        <f aca="false">VLOOKUP($A108,Table,MATCH(J$4,Curves,0))</f>
        <v>4</v>
      </c>
      <c r="K108" s="125" t="n">
        <f aca="false">J108+$K$7</f>
        <v>4</v>
      </c>
      <c r="L108" s="126" t="n">
        <f aca="false">K108</f>
        <v>4</v>
      </c>
      <c r="M108" s="124" t="n">
        <f aca="false">VLOOKUP($A108,Table,MATCH(M$4,Curves,0))</f>
        <v>4</v>
      </c>
      <c r="N108" s="125" t="n">
        <f aca="false">M108+$N$7</f>
        <v>4</v>
      </c>
      <c r="O108" s="126" t="n">
        <v>-0.04</v>
      </c>
      <c r="P108" s="114"/>
      <c r="Q108" s="126" t="n">
        <f aca="false">M108+J108+G108</f>
        <v>11</v>
      </c>
      <c r="R108" s="126" t="n">
        <f aca="false">N108+K108+H108</f>
        <v>11</v>
      </c>
      <c r="S108" s="126" t="n">
        <f aca="false">O108+L108+I108</f>
        <v>6.96</v>
      </c>
      <c r="T108" s="127"/>
      <c r="U108" s="5" t="n">
        <f aca="false">A109-A108</f>
        <v>30</v>
      </c>
      <c r="V108" s="128" t="n">
        <f aca="false">CHOOSE(F$3,A109+24,A108)</f>
        <v>40269</v>
      </c>
      <c r="W108" s="5" t="n">
        <f aca="false">V108-C$3</f>
        <v>3038</v>
      </c>
      <c r="X108" s="124" t="n">
        <f aca="false">VLOOKUP($A108,Table,MATCH(X$4,Curves,0))</f>
        <v>2</v>
      </c>
      <c r="Y108" s="129" t="n">
        <f aca="false">1/(1+CHOOSE(F$3,(X109+($K$3/10000))/2,(X108+($K$3/10000))/2))^(2*W108/365.25)</f>
        <v>9.82452179692048E-006</v>
      </c>
      <c r="Z108" s="5" t="n">
        <f aca="false">IF(AND(mthbeg&lt;=A108,mthend&gt;=A108),1,0)</f>
        <v>0</v>
      </c>
      <c r="AA108" s="5" t="n">
        <f aca="false">U108*Z108</f>
        <v>0</v>
      </c>
      <c r="AC108" s="115" t="n">
        <f aca="false">IF(G101=2,F108*(S108-Q108),F108*(Q108-S108))</f>
        <v>0</v>
      </c>
      <c r="AE108" s="116" t="n">
        <f aca="false">IF($G$3=1,F108*(R108-Q108),F108*(Q108-R108))</f>
        <v>0</v>
      </c>
      <c r="AG108" s="116" t="n">
        <f aca="false">AC108+AE108</f>
        <v>0</v>
      </c>
    </row>
    <row r="109" customFormat="false" ht="12.75" hidden="false" customHeight="false" outlineLevel="0" collapsed="false">
      <c r="A109" s="120" t="n">
        <f aca="false">EDATE(A108,1)</f>
        <v>40299</v>
      </c>
      <c r="B109" s="121" t="e">
        <f aca="false">VLOOKUP(A109,'Inputs-Summary'!$A$32:$E$41,5,FALSE())</f>
        <v>#N/A</v>
      </c>
      <c r="C109" s="122"/>
      <c r="D109" s="123" t="e">
        <f aca="false">B109+C109</f>
        <v>#N/A</v>
      </c>
      <c r="E109" s="111" t="n">
        <f aca="false">IF(Z109=0,0,IF(AND(Z109=1,$H$3=1),D109*U109,IF($H$3=2,D109,"N/A")))</f>
        <v>0</v>
      </c>
      <c r="F109" s="111" t="n">
        <f aca="false">E109*Y109</f>
        <v>0</v>
      </c>
      <c r="G109" s="124" t="n">
        <f aca="false">VLOOKUP($A109,Table,MATCH(G$4,Curves,0))</f>
        <v>3</v>
      </c>
      <c r="H109" s="125" t="n">
        <f aca="false">G109+$H$7</f>
        <v>3</v>
      </c>
      <c r="I109" s="124" t="n">
        <f aca="false">H109</f>
        <v>3</v>
      </c>
      <c r="J109" s="124" t="n">
        <f aca="false">VLOOKUP($A109,Table,MATCH(J$4,Curves,0))</f>
        <v>4</v>
      </c>
      <c r="K109" s="125" t="n">
        <f aca="false">J109+$K$7</f>
        <v>4</v>
      </c>
      <c r="L109" s="126" t="n">
        <f aca="false">K109</f>
        <v>4</v>
      </c>
      <c r="M109" s="124" t="n">
        <f aca="false">VLOOKUP($A109,Table,MATCH(M$4,Curves,0))</f>
        <v>4</v>
      </c>
      <c r="N109" s="125" t="n">
        <f aca="false">M109+$N$7</f>
        <v>4</v>
      </c>
      <c r="O109" s="126" t="n">
        <v>-0.04</v>
      </c>
      <c r="P109" s="114"/>
      <c r="Q109" s="126" t="n">
        <f aca="false">M109+J109+G109</f>
        <v>11</v>
      </c>
      <c r="R109" s="126" t="n">
        <f aca="false">N109+K109+H109</f>
        <v>11</v>
      </c>
      <c r="S109" s="126" t="n">
        <f aca="false">O109+L109+I109</f>
        <v>6.96</v>
      </c>
      <c r="T109" s="127"/>
      <c r="U109" s="5" t="n">
        <f aca="false">A110-A109</f>
        <v>31</v>
      </c>
      <c r="V109" s="128" t="n">
        <f aca="false">CHOOSE(F$3,A110+24,A109)</f>
        <v>40299</v>
      </c>
      <c r="W109" s="5" t="n">
        <f aca="false">V109-C$3</f>
        <v>3068</v>
      </c>
      <c r="X109" s="124" t="n">
        <f aca="false">VLOOKUP($A109,Table,MATCH(X$4,Curves,0))</f>
        <v>2</v>
      </c>
      <c r="Y109" s="129" t="n">
        <f aca="false">1/(1+CHOOSE(F$3,(X110+($K$3/10000))/2,(X109+($K$3/10000))/2))^(2*W109/365.25)</f>
        <v>8.76719987814404E-006</v>
      </c>
      <c r="Z109" s="5" t="n">
        <f aca="false">IF(AND(mthbeg&lt;=A109,mthend&gt;=A109),1,0)</f>
        <v>0</v>
      </c>
      <c r="AA109" s="5" t="n">
        <f aca="false">U109*Z109</f>
        <v>0</v>
      </c>
      <c r="AC109" s="115" t="n">
        <f aca="false">IF(G102=2,F109*(S109-Q109),F109*(Q109-S109))</f>
        <v>0</v>
      </c>
      <c r="AE109" s="116" t="n">
        <f aca="false">IF($G$3=1,F109*(R109-Q109),F109*(Q109-R109))</f>
        <v>0</v>
      </c>
      <c r="AG109" s="116" t="n">
        <f aca="false">AC109+AE109</f>
        <v>0</v>
      </c>
    </row>
    <row r="110" customFormat="false" ht="12.75" hidden="false" customHeight="false" outlineLevel="0" collapsed="false">
      <c r="A110" s="120" t="n">
        <f aca="false">EDATE(A109,1)</f>
        <v>40330</v>
      </c>
      <c r="B110" s="121" t="e">
        <f aca="false">VLOOKUP(A110,'Inputs-Summary'!$A$32:$E$41,5,FALSE())</f>
        <v>#N/A</v>
      </c>
      <c r="C110" s="122"/>
      <c r="D110" s="123" t="e">
        <f aca="false">B110+C110</f>
        <v>#N/A</v>
      </c>
      <c r="E110" s="111" t="n">
        <f aca="false">IF(Z110=0,0,IF(AND(Z110=1,$H$3=1),D110*U110,IF($H$3=2,D110,"N/A")))</f>
        <v>0</v>
      </c>
      <c r="F110" s="111" t="n">
        <f aca="false">E110*Y110</f>
        <v>0</v>
      </c>
      <c r="G110" s="124" t="n">
        <f aca="false">VLOOKUP($A110,Table,MATCH(G$4,Curves,0))</f>
        <v>3</v>
      </c>
      <c r="H110" s="125" t="n">
        <f aca="false">G110+$H$7</f>
        <v>3</v>
      </c>
      <c r="I110" s="124" t="n">
        <f aca="false">H110</f>
        <v>3</v>
      </c>
      <c r="J110" s="124" t="n">
        <f aca="false">VLOOKUP($A110,Table,MATCH(J$4,Curves,0))</f>
        <v>4</v>
      </c>
      <c r="K110" s="125" t="n">
        <f aca="false">J110+$K$7</f>
        <v>4</v>
      </c>
      <c r="L110" s="126" t="n">
        <f aca="false">K110</f>
        <v>4</v>
      </c>
      <c r="M110" s="124" t="n">
        <f aca="false">VLOOKUP($A110,Table,MATCH(M$4,Curves,0))</f>
        <v>4</v>
      </c>
      <c r="N110" s="125" t="n">
        <f aca="false">M110+$N$7</f>
        <v>4</v>
      </c>
      <c r="O110" s="126" t="n">
        <v>-0.04</v>
      </c>
      <c r="P110" s="114"/>
      <c r="Q110" s="126" t="n">
        <f aca="false">M110+J110+G110</f>
        <v>11</v>
      </c>
      <c r="R110" s="126" t="n">
        <f aca="false">N110+K110+H110</f>
        <v>11</v>
      </c>
      <c r="S110" s="126" t="n">
        <f aca="false">O110+L110+I110</f>
        <v>6.96</v>
      </c>
      <c r="T110" s="127"/>
      <c r="U110" s="5" t="n">
        <f aca="false">A111-A110</f>
        <v>30</v>
      </c>
      <c r="V110" s="128" t="n">
        <f aca="false">CHOOSE(F$3,A111+24,A110)</f>
        <v>40330</v>
      </c>
      <c r="W110" s="5" t="n">
        <f aca="false">V110-C$3</f>
        <v>3099</v>
      </c>
      <c r="X110" s="124" t="n">
        <f aca="false">VLOOKUP($A110,Table,MATCH(X$4,Curves,0))</f>
        <v>2</v>
      </c>
      <c r="Y110" s="129" t="n">
        <f aca="false">1/(1+CHOOSE(F$3,(X111+($K$3/10000))/2,(X110+($K$3/10000))/2))^(2*W110/365.25)</f>
        <v>7.79402949262973E-006</v>
      </c>
      <c r="Z110" s="5" t="n">
        <f aca="false">IF(AND(mthbeg&lt;=A110,mthend&gt;=A110),1,0)</f>
        <v>0</v>
      </c>
      <c r="AA110" s="5" t="n">
        <f aca="false">U110*Z110</f>
        <v>0</v>
      </c>
      <c r="AC110" s="115" t="n">
        <f aca="false">IF(G103=2,F110*(S110-Q110),F110*(Q110-S110))</f>
        <v>0</v>
      </c>
      <c r="AE110" s="116" t="n">
        <f aca="false">IF($G$3=1,F110*(R110-Q110),F110*(Q110-R110))</f>
        <v>0</v>
      </c>
      <c r="AG110" s="116" t="n">
        <f aca="false">AC110+AE110</f>
        <v>0</v>
      </c>
    </row>
    <row r="111" customFormat="false" ht="12.75" hidden="false" customHeight="false" outlineLevel="0" collapsed="false">
      <c r="A111" s="120" t="n">
        <f aca="false">EDATE(A110,1)</f>
        <v>40360</v>
      </c>
      <c r="B111" s="121" t="e">
        <f aca="false">VLOOKUP(A111,'Inputs-Summary'!$A$32:$E$41,5,FALSE())</f>
        <v>#N/A</v>
      </c>
      <c r="C111" s="122"/>
      <c r="D111" s="123" t="e">
        <f aca="false">B111+C111</f>
        <v>#N/A</v>
      </c>
      <c r="E111" s="111" t="n">
        <f aca="false">IF(Z111=0,0,IF(AND(Z111=1,$H$3=1),D111*U111,IF($H$3=2,D111,"N/A")))</f>
        <v>0</v>
      </c>
      <c r="F111" s="111" t="n">
        <f aca="false">E111*Y111</f>
        <v>0</v>
      </c>
      <c r="G111" s="124" t="n">
        <f aca="false">VLOOKUP($A111,Table,MATCH(G$4,Curves,0))</f>
        <v>3</v>
      </c>
      <c r="H111" s="125" t="n">
        <f aca="false">G111+$H$7</f>
        <v>3</v>
      </c>
      <c r="I111" s="124" t="n">
        <f aca="false">H111</f>
        <v>3</v>
      </c>
      <c r="J111" s="124" t="n">
        <f aca="false">VLOOKUP($A111,Table,MATCH(J$4,Curves,0))</f>
        <v>4</v>
      </c>
      <c r="K111" s="125" t="n">
        <f aca="false">J111+$K$7</f>
        <v>4</v>
      </c>
      <c r="L111" s="126" t="n">
        <f aca="false">K111</f>
        <v>4</v>
      </c>
      <c r="M111" s="124" t="n">
        <f aca="false">VLOOKUP($A111,Table,MATCH(M$4,Curves,0))</f>
        <v>4</v>
      </c>
      <c r="N111" s="125" t="n">
        <f aca="false">M111+$N$7</f>
        <v>4</v>
      </c>
      <c r="O111" s="126" t="n">
        <v>-0.04</v>
      </c>
      <c r="P111" s="114"/>
      <c r="Q111" s="126" t="n">
        <f aca="false">M111+J111+G111</f>
        <v>11</v>
      </c>
      <c r="R111" s="126" t="n">
        <f aca="false">N111+K111+H111</f>
        <v>11</v>
      </c>
      <c r="S111" s="126" t="n">
        <f aca="false">O111+L111+I111</f>
        <v>6.96</v>
      </c>
      <c r="T111" s="127"/>
      <c r="U111" s="5" t="n">
        <f aca="false">A112-A111</f>
        <v>31</v>
      </c>
      <c r="V111" s="128" t="n">
        <f aca="false">CHOOSE(F$3,A112+24,A111)</f>
        <v>40360</v>
      </c>
      <c r="W111" s="5" t="n">
        <f aca="false">V111-C$3</f>
        <v>3129</v>
      </c>
      <c r="X111" s="124" t="n">
        <f aca="false">VLOOKUP($A111,Table,MATCH(X$4,Curves,0))</f>
        <v>2</v>
      </c>
      <c r="Y111" s="129" t="n">
        <f aca="false">1/(1+CHOOSE(F$3,(X112+($K$3/10000))/2,(X111+($K$3/10000))/2))^(2*W111/365.25)</f>
        <v>6.95523057818991E-006</v>
      </c>
      <c r="Z111" s="5" t="n">
        <f aca="false">IF(AND(mthbeg&lt;=A111,mthend&gt;=A111),1,0)</f>
        <v>0</v>
      </c>
      <c r="AA111" s="5" t="n">
        <f aca="false">U111*Z111</f>
        <v>0</v>
      </c>
      <c r="AC111" s="115" t="n">
        <f aca="false">IF(G104=2,F111*(S111-Q111),F111*(Q111-S111))</f>
        <v>0</v>
      </c>
      <c r="AE111" s="116" t="n">
        <f aca="false">IF($G$3=1,F111*(R111-Q111),F111*(Q111-R111))</f>
        <v>0</v>
      </c>
      <c r="AG111" s="116" t="n">
        <f aca="false">AC111+AE111</f>
        <v>0</v>
      </c>
    </row>
    <row r="112" customFormat="false" ht="12.75" hidden="false" customHeight="false" outlineLevel="0" collapsed="false">
      <c r="A112" s="120" t="n">
        <f aca="false">EDATE(A111,1)</f>
        <v>40391</v>
      </c>
      <c r="B112" s="121" t="e">
        <f aca="false">VLOOKUP(A112,'Inputs-Summary'!$A$32:$E$41,5,FALSE())</f>
        <v>#N/A</v>
      </c>
      <c r="C112" s="122"/>
      <c r="D112" s="123" t="e">
        <f aca="false">B112+C112</f>
        <v>#N/A</v>
      </c>
      <c r="E112" s="111" t="n">
        <f aca="false">IF(Z112=0,0,IF(AND(Z112=1,$H$3=1),D112*U112,IF($H$3=2,D112,"N/A")))</f>
        <v>0</v>
      </c>
      <c r="F112" s="111" t="n">
        <f aca="false">E112*Y112</f>
        <v>0</v>
      </c>
      <c r="G112" s="124" t="n">
        <f aca="false">VLOOKUP($A112,Table,MATCH(G$4,Curves,0))</f>
        <v>3</v>
      </c>
      <c r="H112" s="125" t="n">
        <f aca="false">G112+$H$7</f>
        <v>3</v>
      </c>
      <c r="I112" s="124" t="n">
        <f aca="false">H112</f>
        <v>3</v>
      </c>
      <c r="J112" s="124" t="n">
        <f aca="false">VLOOKUP($A112,Table,MATCH(J$4,Curves,0))</f>
        <v>4</v>
      </c>
      <c r="K112" s="125" t="n">
        <f aca="false">J112+$K$7</f>
        <v>4</v>
      </c>
      <c r="L112" s="126" t="n">
        <f aca="false">K112</f>
        <v>4</v>
      </c>
      <c r="M112" s="124" t="n">
        <f aca="false">VLOOKUP($A112,Table,MATCH(M$4,Curves,0))</f>
        <v>4</v>
      </c>
      <c r="N112" s="125" t="n">
        <f aca="false">M112+$N$7</f>
        <v>4</v>
      </c>
      <c r="O112" s="126" t="n">
        <v>-0.04</v>
      </c>
      <c r="P112" s="114"/>
      <c r="Q112" s="126" t="n">
        <f aca="false">M112+J112+G112</f>
        <v>11</v>
      </c>
      <c r="R112" s="126" t="n">
        <f aca="false">N112+K112+H112</f>
        <v>11</v>
      </c>
      <c r="S112" s="126" t="n">
        <f aca="false">O112+L112+I112</f>
        <v>6.96</v>
      </c>
      <c r="T112" s="127"/>
      <c r="U112" s="5" t="n">
        <f aca="false">A113-A112</f>
        <v>31</v>
      </c>
      <c r="V112" s="128" t="n">
        <f aca="false">CHOOSE(F$3,A113+24,A112)</f>
        <v>40391</v>
      </c>
      <c r="W112" s="5" t="n">
        <f aca="false">V112-C$3</f>
        <v>3160</v>
      </c>
      <c r="X112" s="124" t="n">
        <f aca="false">VLOOKUP($A112,Table,MATCH(X$4,Curves,0))</f>
        <v>2</v>
      </c>
      <c r="Y112" s="129" t="n">
        <f aca="false">1/(1+CHOOSE(F$3,(X113+($K$3/10000))/2,(X112+($K$3/10000))/2))^(2*W112/365.25)</f>
        <v>6.18319109954272E-006</v>
      </c>
      <c r="Z112" s="5" t="n">
        <f aca="false">IF(AND(mthbeg&lt;=A112,mthend&gt;=A112),1,0)</f>
        <v>0</v>
      </c>
      <c r="AA112" s="5" t="n">
        <f aca="false">U112*Z112</f>
        <v>0</v>
      </c>
      <c r="AC112" s="115" t="n">
        <f aca="false">IF(G105=2,F112*(S112-Q112),F112*(Q112-S112))</f>
        <v>0</v>
      </c>
      <c r="AE112" s="116" t="n">
        <f aca="false">IF($G$3=1,F112*(R112-Q112),F112*(Q112-R112))</f>
        <v>0</v>
      </c>
      <c r="AG112" s="116" t="n">
        <f aca="false">AC112+AE112</f>
        <v>0</v>
      </c>
    </row>
    <row r="113" customFormat="false" ht="12.75" hidden="false" customHeight="false" outlineLevel="0" collapsed="false">
      <c r="A113" s="120" t="n">
        <f aca="false">EDATE(A112,1)</f>
        <v>40422</v>
      </c>
      <c r="B113" s="121" t="e">
        <f aca="false">VLOOKUP(A113,'Inputs-Summary'!$A$32:$E$41,5,FALSE())</f>
        <v>#N/A</v>
      </c>
      <c r="C113" s="122"/>
      <c r="D113" s="123" t="e">
        <f aca="false">B113+C113</f>
        <v>#N/A</v>
      </c>
      <c r="E113" s="111" t="n">
        <f aca="false">IF(Z113=0,0,IF(AND(Z113=1,$H$3=1),D113*U113,IF($H$3=2,D113,"N/A")))</f>
        <v>0</v>
      </c>
      <c r="F113" s="111" t="n">
        <f aca="false">E113*Y113</f>
        <v>0</v>
      </c>
      <c r="G113" s="124" t="n">
        <f aca="false">VLOOKUP($A113,Table,MATCH(G$4,Curves,0))</f>
        <v>3</v>
      </c>
      <c r="H113" s="125" t="n">
        <f aca="false">G113+$H$7</f>
        <v>3</v>
      </c>
      <c r="I113" s="124" t="n">
        <f aca="false">H113</f>
        <v>3</v>
      </c>
      <c r="J113" s="124" t="n">
        <f aca="false">VLOOKUP($A113,Table,MATCH(J$4,Curves,0))</f>
        <v>4</v>
      </c>
      <c r="K113" s="125" t="n">
        <f aca="false">J113+$K$7</f>
        <v>4</v>
      </c>
      <c r="L113" s="126" t="n">
        <f aca="false">K113</f>
        <v>4</v>
      </c>
      <c r="M113" s="124" t="n">
        <f aca="false">VLOOKUP($A113,Table,MATCH(M$4,Curves,0))</f>
        <v>4</v>
      </c>
      <c r="N113" s="125" t="n">
        <f aca="false">M113+$N$7</f>
        <v>4</v>
      </c>
      <c r="O113" s="126" t="n">
        <v>-0.04</v>
      </c>
      <c r="P113" s="114"/>
      <c r="Q113" s="126" t="n">
        <f aca="false">M113+J113+G113</f>
        <v>11</v>
      </c>
      <c r="R113" s="126" t="n">
        <f aca="false">N113+K113+H113</f>
        <v>11</v>
      </c>
      <c r="S113" s="126" t="n">
        <f aca="false">O113+L113+I113</f>
        <v>6.96</v>
      </c>
      <c r="T113" s="127"/>
      <c r="U113" s="5" t="n">
        <f aca="false">A114-A113</f>
        <v>30</v>
      </c>
      <c r="V113" s="128" t="n">
        <f aca="false">CHOOSE(F$3,A114+24,A113)</f>
        <v>40422</v>
      </c>
      <c r="W113" s="5" t="n">
        <f aca="false">V113-C$3</f>
        <v>3191</v>
      </c>
      <c r="X113" s="124" t="n">
        <f aca="false">VLOOKUP($A113,Table,MATCH(X$4,Curves,0))</f>
        <v>2</v>
      </c>
      <c r="Y113" s="129" t="n">
        <f aca="false">1/(1+CHOOSE(F$3,(X114+($K$3/10000))/2,(X113+($K$3/10000))/2))^(2*W113/365.25)</f>
        <v>5.49684898921267E-006</v>
      </c>
      <c r="Z113" s="5" t="n">
        <f aca="false">IF(AND(mthbeg&lt;=A113,mthend&gt;=A113),1,0)</f>
        <v>0</v>
      </c>
      <c r="AA113" s="5" t="n">
        <f aca="false">U113*Z113</f>
        <v>0</v>
      </c>
      <c r="AC113" s="115" t="n">
        <f aca="false">IF(G106=2,F113*(S113-Q113),F113*(Q113-S113))</f>
        <v>0</v>
      </c>
      <c r="AE113" s="116" t="n">
        <f aca="false">IF($G$3=1,F113*(R113-Q113),F113*(Q113-R113))</f>
        <v>0</v>
      </c>
      <c r="AG113" s="116" t="n">
        <f aca="false">AC113+AE113</f>
        <v>0</v>
      </c>
    </row>
    <row r="114" customFormat="false" ht="12.75" hidden="false" customHeight="false" outlineLevel="0" collapsed="false">
      <c r="A114" s="120" t="n">
        <f aca="false">EDATE(A113,1)</f>
        <v>40452</v>
      </c>
      <c r="B114" s="121" t="e">
        <f aca="false">VLOOKUP(A114,'Inputs-Summary'!$A$32:$E$41,5,FALSE())</f>
        <v>#N/A</v>
      </c>
      <c r="C114" s="122"/>
      <c r="D114" s="123" t="e">
        <f aca="false">B114+C114</f>
        <v>#N/A</v>
      </c>
      <c r="E114" s="111" t="n">
        <f aca="false">IF(Z114=0,0,IF(AND(Z114=1,$H$3=1),D114*U114,IF($H$3=2,D114,"N/A")))</f>
        <v>0</v>
      </c>
      <c r="F114" s="111" t="n">
        <f aca="false">E114*Y114</f>
        <v>0</v>
      </c>
      <c r="G114" s="124" t="n">
        <f aca="false">VLOOKUP($A114,Table,MATCH(G$4,Curves,0))</f>
        <v>3</v>
      </c>
      <c r="H114" s="125" t="n">
        <f aca="false">G114+$H$7</f>
        <v>3</v>
      </c>
      <c r="I114" s="124" t="n">
        <f aca="false">H114</f>
        <v>3</v>
      </c>
      <c r="J114" s="124" t="n">
        <f aca="false">VLOOKUP($A114,Table,MATCH(J$4,Curves,0))</f>
        <v>4</v>
      </c>
      <c r="K114" s="125" t="n">
        <f aca="false">J114+$K$7</f>
        <v>4</v>
      </c>
      <c r="L114" s="126" t="n">
        <f aca="false">K114</f>
        <v>4</v>
      </c>
      <c r="M114" s="124" t="n">
        <f aca="false">VLOOKUP($A114,Table,MATCH(M$4,Curves,0))</f>
        <v>4</v>
      </c>
      <c r="N114" s="125" t="n">
        <f aca="false">M114+$N$7</f>
        <v>4</v>
      </c>
      <c r="O114" s="126" t="n">
        <v>-0.04</v>
      </c>
      <c r="P114" s="114"/>
      <c r="Q114" s="126" t="n">
        <f aca="false">M114+J114+G114</f>
        <v>11</v>
      </c>
      <c r="R114" s="126" t="n">
        <f aca="false">N114+K114+H114</f>
        <v>11</v>
      </c>
      <c r="S114" s="126" t="n">
        <f aca="false">O114+L114+I114</f>
        <v>6.96</v>
      </c>
      <c r="T114" s="127"/>
      <c r="U114" s="5" t="n">
        <f aca="false">A115-A114</f>
        <v>31</v>
      </c>
      <c r="V114" s="128" t="n">
        <f aca="false">CHOOSE(F$3,A115+24,A114)</f>
        <v>40452</v>
      </c>
      <c r="W114" s="5" t="n">
        <f aca="false">V114-C$3</f>
        <v>3221</v>
      </c>
      <c r="X114" s="124" t="n">
        <f aca="false">VLOOKUP($A114,Table,MATCH(X$4,Curves,0))</f>
        <v>2</v>
      </c>
      <c r="Y114" s="129" t="n">
        <f aca="false">1/(1+CHOOSE(F$3,(X115+($K$3/10000))/2,(X114+($K$3/10000))/2))^(2*W114/365.25)</f>
        <v>4.90527424993932E-006</v>
      </c>
      <c r="Z114" s="5" t="n">
        <f aca="false">IF(AND(mthbeg&lt;=A114,mthend&gt;=A114),1,0)</f>
        <v>0</v>
      </c>
      <c r="AA114" s="5" t="n">
        <f aca="false">U114*Z114</f>
        <v>0</v>
      </c>
      <c r="AC114" s="115" t="n">
        <f aca="false">IF(G107=2,F114*(S114-Q114),F114*(Q114-S114))</f>
        <v>0</v>
      </c>
      <c r="AE114" s="116" t="n">
        <f aca="false">IF($G$3=1,F114*(R114-Q114),F114*(Q114-R114))</f>
        <v>0</v>
      </c>
      <c r="AG114" s="116" t="n">
        <f aca="false">AC114+AE114</f>
        <v>0</v>
      </c>
    </row>
    <row r="115" customFormat="false" ht="12.75" hidden="false" customHeight="false" outlineLevel="0" collapsed="false">
      <c r="A115" s="120" t="n">
        <f aca="false">EDATE(A114,1)</f>
        <v>40483</v>
      </c>
      <c r="B115" s="121" t="e">
        <f aca="false">VLOOKUP(A115,'Inputs-Summary'!$A$32:$E$41,5,FALSE())</f>
        <v>#N/A</v>
      </c>
      <c r="C115" s="122"/>
      <c r="D115" s="123" t="e">
        <f aca="false">B115+C115</f>
        <v>#N/A</v>
      </c>
      <c r="E115" s="111" t="n">
        <f aca="false">IF(Z115=0,0,IF(AND(Z115=1,$H$3=1),D115*U115,IF($H$3=2,D115,"N/A")))</f>
        <v>0</v>
      </c>
      <c r="F115" s="111" t="n">
        <f aca="false">E115*Y115</f>
        <v>0</v>
      </c>
      <c r="G115" s="124" t="n">
        <f aca="false">VLOOKUP($A115,Table,MATCH(G$4,Curves,0))</f>
        <v>3</v>
      </c>
      <c r="H115" s="125" t="n">
        <f aca="false">G115+$H$7</f>
        <v>3</v>
      </c>
      <c r="I115" s="124" t="n">
        <f aca="false">H115</f>
        <v>3</v>
      </c>
      <c r="J115" s="124" t="n">
        <f aca="false">VLOOKUP($A115,Table,MATCH(J$4,Curves,0))</f>
        <v>4</v>
      </c>
      <c r="K115" s="125" t="n">
        <f aca="false">J115+$K$7</f>
        <v>4</v>
      </c>
      <c r="L115" s="126" t="n">
        <f aca="false">K115</f>
        <v>4</v>
      </c>
      <c r="M115" s="124" t="n">
        <f aca="false">VLOOKUP($A115,Table,MATCH(M$4,Curves,0))</f>
        <v>4</v>
      </c>
      <c r="N115" s="125" t="n">
        <f aca="false">M115+$N$7</f>
        <v>4</v>
      </c>
      <c r="O115" s="126" t="n">
        <v>-0.04</v>
      </c>
      <c r="P115" s="114"/>
      <c r="Q115" s="126" t="n">
        <f aca="false">M115+J115+G115</f>
        <v>11</v>
      </c>
      <c r="R115" s="126" t="n">
        <f aca="false">N115+K115+H115</f>
        <v>11</v>
      </c>
      <c r="S115" s="126" t="n">
        <f aca="false">O115+L115+I115</f>
        <v>6.96</v>
      </c>
      <c r="T115" s="127"/>
      <c r="U115" s="5" t="n">
        <f aca="false">A116-A115</f>
        <v>30</v>
      </c>
      <c r="V115" s="128" t="n">
        <f aca="false">CHOOSE(F$3,A116+24,A115)</f>
        <v>40483</v>
      </c>
      <c r="W115" s="5" t="n">
        <f aca="false">V115-C$3</f>
        <v>3252</v>
      </c>
      <c r="X115" s="124" t="n">
        <f aca="false">VLOOKUP($A115,Table,MATCH(X$4,Curves,0))</f>
        <v>2</v>
      </c>
      <c r="Y115" s="129" t="n">
        <f aca="false">1/(1+CHOOSE(F$3,(X116+($K$3/10000))/2,(X115+($K$3/10000))/2))^(2*W115/365.25)</f>
        <v>4.36078254229989E-006</v>
      </c>
      <c r="Z115" s="5" t="n">
        <f aca="false">IF(AND(mthbeg&lt;=A115,mthend&gt;=A115),1,0)</f>
        <v>0</v>
      </c>
      <c r="AA115" s="5" t="n">
        <f aca="false">U115*Z115</f>
        <v>0</v>
      </c>
      <c r="AC115" s="115" t="n">
        <f aca="false">IF(G108=2,F115*(S115-Q115),F115*(Q115-S115))</f>
        <v>0</v>
      </c>
      <c r="AE115" s="116" t="n">
        <f aca="false">IF($G$3=1,F115*(R115-Q115),F115*(Q115-R115))</f>
        <v>0</v>
      </c>
      <c r="AG115" s="116" t="n">
        <f aca="false">AC115+AE115</f>
        <v>0</v>
      </c>
    </row>
    <row r="116" customFormat="false" ht="12.75" hidden="false" customHeight="false" outlineLevel="0" collapsed="false">
      <c r="A116" s="120" t="n">
        <f aca="false">EDATE(A115,1)</f>
        <v>40513</v>
      </c>
      <c r="B116" s="121" t="e">
        <f aca="false">VLOOKUP(A116,'Inputs-Summary'!$A$32:$E$41,5,FALSE())</f>
        <v>#N/A</v>
      </c>
      <c r="C116" s="122"/>
      <c r="D116" s="123" t="e">
        <f aca="false">B116+C116</f>
        <v>#N/A</v>
      </c>
      <c r="E116" s="111" t="n">
        <f aca="false">IF(Z116=0,0,IF(AND(Z116=1,$H$3=1),D116*U116,IF($H$3=2,D116,"N/A")))</f>
        <v>0</v>
      </c>
      <c r="F116" s="111" t="n">
        <f aca="false">E116*Y116</f>
        <v>0</v>
      </c>
      <c r="G116" s="124" t="n">
        <f aca="false">VLOOKUP($A116,Table,MATCH(G$4,Curves,0))</f>
        <v>3</v>
      </c>
      <c r="H116" s="125" t="n">
        <f aca="false">G116+$H$7</f>
        <v>3</v>
      </c>
      <c r="I116" s="124" t="n">
        <f aca="false">H116</f>
        <v>3</v>
      </c>
      <c r="J116" s="124" t="n">
        <f aca="false">VLOOKUP($A116,Table,MATCH(J$4,Curves,0))</f>
        <v>4</v>
      </c>
      <c r="K116" s="125" t="n">
        <f aca="false">J116+$K$7</f>
        <v>4</v>
      </c>
      <c r="L116" s="126" t="n">
        <f aca="false">K116</f>
        <v>4</v>
      </c>
      <c r="M116" s="124" t="n">
        <f aca="false">VLOOKUP($A116,Table,MATCH(M$4,Curves,0))</f>
        <v>4</v>
      </c>
      <c r="N116" s="125" t="n">
        <f aca="false">M116+$N$7</f>
        <v>4</v>
      </c>
      <c r="O116" s="126" t="n">
        <v>-0.04</v>
      </c>
      <c r="P116" s="114"/>
      <c r="Q116" s="126" t="n">
        <f aca="false">M116+J116+G116</f>
        <v>11</v>
      </c>
      <c r="R116" s="126" t="n">
        <f aca="false">N116+K116+H116</f>
        <v>11</v>
      </c>
      <c r="S116" s="126" t="n">
        <f aca="false">O116+L116+I116</f>
        <v>6.96</v>
      </c>
      <c r="T116" s="127"/>
      <c r="U116" s="5" t="n">
        <f aca="false">A117-A116</f>
        <v>31</v>
      </c>
      <c r="V116" s="128" t="n">
        <f aca="false">CHOOSE(F$3,A117+24,A116)</f>
        <v>40513</v>
      </c>
      <c r="W116" s="5" t="n">
        <f aca="false">V116-C$3</f>
        <v>3282</v>
      </c>
      <c r="X116" s="124" t="n">
        <f aca="false">VLOOKUP($A116,Table,MATCH(X$4,Curves,0))</f>
        <v>2</v>
      </c>
      <c r="Y116" s="129" t="n">
        <f aca="false">1/(1+CHOOSE(F$3,(X117+($K$3/10000))/2,(X116+($K$3/10000))/2))^(2*W116/365.25)</f>
        <v>3.89147206996356E-006</v>
      </c>
      <c r="Z116" s="5" t="n">
        <f aca="false">IF(AND(mthbeg&lt;=A116,mthend&gt;=A116),1,0)</f>
        <v>0</v>
      </c>
      <c r="AA116" s="5" t="n">
        <f aca="false">U116*Z116</f>
        <v>0</v>
      </c>
      <c r="AC116" s="115" t="n">
        <f aca="false">IF(G109=2,F116*(S116-Q116),F116*(Q116-S116))</f>
        <v>0</v>
      </c>
      <c r="AE116" s="116" t="n">
        <f aca="false">IF($G$3=1,F116*(R116-Q116),F116*(Q116-R116))</f>
        <v>0</v>
      </c>
      <c r="AG116" s="116" t="n">
        <f aca="false">AC116+AE116</f>
        <v>0</v>
      </c>
    </row>
    <row r="117" customFormat="false" ht="12.75" hidden="false" customHeight="false" outlineLevel="0" collapsed="false">
      <c r="A117" s="120" t="n">
        <f aca="false">EDATE(A116,1)</f>
        <v>40544</v>
      </c>
      <c r="B117" s="121" t="e">
        <f aca="false">VLOOKUP(A117,'Inputs-Summary'!$A$32:$E$41,5,FALSE())</f>
        <v>#N/A</v>
      </c>
      <c r="C117" s="122"/>
      <c r="D117" s="123" t="e">
        <f aca="false">B117+C117</f>
        <v>#N/A</v>
      </c>
      <c r="E117" s="111" t="n">
        <f aca="false">IF(Z117=0,0,IF(AND(Z117=1,$H$3=1),D117*U117,IF($H$3=2,D117,"N/A")))</f>
        <v>0</v>
      </c>
      <c r="F117" s="111" t="n">
        <f aca="false">E117*Y117</f>
        <v>0</v>
      </c>
      <c r="G117" s="124" t="n">
        <f aca="false">VLOOKUP($A117,Table,MATCH(G$4,Curves,0))</f>
        <v>3</v>
      </c>
      <c r="H117" s="125" t="n">
        <f aca="false">G117+$H$7</f>
        <v>3</v>
      </c>
      <c r="I117" s="124" t="n">
        <f aca="false">H117</f>
        <v>3</v>
      </c>
      <c r="J117" s="124" t="n">
        <f aca="false">VLOOKUP($A117,Table,MATCH(J$4,Curves,0))</f>
        <v>4</v>
      </c>
      <c r="K117" s="125" t="n">
        <f aca="false">J117+$K$7</f>
        <v>4</v>
      </c>
      <c r="L117" s="126" t="n">
        <f aca="false">K117</f>
        <v>4</v>
      </c>
      <c r="M117" s="124" t="n">
        <f aca="false">VLOOKUP($A117,Table,MATCH(M$4,Curves,0))</f>
        <v>4</v>
      </c>
      <c r="N117" s="125" t="n">
        <f aca="false">M117+$N$7</f>
        <v>4</v>
      </c>
      <c r="O117" s="126" t="n">
        <v>-0.04</v>
      </c>
      <c r="P117" s="114"/>
      <c r="Q117" s="126" t="n">
        <f aca="false">M117+J117+G117</f>
        <v>11</v>
      </c>
      <c r="R117" s="126" t="n">
        <f aca="false">N117+K117+H117</f>
        <v>11</v>
      </c>
      <c r="S117" s="126" t="n">
        <f aca="false">O117+L117+I117</f>
        <v>6.96</v>
      </c>
      <c r="T117" s="127"/>
      <c r="U117" s="5" t="n">
        <f aca="false">A118-A117</f>
        <v>31</v>
      </c>
      <c r="V117" s="128" t="n">
        <f aca="false">CHOOSE(F$3,A118+24,A117)</f>
        <v>40544</v>
      </c>
      <c r="W117" s="5" t="n">
        <f aca="false">V117-C$3</f>
        <v>3313</v>
      </c>
      <c r="X117" s="124" t="n">
        <f aca="false">VLOOKUP($A117,Table,MATCH(X$4,Curves,0))</f>
        <v>2</v>
      </c>
      <c r="Y117" s="129" t="n">
        <f aca="false">1/(1+CHOOSE(F$3,(X118+($K$3/10000))/2,(X117+($K$3/10000))/2))^(2*W117/365.25)</f>
        <v>3.45951369931143E-006</v>
      </c>
      <c r="Z117" s="5" t="n">
        <f aca="false">IF(AND(mthbeg&lt;=A117,mthend&gt;=A117),1,0)</f>
        <v>0</v>
      </c>
      <c r="AA117" s="5" t="n">
        <f aca="false">U117*Z117</f>
        <v>0</v>
      </c>
      <c r="AC117" s="115" t="n">
        <f aca="false">IF(G110=2,F117*(S117-Q117),F117*(Q117-S117))</f>
        <v>0</v>
      </c>
      <c r="AE117" s="116" t="n">
        <f aca="false">IF($G$3=1,F117*(R117-Q117),F117*(Q117-R117))</f>
        <v>0</v>
      </c>
      <c r="AG117" s="116" t="n">
        <f aca="false">AC117+AE117</f>
        <v>0</v>
      </c>
    </row>
    <row r="118" customFormat="false" ht="12.75" hidden="false" customHeight="false" outlineLevel="0" collapsed="false">
      <c r="A118" s="120" t="n">
        <f aca="false">EDATE(A117,1)</f>
        <v>40575</v>
      </c>
      <c r="B118" s="121" t="e">
        <f aca="false">VLOOKUP(A118,'Inputs-Summary'!$A$32:$E$41,5,FALSE())</f>
        <v>#N/A</v>
      </c>
      <c r="C118" s="122"/>
      <c r="D118" s="123" t="e">
        <f aca="false">B118+C118</f>
        <v>#N/A</v>
      </c>
      <c r="E118" s="111" t="n">
        <f aca="false">IF(Z118=0,0,IF(AND(Z118=1,$H$3=1),D118*U118,IF($H$3=2,D118,"N/A")))</f>
        <v>0</v>
      </c>
      <c r="F118" s="111" t="n">
        <f aca="false">E118*Y118</f>
        <v>0</v>
      </c>
      <c r="G118" s="124" t="n">
        <f aca="false">VLOOKUP($A118,Table,MATCH(G$4,Curves,0))</f>
        <v>3</v>
      </c>
      <c r="H118" s="125" t="n">
        <f aca="false">G118+$H$7</f>
        <v>3</v>
      </c>
      <c r="I118" s="124" t="n">
        <f aca="false">H118</f>
        <v>3</v>
      </c>
      <c r="J118" s="124" t="n">
        <f aca="false">VLOOKUP($A118,Table,MATCH(J$4,Curves,0))</f>
        <v>4</v>
      </c>
      <c r="K118" s="125" t="n">
        <f aca="false">J118+$K$7</f>
        <v>4</v>
      </c>
      <c r="L118" s="126" t="n">
        <f aca="false">K118</f>
        <v>4</v>
      </c>
      <c r="M118" s="124" t="n">
        <f aca="false">VLOOKUP($A118,Table,MATCH(M$4,Curves,0))</f>
        <v>4</v>
      </c>
      <c r="N118" s="125" t="n">
        <f aca="false">M118+$N$7</f>
        <v>4</v>
      </c>
      <c r="O118" s="126" t="n">
        <v>-0.04</v>
      </c>
      <c r="P118" s="114"/>
      <c r="Q118" s="126" t="n">
        <f aca="false">M118+J118+G118</f>
        <v>11</v>
      </c>
      <c r="R118" s="126" t="n">
        <f aca="false">N118+K118+H118</f>
        <v>11</v>
      </c>
      <c r="S118" s="126" t="n">
        <f aca="false">O118+L118+I118</f>
        <v>6.96</v>
      </c>
      <c r="T118" s="127"/>
      <c r="U118" s="5" t="n">
        <f aca="false">A119-A118</f>
        <v>28</v>
      </c>
      <c r="V118" s="128" t="n">
        <f aca="false">CHOOSE(F$3,A119+24,A118)</f>
        <v>40575</v>
      </c>
      <c r="W118" s="5" t="n">
        <f aca="false">V118-C$3</f>
        <v>3344</v>
      </c>
      <c r="X118" s="124" t="n">
        <f aca="false">VLOOKUP($A118,Table,MATCH(X$4,Curves,0))</f>
        <v>2</v>
      </c>
      <c r="Y118" s="129" t="n">
        <f aca="false">1/(1+CHOOSE(F$3,(X119+($K$3/10000))/2,(X118+($K$3/10000))/2))^(2*W118/365.25)</f>
        <v>3.07550325957641E-006</v>
      </c>
      <c r="Z118" s="5" t="n">
        <f aca="false">IF(AND(mthbeg&lt;=A118,mthend&gt;=A118),1,0)</f>
        <v>0</v>
      </c>
      <c r="AA118" s="5" t="n">
        <f aca="false">U118*Z118</f>
        <v>0</v>
      </c>
      <c r="AC118" s="115" t="n">
        <f aca="false">IF(G111=2,F118*(S118-Q118),F118*(Q118-S118))</f>
        <v>0</v>
      </c>
      <c r="AE118" s="116" t="n">
        <f aca="false">IF($G$3=1,F118*(R118-Q118),F118*(Q118-R118))</f>
        <v>0</v>
      </c>
      <c r="AG118" s="116" t="n">
        <f aca="false">AC118+AE118</f>
        <v>0</v>
      </c>
    </row>
    <row r="119" customFormat="false" ht="12.75" hidden="false" customHeight="false" outlineLevel="0" collapsed="false">
      <c r="A119" s="120" t="n">
        <f aca="false">EDATE(A118,1)</f>
        <v>40603</v>
      </c>
      <c r="B119" s="121" t="e">
        <f aca="false">VLOOKUP(A119,'Inputs-Summary'!$A$32:$E$41,5,FALSE())</f>
        <v>#N/A</v>
      </c>
      <c r="C119" s="122"/>
      <c r="D119" s="123" t="e">
        <f aca="false">B119+C119</f>
        <v>#N/A</v>
      </c>
      <c r="E119" s="111" t="n">
        <f aca="false">IF(Z119=0,0,IF(AND(Z119=1,$H$3=1),D119*U119,IF($H$3=2,D119,"N/A")))</f>
        <v>0</v>
      </c>
      <c r="F119" s="111" t="n">
        <f aca="false">E119*Y119</f>
        <v>0</v>
      </c>
      <c r="G119" s="124" t="n">
        <f aca="false">VLOOKUP($A119,Table,MATCH(G$4,Curves,0))</f>
        <v>3</v>
      </c>
      <c r="H119" s="125" t="n">
        <f aca="false">G119+$H$7</f>
        <v>3</v>
      </c>
      <c r="I119" s="124" t="n">
        <f aca="false">H119</f>
        <v>3</v>
      </c>
      <c r="J119" s="124" t="n">
        <f aca="false">VLOOKUP($A119,Table,MATCH(J$4,Curves,0))</f>
        <v>4</v>
      </c>
      <c r="K119" s="125" t="n">
        <f aca="false">J119+$K$7</f>
        <v>4</v>
      </c>
      <c r="L119" s="126" t="n">
        <f aca="false">K119</f>
        <v>4</v>
      </c>
      <c r="M119" s="124" t="n">
        <f aca="false">VLOOKUP($A119,Table,MATCH(M$4,Curves,0))</f>
        <v>4</v>
      </c>
      <c r="N119" s="125" t="n">
        <f aca="false">M119+$N$7</f>
        <v>4</v>
      </c>
      <c r="O119" s="126" t="n">
        <v>-0.04</v>
      </c>
      <c r="P119" s="114"/>
      <c r="Q119" s="126" t="n">
        <f aca="false">M119+J119+G119</f>
        <v>11</v>
      </c>
      <c r="R119" s="126" t="n">
        <f aca="false">N119+K119+H119</f>
        <v>11</v>
      </c>
      <c r="S119" s="126" t="n">
        <f aca="false">O119+L119+I119</f>
        <v>6.96</v>
      </c>
      <c r="T119" s="127"/>
      <c r="U119" s="5" t="n">
        <f aca="false">A120-A119</f>
        <v>31</v>
      </c>
      <c r="V119" s="128" t="n">
        <f aca="false">CHOOSE(F$3,A120+24,A119)</f>
        <v>40603</v>
      </c>
      <c r="W119" s="5" t="n">
        <f aca="false">V119-C$3</f>
        <v>3372</v>
      </c>
      <c r="X119" s="124" t="n">
        <f aca="false">VLOOKUP($A119,Table,MATCH(X$4,Curves,0))</f>
        <v>2</v>
      </c>
      <c r="Y119" s="129" t="n">
        <f aca="false">1/(1+CHOOSE(F$3,(X120+($K$3/10000))/2,(X119+($K$3/10000))/2))^(2*W119/365.25)</f>
        <v>2.76542815337481E-006</v>
      </c>
      <c r="Z119" s="5" t="n">
        <f aca="false">IF(AND(mthbeg&lt;=A119,mthend&gt;=A119),1,0)</f>
        <v>0</v>
      </c>
      <c r="AA119" s="5" t="n">
        <f aca="false">U119*Z119</f>
        <v>0</v>
      </c>
      <c r="AC119" s="115" t="n">
        <f aca="false">IF(G112=2,F119*(S119-Q119),F119*(Q119-S119))</f>
        <v>0</v>
      </c>
      <c r="AE119" s="116" t="n">
        <f aca="false">IF($G$3=1,F119*(R119-Q119),F119*(Q119-R119))</f>
        <v>0</v>
      </c>
      <c r="AG119" s="116" t="n">
        <f aca="false">AC119+AE119</f>
        <v>0</v>
      </c>
    </row>
    <row r="120" customFormat="false" ht="12.75" hidden="false" customHeight="false" outlineLevel="0" collapsed="false">
      <c r="A120" s="120" t="n">
        <f aca="false">EDATE(A119,1)</f>
        <v>40634</v>
      </c>
      <c r="B120" s="121" t="e">
        <f aca="false">VLOOKUP(A120,'Inputs-Summary'!$A$32:$E$41,5,FALSE())</f>
        <v>#N/A</v>
      </c>
      <c r="C120" s="122"/>
      <c r="D120" s="123" t="e">
        <f aca="false">B120+C120</f>
        <v>#N/A</v>
      </c>
      <c r="E120" s="111" t="n">
        <f aca="false">IF(Z120=0,0,IF(AND(Z120=1,$H$3=1),D120*U120,IF($H$3=2,D120,"N/A")))</f>
        <v>0</v>
      </c>
      <c r="F120" s="111" t="n">
        <f aca="false">E120*Y120</f>
        <v>0</v>
      </c>
      <c r="G120" s="124" t="n">
        <f aca="false">VLOOKUP($A120,Table,MATCH(G$4,Curves,0))</f>
        <v>3</v>
      </c>
      <c r="H120" s="125" t="n">
        <f aca="false">G120+$H$7</f>
        <v>3</v>
      </c>
      <c r="I120" s="124" t="n">
        <f aca="false">H120</f>
        <v>3</v>
      </c>
      <c r="J120" s="124" t="n">
        <f aca="false">VLOOKUP($A120,Table,MATCH(J$4,Curves,0))</f>
        <v>4</v>
      </c>
      <c r="K120" s="125" t="n">
        <f aca="false">J120+$K$7</f>
        <v>4</v>
      </c>
      <c r="L120" s="126" t="n">
        <f aca="false">K120</f>
        <v>4</v>
      </c>
      <c r="M120" s="124" t="n">
        <f aca="false">VLOOKUP($A120,Table,MATCH(M$4,Curves,0))</f>
        <v>4</v>
      </c>
      <c r="N120" s="125" t="n">
        <f aca="false">M120+$N$7</f>
        <v>4</v>
      </c>
      <c r="O120" s="126" t="n">
        <v>-0.04</v>
      </c>
      <c r="P120" s="114"/>
      <c r="Q120" s="126" t="n">
        <f aca="false">M120+J120+G120</f>
        <v>11</v>
      </c>
      <c r="R120" s="126" t="n">
        <f aca="false">N120+K120+H120</f>
        <v>11</v>
      </c>
      <c r="S120" s="126" t="n">
        <f aca="false">O120+L120+I120</f>
        <v>6.96</v>
      </c>
      <c r="T120" s="127"/>
      <c r="U120" s="5" t="n">
        <f aca="false">A121-A120</f>
        <v>30</v>
      </c>
      <c r="V120" s="128" t="n">
        <f aca="false">CHOOSE(F$3,A121+24,A120)</f>
        <v>40634</v>
      </c>
      <c r="W120" s="5" t="n">
        <f aca="false">V120-C$3</f>
        <v>3403</v>
      </c>
      <c r="X120" s="124" t="n">
        <f aca="false">VLOOKUP($A120,Table,MATCH(X$4,Curves,0))</f>
        <v>2</v>
      </c>
      <c r="Y120" s="129" t="n">
        <f aca="false">1/(1+CHOOSE(F$3,(X121+($K$3/10000))/2,(X120+($K$3/10000))/2))^(2*W120/365.25)</f>
        <v>2.4584620958493E-006</v>
      </c>
      <c r="Z120" s="5" t="n">
        <f aca="false">IF(AND(mthbeg&lt;=A120,mthend&gt;=A120),1,0)</f>
        <v>0</v>
      </c>
      <c r="AA120" s="5" t="n">
        <f aca="false">U120*Z120</f>
        <v>0</v>
      </c>
      <c r="AC120" s="115" t="n">
        <f aca="false">IF(G113=2,F120*(S120-Q120),F120*(Q120-S120))</f>
        <v>0</v>
      </c>
      <c r="AE120" s="116" t="n">
        <f aca="false">IF($G$3=1,F120*(R120-Q120),F120*(Q120-R120))</f>
        <v>0</v>
      </c>
      <c r="AG120" s="116" t="n">
        <f aca="false">AC120+AE120</f>
        <v>0</v>
      </c>
    </row>
    <row r="121" customFormat="false" ht="12.75" hidden="false" customHeight="false" outlineLevel="0" collapsed="false">
      <c r="A121" s="120" t="n">
        <f aca="false">EDATE(A120,1)</f>
        <v>40664</v>
      </c>
      <c r="B121" s="121" t="e">
        <f aca="false">VLOOKUP(A121,'Inputs-Summary'!$A$32:$E$41,5,FALSE())</f>
        <v>#N/A</v>
      </c>
      <c r="C121" s="122"/>
      <c r="D121" s="123" t="e">
        <f aca="false">B121+C121</f>
        <v>#N/A</v>
      </c>
      <c r="E121" s="111" t="n">
        <f aca="false">IF(Z121=0,0,IF(AND(Z121=1,$H$3=1),D121*U121,IF($H$3=2,D121,"N/A")))</f>
        <v>0</v>
      </c>
      <c r="F121" s="111" t="n">
        <f aca="false">E121*Y121</f>
        <v>0</v>
      </c>
      <c r="G121" s="124" t="n">
        <f aca="false">VLOOKUP($A121,Table,MATCH(G$4,Curves,0))</f>
        <v>3</v>
      </c>
      <c r="H121" s="125" t="n">
        <f aca="false">G121+$H$7</f>
        <v>3</v>
      </c>
      <c r="I121" s="124" t="n">
        <f aca="false">H121</f>
        <v>3</v>
      </c>
      <c r="J121" s="124" t="n">
        <f aca="false">VLOOKUP($A121,Table,MATCH(J$4,Curves,0))</f>
        <v>4</v>
      </c>
      <c r="K121" s="125" t="n">
        <f aca="false">J121+$K$7</f>
        <v>4</v>
      </c>
      <c r="L121" s="126" t="n">
        <f aca="false">K121</f>
        <v>4</v>
      </c>
      <c r="M121" s="124" t="n">
        <f aca="false">VLOOKUP($A121,Table,MATCH(M$4,Curves,0))</f>
        <v>4</v>
      </c>
      <c r="N121" s="125" t="n">
        <f aca="false">M121+$N$7</f>
        <v>4</v>
      </c>
      <c r="O121" s="126" t="n">
        <v>-0.04</v>
      </c>
      <c r="P121" s="114"/>
      <c r="Q121" s="126" t="n">
        <f aca="false">M121+J121+G121</f>
        <v>11</v>
      </c>
      <c r="R121" s="126" t="n">
        <f aca="false">N121+K121+H121</f>
        <v>11</v>
      </c>
      <c r="S121" s="126" t="n">
        <f aca="false">O121+L121+I121</f>
        <v>6.96</v>
      </c>
      <c r="T121" s="127"/>
      <c r="U121" s="5" t="n">
        <f aca="false">A122-A121</f>
        <v>31</v>
      </c>
      <c r="V121" s="128" t="n">
        <f aca="false">CHOOSE(F$3,A122+24,A121)</f>
        <v>40664</v>
      </c>
      <c r="W121" s="5" t="n">
        <f aca="false">V121-C$3</f>
        <v>3433</v>
      </c>
      <c r="X121" s="124" t="n">
        <f aca="false">VLOOKUP($A121,Table,MATCH(X$4,Curves,0))</f>
        <v>2</v>
      </c>
      <c r="Y121" s="129" t="n">
        <f aca="false">1/(1+CHOOSE(F$3,(X122+($K$3/10000))/2,(X121+($K$3/10000))/2))^(2*W121/365.25)</f>
        <v>2.19388068271251E-006</v>
      </c>
      <c r="Z121" s="5" t="n">
        <f aca="false">IF(AND(mthbeg&lt;=A121,mthend&gt;=A121),1,0)</f>
        <v>0</v>
      </c>
      <c r="AA121" s="5" t="n">
        <f aca="false">U121*Z121</f>
        <v>0</v>
      </c>
      <c r="AC121" s="115" t="n">
        <f aca="false">IF(G114=2,F121*(S121-Q121),F121*(Q121-S121))</f>
        <v>0</v>
      </c>
      <c r="AE121" s="116" t="n">
        <f aca="false">IF($G$3=1,F121*(R121-Q121),F121*(Q121-R121))</f>
        <v>0</v>
      </c>
      <c r="AG121" s="116" t="n">
        <f aca="false">AC121+AE121</f>
        <v>0</v>
      </c>
    </row>
    <row r="122" customFormat="false" ht="12.75" hidden="false" customHeight="false" outlineLevel="0" collapsed="false">
      <c r="A122" s="120" t="n">
        <f aca="false">EDATE(A121,1)</f>
        <v>40695</v>
      </c>
      <c r="B122" s="121" t="e">
        <f aca="false">VLOOKUP(A122,'Inputs-Summary'!$A$32:$E$41,5,FALSE())</f>
        <v>#N/A</v>
      </c>
      <c r="C122" s="122"/>
      <c r="D122" s="123" t="e">
        <f aca="false">B122+C122</f>
        <v>#N/A</v>
      </c>
      <c r="E122" s="111" t="n">
        <f aca="false">IF(Z122=0,0,IF(AND(Z122=1,$H$3=1),D122*U122,IF($H$3=2,D122,"N/A")))</f>
        <v>0</v>
      </c>
      <c r="F122" s="111" t="n">
        <f aca="false">E122*Y122</f>
        <v>0</v>
      </c>
      <c r="G122" s="124" t="n">
        <f aca="false">VLOOKUP($A122,Table,MATCH(G$4,Curves,0))</f>
        <v>3</v>
      </c>
      <c r="H122" s="125" t="n">
        <f aca="false">G122+$H$7</f>
        <v>3</v>
      </c>
      <c r="I122" s="124" t="n">
        <f aca="false">H122</f>
        <v>3</v>
      </c>
      <c r="J122" s="124" t="n">
        <f aca="false">VLOOKUP($A122,Table,MATCH(J$4,Curves,0))</f>
        <v>4</v>
      </c>
      <c r="K122" s="125" t="n">
        <f aca="false">J122+$K$7</f>
        <v>4</v>
      </c>
      <c r="L122" s="126" t="n">
        <f aca="false">K122</f>
        <v>4</v>
      </c>
      <c r="M122" s="124" t="n">
        <f aca="false">VLOOKUP($A122,Table,MATCH(M$4,Curves,0))</f>
        <v>4</v>
      </c>
      <c r="N122" s="125" t="n">
        <f aca="false">M122+$N$7</f>
        <v>4</v>
      </c>
      <c r="O122" s="126" t="n">
        <v>-0.04</v>
      </c>
      <c r="P122" s="114"/>
      <c r="Q122" s="126" t="n">
        <f aca="false">M122+J122+G122</f>
        <v>11</v>
      </c>
      <c r="R122" s="126" t="n">
        <f aca="false">N122+K122+H122</f>
        <v>11</v>
      </c>
      <c r="S122" s="126" t="n">
        <f aca="false">O122+L122+I122</f>
        <v>6.96</v>
      </c>
      <c r="T122" s="127"/>
      <c r="U122" s="5" t="n">
        <f aca="false">A123-A122</f>
        <v>30</v>
      </c>
      <c r="V122" s="128" t="n">
        <f aca="false">CHOOSE(F$3,A123+24,A122)</f>
        <v>40695</v>
      </c>
      <c r="W122" s="5" t="n">
        <f aca="false">V122-C$3</f>
        <v>3464</v>
      </c>
      <c r="X122" s="124" t="n">
        <f aca="false">VLOOKUP($A122,Table,MATCH(X$4,Curves,0))</f>
        <v>2</v>
      </c>
      <c r="Y122" s="129" t="n">
        <f aca="false">1/(1+CHOOSE(F$3,(X123+($K$3/10000))/2,(X122+($K$3/10000))/2))^(2*W122/365.25)</f>
        <v>1.95035712451348E-006</v>
      </c>
      <c r="Z122" s="5" t="n">
        <f aca="false">IF(AND(mthbeg&lt;=A122,mthend&gt;=A122),1,0)</f>
        <v>0</v>
      </c>
      <c r="AA122" s="5" t="n">
        <f aca="false">U122*Z122</f>
        <v>0</v>
      </c>
      <c r="AC122" s="115" t="n">
        <f aca="false">IF(G115=2,F122*(S122-Q122),F122*(Q122-S122))</f>
        <v>0</v>
      </c>
      <c r="AE122" s="116" t="n">
        <f aca="false">IF($G$3=1,F122*(R122-Q122),F122*(Q122-R122))</f>
        <v>0</v>
      </c>
      <c r="AG122" s="116" t="n">
        <f aca="false">AC122+AE122</f>
        <v>0</v>
      </c>
    </row>
    <row r="123" customFormat="false" ht="12.75" hidden="false" customHeight="false" outlineLevel="0" collapsed="false">
      <c r="A123" s="120" t="n">
        <f aca="false">EDATE(A122,1)</f>
        <v>40725</v>
      </c>
      <c r="B123" s="121" t="e">
        <f aca="false">VLOOKUP(A123,'Inputs-Summary'!$A$32:$E$41,5,FALSE())</f>
        <v>#N/A</v>
      </c>
      <c r="C123" s="122"/>
      <c r="D123" s="123" t="e">
        <f aca="false">B123+C123</f>
        <v>#N/A</v>
      </c>
      <c r="E123" s="111" t="n">
        <f aca="false">IF(Z123=0,0,IF(AND(Z123=1,$H$3=1),D123*U123,IF($H$3=2,D123,"N/A")))</f>
        <v>0</v>
      </c>
      <c r="F123" s="111" t="n">
        <f aca="false">E123*Y123</f>
        <v>0</v>
      </c>
      <c r="G123" s="124" t="n">
        <f aca="false">VLOOKUP($A123,Table,MATCH(G$4,Curves,0))</f>
        <v>3</v>
      </c>
      <c r="H123" s="125" t="n">
        <f aca="false">G123+$H$7</f>
        <v>3</v>
      </c>
      <c r="I123" s="124" t="n">
        <f aca="false">H123</f>
        <v>3</v>
      </c>
      <c r="J123" s="124" t="n">
        <f aca="false">VLOOKUP($A123,Table,MATCH(J$4,Curves,0))</f>
        <v>4</v>
      </c>
      <c r="K123" s="125" t="n">
        <f aca="false">J123+$K$7</f>
        <v>4</v>
      </c>
      <c r="L123" s="126" t="n">
        <f aca="false">K123</f>
        <v>4</v>
      </c>
      <c r="M123" s="124" t="n">
        <f aca="false">VLOOKUP($A123,Table,MATCH(M$4,Curves,0))</f>
        <v>4</v>
      </c>
      <c r="N123" s="125" t="n">
        <f aca="false">M123+$N$7</f>
        <v>4</v>
      </c>
      <c r="O123" s="126" t="n">
        <v>-0.04</v>
      </c>
      <c r="P123" s="114"/>
      <c r="Q123" s="126" t="n">
        <f aca="false">M123+J123+G123</f>
        <v>11</v>
      </c>
      <c r="R123" s="126" t="n">
        <f aca="false">N123+K123+H123</f>
        <v>11</v>
      </c>
      <c r="S123" s="126" t="n">
        <f aca="false">O123+L123+I123</f>
        <v>6.96</v>
      </c>
      <c r="T123" s="127"/>
      <c r="U123" s="5" t="n">
        <f aca="false">A124-A123</f>
        <v>31</v>
      </c>
      <c r="V123" s="128" t="n">
        <f aca="false">CHOOSE(F$3,A124+24,A123)</f>
        <v>40725</v>
      </c>
      <c r="W123" s="5" t="n">
        <f aca="false">V123-C$3</f>
        <v>3494</v>
      </c>
      <c r="X123" s="124" t="n">
        <f aca="false">VLOOKUP($A123,Table,MATCH(X$4,Curves,0))</f>
        <v>2</v>
      </c>
      <c r="Y123" s="129" t="n">
        <f aca="false">1/(1+CHOOSE(F$3,(X124+($K$3/10000))/2,(X123+($K$3/10000))/2))^(2*W123/365.25)</f>
        <v>1.74045832436666E-006</v>
      </c>
      <c r="Z123" s="5" t="n">
        <f aca="false">IF(AND(mthbeg&lt;=A123,mthend&gt;=A123),1,0)</f>
        <v>0</v>
      </c>
      <c r="AA123" s="5" t="n">
        <f aca="false">U123*Z123</f>
        <v>0</v>
      </c>
      <c r="AC123" s="115" t="n">
        <f aca="false">IF(G116=2,F123*(S123-Q123),F123*(Q123-S123))</f>
        <v>0</v>
      </c>
      <c r="AE123" s="116" t="n">
        <f aca="false">IF($G$3=1,F123*(R123-Q123),F123*(Q123-R123))</f>
        <v>0</v>
      </c>
      <c r="AG123" s="116" t="n">
        <f aca="false">AC123+AE123</f>
        <v>0</v>
      </c>
    </row>
    <row r="124" customFormat="false" ht="12.75" hidden="false" customHeight="false" outlineLevel="0" collapsed="false">
      <c r="A124" s="120" t="n">
        <f aca="false">EDATE(A123,1)</f>
        <v>40756</v>
      </c>
      <c r="B124" s="121" t="e">
        <f aca="false">VLOOKUP(A124,'Inputs-Summary'!$A$32:$E$41,5,FALSE())</f>
        <v>#N/A</v>
      </c>
      <c r="C124" s="122"/>
      <c r="D124" s="123" t="e">
        <f aca="false">B124+C124</f>
        <v>#N/A</v>
      </c>
      <c r="E124" s="111" t="n">
        <f aca="false">IF(Z124=0,0,IF(AND(Z124=1,$H$3=1),D124*U124,IF($H$3=2,D124,"N/A")))</f>
        <v>0</v>
      </c>
      <c r="F124" s="111" t="n">
        <f aca="false">E124*Y124</f>
        <v>0</v>
      </c>
      <c r="G124" s="124" t="n">
        <f aca="false">VLOOKUP($A124,Table,MATCH(G$4,Curves,0))</f>
        <v>3</v>
      </c>
      <c r="H124" s="125" t="n">
        <f aca="false">G124+$H$7</f>
        <v>3</v>
      </c>
      <c r="I124" s="124" t="n">
        <f aca="false">H124</f>
        <v>3</v>
      </c>
      <c r="J124" s="124" t="n">
        <f aca="false">VLOOKUP($A124,Table,MATCH(J$4,Curves,0))</f>
        <v>4</v>
      </c>
      <c r="K124" s="125" t="n">
        <f aca="false">J124+$K$7</f>
        <v>4</v>
      </c>
      <c r="L124" s="126" t="n">
        <f aca="false">K124</f>
        <v>4</v>
      </c>
      <c r="M124" s="124" t="n">
        <f aca="false">VLOOKUP($A124,Table,MATCH(M$4,Curves,0))</f>
        <v>4</v>
      </c>
      <c r="N124" s="125" t="n">
        <f aca="false">M124+$N$7</f>
        <v>4</v>
      </c>
      <c r="O124" s="126" t="n">
        <v>-0.04</v>
      </c>
      <c r="P124" s="114"/>
      <c r="Q124" s="126" t="n">
        <f aca="false">M124+J124+G124</f>
        <v>11</v>
      </c>
      <c r="R124" s="126" t="n">
        <f aca="false">N124+K124+H124</f>
        <v>11</v>
      </c>
      <c r="S124" s="126" t="n">
        <f aca="false">O124+L124+I124</f>
        <v>6.96</v>
      </c>
      <c r="T124" s="127"/>
      <c r="U124" s="5" t="n">
        <f aca="false">A125-A124</f>
        <v>31</v>
      </c>
      <c r="V124" s="128" t="n">
        <f aca="false">CHOOSE(F$3,A125+24,A124)</f>
        <v>40756</v>
      </c>
      <c r="W124" s="5" t="n">
        <f aca="false">V124-C$3</f>
        <v>3525</v>
      </c>
      <c r="X124" s="124" t="n">
        <f aca="false">VLOOKUP($A124,Table,MATCH(X$4,Curves,0))</f>
        <v>2</v>
      </c>
      <c r="Y124" s="129" t="n">
        <f aca="false">1/(1+CHOOSE(F$3,(X125+($K$3/10000))/2,(X124+($K$3/10000))/2))^(2*W124/365.25)</f>
        <v>1.54726522713639E-006</v>
      </c>
      <c r="Z124" s="5" t="n">
        <f aca="false">IF(AND(mthbeg&lt;=A124,mthend&gt;=A124),1,0)</f>
        <v>0</v>
      </c>
      <c r="AA124" s="5" t="n">
        <f aca="false">U124*Z124</f>
        <v>0</v>
      </c>
      <c r="AC124" s="115" t="n">
        <f aca="false">IF(G117=2,F124*(S124-Q124),F124*(Q124-S124))</f>
        <v>0</v>
      </c>
      <c r="AE124" s="116" t="n">
        <f aca="false">IF($G$3=1,F124*(R124-Q124),F124*(Q124-R124))</f>
        <v>0</v>
      </c>
      <c r="AG124" s="116" t="n">
        <f aca="false">AC124+AE124</f>
        <v>0</v>
      </c>
    </row>
    <row r="125" customFormat="false" ht="12.75" hidden="false" customHeight="false" outlineLevel="0" collapsed="false">
      <c r="A125" s="120" t="n">
        <f aca="false">EDATE(A124,1)</f>
        <v>40787</v>
      </c>
      <c r="B125" s="121" t="e">
        <f aca="false">VLOOKUP(A125,'Inputs-Summary'!$A$32:$E$41,5,FALSE())</f>
        <v>#N/A</v>
      </c>
      <c r="C125" s="122"/>
      <c r="D125" s="123" t="e">
        <f aca="false">B125+C125</f>
        <v>#N/A</v>
      </c>
      <c r="E125" s="111" t="n">
        <f aca="false">IF(Z125=0,0,IF(AND(Z125=1,$H$3=1),D125*U125,IF($H$3=2,D125,"N/A")))</f>
        <v>0</v>
      </c>
      <c r="F125" s="111" t="n">
        <f aca="false">E125*Y125</f>
        <v>0</v>
      </c>
      <c r="G125" s="124" t="n">
        <f aca="false">VLOOKUP($A125,Table,MATCH(G$4,Curves,0))</f>
        <v>3</v>
      </c>
      <c r="H125" s="125" t="n">
        <f aca="false">G125+$H$7</f>
        <v>3</v>
      </c>
      <c r="I125" s="124" t="n">
        <f aca="false">H125</f>
        <v>3</v>
      </c>
      <c r="J125" s="124" t="n">
        <f aca="false">VLOOKUP($A125,Table,MATCH(J$4,Curves,0))</f>
        <v>4</v>
      </c>
      <c r="K125" s="125" t="n">
        <f aca="false">J125+$K$7</f>
        <v>4</v>
      </c>
      <c r="L125" s="126" t="n">
        <f aca="false">K125</f>
        <v>4</v>
      </c>
      <c r="M125" s="124" t="n">
        <f aca="false">VLOOKUP($A125,Table,MATCH(M$4,Curves,0))</f>
        <v>4</v>
      </c>
      <c r="N125" s="125" t="n">
        <f aca="false">M125+$N$7</f>
        <v>4</v>
      </c>
      <c r="O125" s="126" t="n">
        <v>-0.04</v>
      </c>
      <c r="P125" s="114"/>
      <c r="Q125" s="126" t="n">
        <f aca="false">M125+J125+G125</f>
        <v>11</v>
      </c>
      <c r="R125" s="126" t="n">
        <f aca="false">N125+K125+H125</f>
        <v>11</v>
      </c>
      <c r="S125" s="126" t="n">
        <f aca="false">O125+L125+I125</f>
        <v>6.96</v>
      </c>
      <c r="T125" s="127"/>
      <c r="U125" s="5" t="n">
        <f aca="false">A126-A125</f>
        <v>30</v>
      </c>
      <c r="V125" s="128" t="n">
        <f aca="false">CHOOSE(F$3,A126+24,A125)</f>
        <v>40787</v>
      </c>
      <c r="W125" s="5" t="n">
        <f aca="false">V125-C$3</f>
        <v>3556</v>
      </c>
      <c r="X125" s="124" t="n">
        <f aca="false">VLOOKUP($A125,Table,MATCH(X$4,Curves,0))</f>
        <v>2</v>
      </c>
      <c r="Y125" s="129" t="n">
        <f aca="false">1/(1+CHOOSE(F$3,(X126+($K$3/10000))/2,(X125+($K$3/10000))/2))^(2*W125/365.25)</f>
        <v>1.37551681047956E-006</v>
      </c>
      <c r="Z125" s="5" t="n">
        <f aca="false">IF(AND(mthbeg&lt;=A125,mthend&gt;=A125),1,0)</f>
        <v>0</v>
      </c>
      <c r="AA125" s="5" t="n">
        <f aca="false">U125*Z125</f>
        <v>0</v>
      </c>
      <c r="AC125" s="115" t="n">
        <f aca="false">IF(G118=2,F125*(S125-Q125),F125*(Q125-S125))</f>
        <v>0</v>
      </c>
      <c r="AE125" s="116" t="n">
        <f aca="false">IF($G$3=1,F125*(R125-Q125),F125*(Q125-R125))</f>
        <v>0</v>
      </c>
      <c r="AG125" s="116" t="n">
        <f aca="false">AC125+AE125</f>
        <v>0</v>
      </c>
    </row>
    <row r="126" customFormat="false" ht="12.75" hidden="false" customHeight="false" outlineLevel="0" collapsed="false">
      <c r="A126" s="120" t="n">
        <f aca="false">EDATE(A125,1)</f>
        <v>40817</v>
      </c>
      <c r="B126" s="121" t="e">
        <f aca="false">VLOOKUP(A126,'Inputs-Summary'!$A$32:$E$41,5,FALSE())</f>
        <v>#N/A</v>
      </c>
      <c r="C126" s="122"/>
      <c r="D126" s="123" t="e">
        <f aca="false">B126+C126</f>
        <v>#N/A</v>
      </c>
      <c r="E126" s="111" t="n">
        <f aca="false">IF(Z126=0,0,IF(AND(Z126=1,$H$3=1),D126*U126,IF($H$3=2,D126,"N/A")))</f>
        <v>0</v>
      </c>
      <c r="F126" s="111" t="n">
        <f aca="false">E126*Y126</f>
        <v>0</v>
      </c>
      <c r="G126" s="124" t="n">
        <f aca="false">VLOOKUP($A126,Table,MATCH(G$4,Curves,0))</f>
        <v>3</v>
      </c>
      <c r="H126" s="125" t="n">
        <f aca="false">G126+$H$7</f>
        <v>3</v>
      </c>
      <c r="I126" s="124" t="n">
        <f aca="false">H126</f>
        <v>3</v>
      </c>
      <c r="J126" s="124" t="n">
        <f aca="false">VLOOKUP($A126,Table,MATCH(J$4,Curves,0))</f>
        <v>4</v>
      </c>
      <c r="K126" s="125" t="n">
        <f aca="false">J126+$K$7</f>
        <v>4</v>
      </c>
      <c r="L126" s="126" t="n">
        <f aca="false">K126</f>
        <v>4</v>
      </c>
      <c r="M126" s="124" t="n">
        <f aca="false">VLOOKUP($A126,Table,MATCH(M$4,Curves,0))</f>
        <v>4</v>
      </c>
      <c r="N126" s="125" t="n">
        <f aca="false">M126+$N$7</f>
        <v>4</v>
      </c>
      <c r="O126" s="126" t="n">
        <v>-0.04</v>
      </c>
      <c r="P126" s="114"/>
      <c r="Q126" s="126" t="n">
        <f aca="false">M126+J126+G126</f>
        <v>11</v>
      </c>
      <c r="R126" s="126" t="n">
        <f aca="false">N126+K126+H126</f>
        <v>11</v>
      </c>
      <c r="S126" s="126" t="n">
        <f aca="false">O126+L126+I126</f>
        <v>6.96</v>
      </c>
      <c r="T126" s="127"/>
      <c r="U126" s="5" t="n">
        <f aca="false">A127-A126</f>
        <v>31</v>
      </c>
      <c r="V126" s="128" t="n">
        <f aca="false">CHOOSE(F$3,A127+24,A126)</f>
        <v>40817</v>
      </c>
      <c r="W126" s="5" t="n">
        <f aca="false">V126-C$3</f>
        <v>3586</v>
      </c>
      <c r="X126" s="124" t="n">
        <f aca="false">VLOOKUP($A126,Table,MATCH(X$4,Curves,0))</f>
        <v>2</v>
      </c>
      <c r="Y126" s="129" t="n">
        <f aca="false">1/(1+CHOOSE(F$3,(X127+($K$3/10000))/2,(X126+($K$3/10000))/2))^(2*W126/365.25)</f>
        <v>1.22748272765821E-006</v>
      </c>
      <c r="Z126" s="5" t="n">
        <f aca="false">IF(AND(mthbeg&lt;=A126,mthend&gt;=A126),1,0)</f>
        <v>0</v>
      </c>
      <c r="AA126" s="5" t="n">
        <f aca="false">U126*Z126</f>
        <v>0</v>
      </c>
      <c r="AC126" s="115" t="n">
        <f aca="false">IF(G119=2,F126*(S126-Q126),F126*(Q126-S126))</f>
        <v>0</v>
      </c>
      <c r="AE126" s="116" t="n">
        <f aca="false">IF($G$3=1,F126*(R126-Q126),F126*(Q126-R126))</f>
        <v>0</v>
      </c>
      <c r="AG126" s="116" t="n">
        <f aca="false">AC126+AE126</f>
        <v>0</v>
      </c>
    </row>
    <row r="127" customFormat="false" ht="12.75" hidden="false" customHeight="false" outlineLevel="0" collapsed="false">
      <c r="A127" s="120" t="n">
        <f aca="false">EDATE(A126,1)</f>
        <v>40848</v>
      </c>
      <c r="B127" s="121" t="e">
        <f aca="false">VLOOKUP(A127,'Inputs-Summary'!$A$32:$E$41,5,FALSE())</f>
        <v>#N/A</v>
      </c>
      <c r="C127" s="122"/>
      <c r="D127" s="123" t="e">
        <f aca="false">B127+C127</f>
        <v>#N/A</v>
      </c>
      <c r="E127" s="111" t="n">
        <f aca="false">IF(Z127=0,0,IF(AND(Z127=1,$H$3=1),D127*U127,IF($H$3=2,D127,"N/A")))</f>
        <v>0</v>
      </c>
      <c r="F127" s="111" t="n">
        <f aca="false">E127*Y127</f>
        <v>0</v>
      </c>
      <c r="G127" s="124" t="n">
        <f aca="false">VLOOKUP($A127,Table,MATCH(G$4,Curves,0))</f>
        <v>3</v>
      </c>
      <c r="H127" s="125" t="n">
        <f aca="false">G127+$H$7</f>
        <v>3</v>
      </c>
      <c r="I127" s="124" t="n">
        <f aca="false">H127</f>
        <v>3</v>
      </c>
      <c r="J127" s="124" t="n">
        <f aca="false">VLOOKUP($A127,Table,MATCH(J$4,Curves,0))</f>
        <v>4</v>
      </c>
      <c r="K127" s="125" t="n">
        <f aca="false">J127+$K$7</f>
        <v>4</v>
      </c>
      <c r="L127" s="126" t="n">
        <f aca="false">K127</f>
        <v>4</v>
      </c>
      <c r="M127" s="124" t="n">
        <f aca="false">VLOOKUP($A127,Table,MATCH(M$4,Curves,0))</f>
        <v>4</v>
      </c>
      <c r="N127" s="125" t="n">
        <f aca="false">M127+$N$7</f>
        <v>4</v>
      </c>
      <c r="O127" s="126" t="n">
        <v>-0.04</v>
      </c>
      <c r="P127" s="114"/>
      <c r="Q127" s="126" t="n">
        <f aca="false">M127+J127+G127</f>
        <v>11</v>
      </c>
      <c r="R127" s="126" t="n">
        <f aca="false">N127+K127+H127</f>
        <v>11</v>
      </c>
      <c r="S127" s="126" t="n">
        <f aca="false">O127+L127+I127</f>
        <v>6.96</v>
      </c>
      <c r="T127" s="127"/>
      <c r="U127" s="5" t="n">
        <f aca="false">A128-A127</f>
        <v>30</v>
      </c>
      <c r="V127" s="128" t="n">
        <f aca="false">CHOOSE(F$3,A128+24,A127)</f>
        <v>40848</v>
      </c>
      <c r="W127" s="5" t="n">
        <f aca="false">V127-C$3</f>
        <v>3617</v>
      </c>
      <c r="X127" s="124" t="n">
        <f aca="false">VLOOKUP($A127,Table,MATCH(X$4,Curves,0))</f>
        <v>2</v>
      </c>
      <c r="Y127" s="129" t="n">
        <f aca="false">1/(1+CHOOSE(F$3,(X128+($K$3/10000))/2,(X127+($K$3/10000))/2))^(2*W127/365.25)</f>
        <v>1.09123057692702E-006</v>
      </c>
      <c r="Z127" s="5" t="n">
        <f aca="false">IF(AND(mthbeg&lt;=A127,mthend&gt;=A127),1,0)</f>
        <v>0</v>
      </c>
      <c r="AA127" s="5" t="n">
        <f aca="false">U127*Z127</f>
        <v>0</v>
      </c>
      <c r="AC127" s="115" t="n">
        <f aca="false">IF(G120=2,F127*(S127-Q127),F127*(Q127-S127))</f>
        <v>0</v>
      </c>
      <c r="AE127" s="116" t="n">
        <f aca="false">IF($G$3=1,F127*(R127-Q127),F127*(Q127-R127))</f>
        <v>0</v>
      </c>
      <c r="AG127" s="116" t="n">
        <f aca="false">AC127+AE127</f>
        <v>0</v>
      </c>
    </row>
    <row r="128" customFormat="false" ht="12.75" hidden="false" customHeight="false" outlineLevel="0" collapsed="false">
      <c r="A128" s="120" t="n">
        <f aca="false">EDATE(A127,1)</f>
        <v>40878</v>
      </c>
      <c r="B128" s="121" t="e">
        <f aca="false">VLOOKUP(A128,'Inputs-Summary'!$A$32:$E$41,5,FALSE())</f>
        <v>#N/A</v>
      </c>
      <c r="C128" s="122"/>
      <c r="D128" s="123" t="e">
        <f aca="false">B128+C128</f>
        <v>#N/A</v>
      </c>
      <c r="E128" s="111" t="n">
        <f aca="false">IF(Z128=0,0,IF(AND(Z128=1,$H$3=1),D128*U128,IF($H$3=2,D128,"N/A")))</f>
        <v>0</v>
      </c>
      <c r="F128" s="111" t="n">
        <f aca="false">E128*Y128</f>
        <v>0</v>
      </c>
      <c r="G128" s="124" t="n">
        <f aca="false">VLOOKUP($A128,Table,MATCH(G$4,Curves,0))</f>
        <v>3</v>
      </c>
      <c r="H128" s="125" t="n">
        <f aca="false">G128+$H$7</f>
        <v>3</v>
      </c>
      <c r="I128" s="124" t="n">
        <f aca="false">H128</f>
        <v>3</v>
      </c>
      <c r="J128" s="124" t="n">
        <f aca="false">VLOOKUP($A128,Table,MATCH(J$4,Curves,0))</f>
        <v>4</v>
      </c>
      <c r="K128" s="125" t="n">
        <f aca="false">J128+$K$7</f>
        <v>4</v>
      </c>
      <c r="L128" s="126" t="n">
        <f aca="false">K128</f>
        <v>4</v>
      </c>
      <c r="M128" s="124" t="n">
        <f aca="false">VLOOKUP($A128,Table,MATCH(M$4,Curves,0))</f>
        <v>4</v>
      </c>
      <c r="N128" s="125" t="n">
        <f aca="false">M128+$N$7</f>
        <v>4</v>
      </c>
      <c r="O128" s="126" t="n">
        <v>-0.04</v>
      </c>
      <c r="P128" s="114"/>
      <c r="Q128" s="126" t="n">
        <f aca="false">M128+J128+G128</f>
        <v>11</v>
      </c>
      <c r="R128" s="126" t="n">
        <f aca="false">N128+K128+H128</f>
        <v>11</v>
      </c>
      <c r="S128" s="126" t="n">
        <f aca="false">O128+L128+I128</f>
        <v>6.96</v>
      </c>
      <c r="T128" s="127"/>
      <c r="U128" s="5" t="n">
        <f aca="false">A129-A128</f>
        <v>31</v>
      </c>
      <c r="V128" s="128" t="n">
        <f aca="false">CHOOSE(F$3,A129+24,A128)</f>
        <v>40878</v>
      </c>
      <c r="W128" s="5" t="n">
        <f aca="false">V128-C$3</f>
        <v>3647</v>
      </c>
      <c r="X128" s="124" t="n">
        <f aca="false">VLOOKUP($A128,Table,MATCH(X$4,Curves,0))</f>
        <v>2</v>
      </c>
      <c r="Y128" s="129" t="n">
        <f aca="false">1/(1+CHOOSE(F$3,(X129+($K$3/10000))/2,(X128+($K$3/10000))/2))^(2*W128/365.25)</f>
        <v>9.73791577729562E-007</v>
      </c>
      <c r="Z128" s="5" t="n">
        <f aca="false">IF(AND(mthbeg&lt;=A128,mthend&gt;=A128),1,0)</f>
        <v>0</v>
      </c>
      <c r="AA128" s="5" t="n">
        <f aca="false">U128*Z128</f>
        <v>0</v>
      </c>
      <c r="AC128" s="115" t="n">
        <f aca="false">IF(G121=2,F128*(S128-Q128),F128*(Q128-S128))</f>
        <v>0</v>
      </c>
      <c r="AE128" s="116" t="n">
        <f aca="false">IF($G$3=1,F128*(R128-Q128),F128*(Q128-R128))</f>
        <v>0</v>
      </c>
      <c r="AG128" s="116" t="n">
        <f aca="false">AC128+AE128</f>
        <v>0</v>
      </c>
    </row>
    <row r="129" customFormat="false" ht="12.75" hidden="false" customHeight="false" outlineLevel="0" collapsed="false">
      <c r="A129" s="120" t="n">
        <f aca="false">EDATE(A128,1)</f>
        <v>40909</v>
      </c>
      <c r="B129" s="121" t="e">
        <f aca="false">VLOOKUP(A129,'Inputs-Summary'!$A$32:$E$41,5,FALSE())</f>
        <v>#N/A</v>
      </c>
      <c r="C129" s="122"/>
      <c r="D129" s="123" t="e">
        <f aca="false">B129+C129</f>
        <v>#N/A</v>
      </c>
      <c r="E129" s="111" t="n">
        <f aca="false">IF(Z129=0,0,IF(AND(Z129=1,$H$3=1),D129*U129,IF($H$3=2,D129,"N/A")))</f>
        <v>0</v>
      </c>
      <c r="F129" s="111" t="n">
        <f aca="false">E129*Y129</f>
        <v>0</v>
      </c>
      <c r="G129" s="124" t="n">
        <f aca="false">VLOOKUP($A129,Table,MATCH(G$4,Curves,0))</f>
        <v>3</v>
      </c>
      <c r="H129" s="125" t="n">
        <f aca="false">G129+$H$7</f>
        <v>3</v>
      </c>
      <c r="I129" s="124" t="n">
        <f aca="false">H129</f>
        <v>3</v>
      </c>
      <c r="J129" s="124" t="n">
        <f aca="false">VLOOKUP($A129,Table,MATCH(J$4,Curves,0))</f>
        <v>4</v>
      </c>
      <c r="K129" s="125" t="n">
        <f aca="false">J129+$K$7</f>
        <v>4</v>
      </c>
      <c r="L129" s="126" t="n">
        <f aca="false">K129</f>
        <v>4</v>
      </c>
      <c r="M129" s="124" t="n">
        <f aca="false">VLOOKUP($A129,Table,MATCH(M$4,Curves,0))</f>
        <v>4</v>
      </c>
      <c r="N129" s="125" t="n">
        <f aca="false">M129+$N$7</f>
        <v>4</v>
      </c>
      <c r="O129" s="126" t="n">
        <v>-0.04</v>
      </c>
      <c r="P129" s="114"/>
      <c r="Q129" s="126" t="n">
        <f aca="false">M129+J129+G129</f>
        <v>11</v>
      </c>
      <c r="R129" s="126" t="n">
        <f aca="false">N129+K129+H129</f>
        <v>11</v>
      </c>
      <c r="S129" s="126" t="n">
        <f aca="false">O129+L129+I129</f>
        <v>6.96</v>
      </c>
      <c r="T129" s="127"/>
      <c r="U129" s="5" t="n">
        <f aca="false">A130-A129</f>
        <v>31</v>
      </c>
      <c r="V129" s="128" t="n">
        <f aca="false">CHOOSE(F$3,A130+24,A129)</f>
        <v>40909</v>
      </c>
      <c r="W129" s="5" t="n">
        <f aca="false">V129-C$3</f>
        <v>3678</v>
      </c>
      <c r="X129" s="124" t="n">
        <f aca="false">VLOOKUP($A129,Table,MATCH(X$4,Curves,0))</f>
        <v>2</v>
      </c>
      <c r="Y129" s="129" t="n">
        <f aca="false">1/(1+CHOOSE(F$3,(X130+($K$3/10000))/2,(X129+($K$3/10000))/2))^(2*W129/365.25)</f>
        <v>8.65699468700301E-007</v>
      </c>
      <c r="Z129" s="5" t="n">
        <f aca="false">IF(AND(mthbeg&lt;=A129,mthend&gt;=A129),1,0)</f>
        <v>0</v>
      </c>
      <c r="AA129" s="5" t="n">
        <f aca="false">U129*Z129</f>
        <v>0</v>
      </c>
      <c r="AC129" s="115" t="n">
        <f aca="false">IF(G122=2,F129*(S129-Q129),F129*(Q129-S129))</f>
        <v>0</v>
      </c>
      <c r="AE129" s="116" t="n">
        <f aca="false">IF($G$3=1,F129*(R129-Q129),F129*(Q129-R129))</f>
        <v>0</v>
      </c>
      <c r="AG129" s="116" t="n">
        <f aca="false">AC129+AE129</f>
        <v>0</v>
      </c>
    </row>
    <row r="130" customFormat="false" ht="12.75" hidden="false" customHeight="false" outlineLevel="0" collapsed="false">
      <c r="A130" s="120" t="n">
        <f aca="false">EDATE(A129,1)</f>
        <v>40940</v>
      </c>
      <c r="B130" s="121" t="e">
        <f aca="false">VLOOKUP(A130,'Inputs-Summary'!$A$32:$E$41,5,FALSE())</f>
        <v>#N/A</v>
      </c>
      <c r="C130" s="122"/>
      <c r="D130" s="123" t="e">
        <f aca="false">B130+C130</f>
        <v>#N/A</v>
      </c>
      <c r="E130" s="111" t="n">
        <f aca="false">IF(Z130=0,0,IF(AND(Z130=1,$H$3=1),D130*U130,IF($H$3=2,D130,"N/A")))</f>
        <v>0</v>
      </c>
      <c r="F130" s="111" t="n">
        <f aca="false">E130*Y130</f>
        <v>0</v>
      </c>
      <c r="G130" s="124" t="n">
        <f aca="false">VLOOKUP($A130,Table,MATCH(G$4,Curves,0))</f>
        <v>3</v>
      </c>
      <c r="H130" s="125" t="n">
        <f aca="false">G130+$H$7</f>
        <v>3</v>
      </c>
      <c r="I130" s="124" t="n">
        <f aca="false">H130</f>
        <v>3</v>
      </c>
      <c r="J130" s="124" t="n">
        <f aca="false">VLOOKUP($A130,Table,MATCH(J$4,Curves,0))</f>
        <v>4</v>
      </c>
      <c r="K130" s="125" t="n">
        <f aca="false">J130+$K$7</f>
        <v>4</v>
      </c>
      <c r="L130" s="126" t="n">
        <f aca="false">K130</f>
        <v>4</v>
      </c>
      <c r="M130" s="124" t="n">
        <f aca="false">VLOOKUP($A130,Table,MATCH(M$4,Curves,0))</f>
        <v>4</v>
      </c>
      <c r="N130" s="125" t="n">
        <f aca="false">M130+$N$7</f>
        <v>4</v>
      </c>
      <c r="O130" s="126" t="n">
        <v>-0.04</v>
      </c>
      <c r="P130" s="114"/>
      <c r="Q130" s="126" t="n">
        <f aca="false">M130+J130+G130</f>
        <v>11</v>
      </c>
      <c r="R130" s="126" t="n">
        <f aca="false">N130+K130+H130</f>
        <v>11</v>
      </c>
      <c r="S130" s="126" t="n">
        <f aca="false">O130+L130+I130</f>
        <v>6.96</v>
      </c>
      <c r="T130" s="127"/>
      <c r="U130" s="5" t="n">
        <f aca="false">A131-A130</f>
        <v>29</v>
      </c>
      <c r="V130" s="128" t="n">
        <f aca="false">CHOOSE(F$3,A131+24,A130)</f>
        <v>40940</v>
      </c>
      <c r="W130" s="5" t="n">
        <f aca="false">V130-C$3</f>
        <v>3709</v>
      </c>
      <c r="X130" s="124" t="n">
        <f aca="false">VLOOKUP($A130,Table,MATCH(X$4,Curves,0))</f>
        <v>2</v>
      </c>
      <c r="Y130" s="129" t="n">
        <f aca="false">1/(1+CHOOSE(F$3,(X131+($K$3/10000))/2,(X130+($K$3/10000))/2))^(2*W130/365.25)</f>
        <v>7.69605721847919E-007</v>
      </c>
      <c r="Z130" s="5" t="n">
        <f aca="false">IF(AND(mthbeg&lt;=A130,mthend&gt;=A130),1,0)</f>
        <v>0</v>
      </c>
      <c r="AA130" s="5" t="n">
        <f aca="false">U130*Z130</f>
        <v>0</v>
      </c>
      <c r="AC130" s="115" t="n">
        <f aca="false">IF(G123=2,F130*(S130-Q130),F130*(Q130-S130))</f>
        <v>0</v>
      </c>
      <c r="AE130" s="116" t="n">
        <f aca="false">IF($G$3=1,F130*(R130-Q130),F130*(Q130-R130))</f>
        <v>0</v>
      </c>
      <c r="AG130" s="116" t="n">
        <f aca="false">AC130+AE130</f>
        <v>0</v>
      </c>
    </row>
    <row r="131" customFormat="false" ht="12.75" hidden="false" customHeight="false" outlineLevel="0" collapsed="false">
      <c r="A131" s="120" t="n">
        <f aca="false">EDATE(A130,1)</f>
        <v>40969</v>
      </c>
      <c r="B131" s="121" t="e">
        <f aca="false">VLOOKUP(A131,'Inputs-Summary'!$A$32:$E$41,5,FALSE())</f>
        <v>#N/A</v>
      </c>
      <c r="C131" s="122"/>
      <c r="D131" s="123" t="e">
        <f aca="false">B131+C131</f>
        <v>#N/A</v>
      </c>
      <c r="E131" s="111" t="n">
        <f aca="false">IF(Z131=0,0,IF(AND(Z131=1,$H$3=1),D131*U131,IF($H$3=2,D131,"N/A")))</f>
        <v>0</v>
      </c>
      <c r="F131" s="111" t="n">
        <f aca="false">E131*Y131</f>
        <v>0</v>
      </c>
      <c r="G131" s="124" t="n">
        <f aca="false">VLOOKUP($A131,Table,MATCH(G$4,Curves,0))</f>
        <v>3</v>
      </c>
      <c r="H131" s="125" t="n">
        <f aca="false">G131+$H$7</f>
        <v>3</v>
      </c>
      <c r="I131" s="124" t="n">
        <f aca="false">H131</f>
        <v>3</v>
      </c>
      <c r="J131" s="124" t="n">
        <f aca="false">VLOOKUP($A131,Table,MATCH(J$4,Curves,0))</f>
        <v>4</v>
      </c>
      <c r="K131" s="125" t="n">
        <f aca="false">J131+$K$7</f>
        <v>4</v>
      </c>
      <c r="L131" s="126" t="n">
        <f aca="false">K131</f>
        <v>4</v>
      </c>
      <c r="M131" s="124" t="n">
        <f aca="false">VLOOKUP($A131,Table,MATCH(M$4,Curves,0))</f>
        <v>4</v>
      </c>
      <c r="N131" s="125" t="n">
        <f aca="false">M131+$N$7</f>
        <v>4</v>
      </c>
      <c r="O131" s="126" t="n">
        <v>-0.04</v>
      </c>
      <c r="P131" s="114"/>
      <c r="Q131" s="126" t="n">
        <f aca="false">M131+J131+G131</f>
        <v>11</v>
      </c>
      <c r="R131" s="126" t="n">
        <f aca="false">N131+K131+H131</f>
        <v>11</v>
      </c>
      <c r="S131" s="126" t="n">
        <f aca="false">O131+L131+I131</f>
        <v>6.96</v>
      </c>
      <c r="T131" s="127"/>
      <c r="U131" s="5" t="n">
        <f aca="false">A132-A131</f>
        <v>31</v>
      </c>
      <c r="V131" s="128" t="n">
        <f aca="false">CHOOSE(F$3,A132+24,A131)</f>
        <v>40969</v>
      </c>
      <c r="W131" s="5" t="n">
        <f aca="false">V131-C$3</f>
        <v>3738</v>
      </c>
      <c r="X131" s="124" t="n">
        <f aca="false">VLOOKUP($A131,Table,MATCH(X$4,Curves,0))</f>
        <v>2</v>
      </c>
      <c r="Y131" s="129" t="n">
        <f aca="false">1/(1+CHOOSE(F$3,(X132+($K$3/10000))/2,(X131+($K$3/10000))/2))^(2*W131/365.25)</f>
        <v>6.89391819592831E-007</v>
      </c>
      <c r="Z131" s="5" t="n">
        <f aca="false">IF(AND(mthbeg&lt;=A131,mthend&gt;=A131),1,0)</f>
        <v>0</v>
      </c>
      <c r="AA131" s="5" t="n">
        <f aca="false">U131*Z131</f>
        <v>0</v>
      </c>
      <c r="AC131" s="115" t="n">
        <f aca="false">IF(G124=2,F131*(S131-Q131),F131*(Q131-S131))</f>
        <v>0</v>
      </c>
      <c r="AE131" s="116" t="n">
        <f aca="false">IF($G$3=1,F131*(R131-Q131),F131*(Q131-R131))</f>
        <v>0</v>
      </c>
      <c r="AG131" s="116" t="n">
        <f aca="false">AC131+AE131</f>
        <v>0</v>
      </c>
    </row>
    <row r="132" customFormat="false" ht="12.75" hidden="false" customHeight="false" outlineLevel="0" collapsed="false">
      <c r="A132" s="120" t="n">
        <f aca="false">EDATE(A131,1)</f>
        <v>41000</v>
      </c>
      <c r="B132" s="121" t="e">
        <f aca="false">VLOOKUP(A132,'Inputs-Summary'!$A$32:$E$41,5,FALSE())</f>
        <v>#N/A</v>
      </c>
      <c r="C132" s="122"/>
      <c r="D132" s="123" t="e">
        <f aca="false">B132+C132</f>
        <v>#N/A</v>
      </c>
      <c r="E132" s="111" t="n">
        <f aca="false">IF(Z132=0,0,IF(AND(Z132=1,$H$3=1),D132*U132,IF($H$3=2,D132,"N/A")))</f>
        <v>0</v>
      </c>
      <c r="F132" s="111" t="n">
        <f aca="false">E132*Y132</f>
        <v>0</v>
      </c>
      <c r="G132" s="124" t="n">
        <f aca="false">VLOOKUP($A132,Table,MATCH(G$4,Curves,0))</f>
        <v>3</v>
      </c>
      <c r="H132" s="125" t="n">
        <f aca="false">G132+$H$7</f>
        <v>3</v>
      </c>
      <c r="I132" s="124" t="n">
        <f aca="false">H132</f>
        <v>3</v>
      </c>
      <c r="J132" s="124" t="n">
        <f aca="false">VLOOKUP($A132,Table,MATCH(J$4,Curves,0))</f>
        <v>4</v>
      </c>
      <c r="K132" s="125" t="n">
        <f aca="false">J132+$K$7</f>
        <v>4</v>
      </c>
      <c r="L132" s="126" t="n">
        <f aca="false">K132</f>
        <v>4</v>
      </c>
      <c r="M132" s="124" t="n">
        <f aca="false">VLOOKUP($A132,Table,MATCH(M$4,Curves,0))</f>
        <v>4</v>
      </c>
      <c r="N132" s="125" t="n">
        <f aca="false">M132+$N$7</f>
        <v>4</v>
      </c>
      <c r="O132" s="126" t="n">
        <v>-0.04</v>
      </c>
      <c r="P132" s="114"/>
      <c r="Q132" s="126" t="n">
        <f aca="false">M132+J132+G132</f>
        <v>11</v>
      </c>
      <c r="R132" s="126" t="n">
        <f aca="false">N132+K132+H132</f>
        <v>11</v>
      </c>
      <c r="S132" s="126" t="n">
        <f aca="false">O132+L132+I132</f>
        <v>6.96</v>
      </c>
      <c r="T132" s="127"/>
      <c r="U132" s="5" t="n">
        <f aca="false">A133-A132</f>
        <v>30</v>
      </c>
      <c r="V132" s="128" t="n">
        <f aca="false">CHOOSE(F$3,A133+24,A132)</f>
        <v>41000</v>
      </c>
      <c r="W132" s="5" t="n">
        <f aca="false">V132-C$3</f>
        <v>3769</v>
      </c>
      <c r="X132" s="124" t="n">
        <f aca="false">VLOOKUP($A132,Table,MATCH(X$4,Curves,0))</f>
        <v>2</v>
      </c>
      <c r="Y132" s="129" t="n">
        <f aca="false">1/(1+CHOOSE(F$3,(X133+($K$3/10000))/2,(X132+($K$3/10000))/2))^(2*W132/365.25)</f>
        <v>6.12868447003134E-007</v>
      </c>
      <c r="Z132" s="5" t="n">
        <f aca="false">IF(AND(mthbeg&lt;=A132,mthend&gt;=A132),1,0)</f>
        <v>0</v>
      </c>
      <c r="AA132" s="5" t="n">
        <f aca="false">U132*Z132</f>
        <v>0</v>
      </c>
      <c r="AC132" s="115" t="n">
        <f aca="false">IF(G125=2,F132*(S132-Q132),F132*(Q132-S132))</f>
        <v>0</v>
      </c>
      <c r="AE132" s="116" t="n">
        <f aca="false">IF($G$3=1,F132*(R132-Q132),F132*(Q132-R132))</f>
        <v>0</v>
      </c>
      <c r="AG132" s="116" t="n">
        <f aca="false">AC132+AE132</f>
        <v>0</v>
      </c>
    </row>
    <row r="133" customFormat="false" ht="12.75" hidden="false" customHeight="false" outlineLevel="0" collapsed="false">
      <c r="A133" s="120" t="n">
        <f aca="false">EDATE(A132,1)</f>
        <v>41030</v>
      </c>
      <c r="B133" s="121" t="e">
        <f aca="false">VLOOKUP(A133,'Inputs-Summary'!$A$32:$E$41,5,FALSE())</f>
        <v>#N/A</v>
      </c>
      <c r="C133" s="122"/>
      <c r="D133" s="123" t="e">
        <f aca="false">B133+C133</f>
        <v>#N/A</v>
      </c>
      <c r="E133" s="111" t="n">
        <f aca="false">IF(Z133=0,0,IF(AND(Z133=1,$H$3=1),D133*U133,IF($H$3=2,D133,"N/A")))</f>
        <v>0</v>
      </c>
      <c r="F133" s="111" t="n">
        <f aca="false">E133*Y133</f>
        <v>0</v>
      </c>
      <c r="G133" s="124" t="n">
        <f aca="false">VLOOKUP($A133,Table,MATCH(G$4,Curves,0))</f>
        <v>3</v>
      </c>
      <c r="H133" s="125" t="n">
        <f aca="false">G133+$H$7</f>
        <v>3</v>
      </c>
      <c r="I133" s="124" t="n">
        <f aca="false">H133</f>
        <v>3</v>
      </c>
      <c r="J133" s="124" t="n">
        <f aca="false">VLOOKUP($A133,Table,MATCH(J$4,Curves,0))</f>
        <v>4</v>
      </c>
      <c r="K133" s="125" t="n">
        <f aca="false">J133+$K$7</f>
        <v>4</v>
      </c>
      <c r="L133" s="126" t="n">
        <f aca="false">K133</f>
        <v>4</v>
      </c>
      <c r="M133" s="124" t="n">
        <f aca="false">VLOOKUP($A133,Table,MATCH(M$4,Curves,0))</f>
        <v>4</v>
      </c>
      <c r="N133" s="125" t="n">
        <f aca="false">M133+$N$7</f>
        <v>4</v>
      </c>
      <c r="O133" s="126" t="n">
        <v>-0.04</v>
      </c>
      <c r="P133" s="114"/>
      <c r="Q133" s="126" t="n">
        <f aca="false">M133+J133+G133</f>
        <v>11</v>
      </c>
      <c r="R133" s="126" t="n">
        <f aca="false">N133+K133+H133</f>
        <v>11</v>
      </c>
      <c r="S133" s="126" t="n">
        <f aca="false">O133+L133+I133</f>
        <v>6.96</v>
      </c>
      <c r="T133" s="127"/>
      <c r="U133" s="5" t="n">
        <f aca="false">A134-A133</f>
        <v>31</v>
      </c>
      <c r="V133" s="128" t="n">
        <f aca="false">CHOOSE(F$3,A134+24,A133)</f>
        <v>41030</v>
      </c>
      <c r="W133" s="5" t="n">
        <f aca="false">V133-C$3</f>
        <v>3799</v>
      </c>
      <c r="X133" s="124" t="n">
        <f aca="false">VLOOKUP($A133,Table,MATCH(X$4,Curves,0))</f>
        <v>2</v>
      </c>
      <c r="Y133" s="129" t="n">
        <f aca="false">1/(1+CHOOSE(F$3,(X134+($K$3/10000))/2,(X133+($K$3/10000))/2))^(2*W133/365.25)</f>
        <v>5.46911115365271E-007</v>
      </c>
      <c r="Z133" s="5" t="n">
        <f aca="false">IF(AND(mthbeg&lt;=A133,mthend&gt;=A133),1,0)</f>
        <v>0</v>
      </c>
      <c r="AA133" s="5" t="n">
        <f aca="false">U133*Z133</f>
        <v>0</v>
      </c>
      <c r="AC133" s="115" t="n">
        <f aca="false">IF(G126=2,F133*(S133-Q133),F133*(Q133-S133))</f>
        <v>0</v>
      </c>
      <c r="AE133" s="116" t="n">
        <f aca="false">IF($G$3=1,F133*(R133-Q133),F133*(Q133-R133))</f>
        <v>0</v>
      </c>
      <c r="AG133" s="116" t="n">
        <f aca="false">AC133+AE133</f>
        <v>0</v>
      </c>
    </row>
    <row r="134" customFormat="false" ht="12.75" hidden="false" customHeight="false" outlineLevel="0" collapsed="false">
      <c r="A134" s="120" t="n">
        <f aca="false">EDATE(A133,1)</f>
        <v>41061</v>
      </c>
      <c r="B134" s="121" t="e">
        <f aca="false">VLOOKUP(A134,'Inputs-Summary'!$A$32:$E$41,5,FALSE())</f>
        <v>#N/A</v>
      </c>
      <c r="C134" s="122"/>
      <c r="D134" s="123" t="e">
        <f aca="false">B134+C134</f>
        <v>#N/A</v>
      </c>
      <c r="E134" s="111" t="n">
        <f aca="false">IF(Z134=0,0,IF(AND(Z134=1,$H$3=1),D134*U134,IF($H$3=2,D134,"N/A")))</f>
        <v>0</v>
      </c>
      <c r="F134" s="111" t="n">
        <f aca="false">E134*Y134</f>
        <v>0</v>
      </c>
      <c r="G134" s="124" t="n">
        <f aca="false">VLOOKUP($A134,Table,MATCH(G$4,Curves,0))</f>
        <v>3</v>
      </c>
      <c r="H134" s="125" t="n">
        <f aca="false">G134+$H$7</f>
        <v>3</v>
      </c>
      <c r="I134" s="124" t="n">
        <f aca="false">H134</f>
        <v>3</v>
      </c>
      <c r="J134" s="124" t="n">
        <f aca="false">VLOOKUP($A134,Table,MATCH(J$4,Curves,0))</f>
        <v>4</v>
      </c>
      <c r="K134" s="125" t="n">
        <f aca="false">J134+$K$7</f>
        <v>4</v>
      </c>
      <c r="L134" s="126" t="n">
        <f aca="false">K134</f>
        <v>4</v>
      </c>
      <c r="M134" s="124" t="n">
        <f aca="false">VLOOKUP($A134,Table,MATCH(M$4,Curves,0))</f>
        <v>4</v>
      </c>
      <c r="N134" s="125" t="n">
        <f aca="false">M134+$N$7</f>
        <v>4</v>
      </c>
      <c r="O134" s="126" t="n">
        <v>-0.04</v>
      </c>
      <c r="P134" s="114"/>
      <c r="Q134" s="126" t="n">
        <f aca="false">M134+J134+G134</f>
        <v>11</v>
      </c>
      <c r="R134" s="126" t="n">
        <f aca="false">N134+K134+H134</f>
        <v>11</v>
      </c>
      <c r="S134" s="126" t="n">
        <f aca="false">O134+L134+I134</f>
        <v>6.96</v>
      </c>
      <c r="T134" s="127"/>
      <c r="U134" s="5" t="n">
        <f aca="false">A135-A134</f>
        <v>30</v>
      </c>
      <c r="V134" s="128" t="n">
        <f aca="false">CHOOSE(F$3,A135+24,A134)</f>
        <v>41061</v>
      </c>
      <c r="W134" s="5" t="n">
        <f aca="false">V134-C$3</f>
        <v>3830</v>
      </c>
      <c r="X134" s="124" t="n">
        <f aca="false">VLOOKUP($A134,Table,MATCH(X$4,Curves,0))</f>
        <v>2</v>
      </c>
      <c r="Y134" s="129" t="n">
        <f aca="false">1/(1+CHOOSE(F$3,(X135+($K$3/10000))/2,(X134+($K$3/10000))/2))^(2*W134/365.25)</f>
        <v>4.86203282946746E-007</v>
      </c>
      <c r="Z134" s="5" t="n">
        <f aca="false">IF(AND(mthbeg&lt;=A134,mthend&gt;=A134),1,0)</f>
        <v>0</v>
      </c>
      <c r="AA134" s="5" t="n">
        <f aca="false">U134*Z134</f>
        <v>0</v>
      </c>
      <c r="AC134" s="115" t="n">
        <f aca="false">IF(G127=2,F134*(S134-Q134),F134*(Q134-S134))</f>
        <v>0</v>
      </c>
      <c r="AE134" s="116" t="n">
        <f aca="false">IF($G$3=1,F134*(R134-Q134),F134*(Q134-R134))</f>
        <v>0</v>
      </c>
      <c r="AG134" s="116" t="n">
        <f aca="false">AC134+AE134</f>
        <v>0</v>
      </c>
    </row>
    <row r="135" customFormat="false" ht="12.75" hidden="false" customHeight="false" outlineLevel="0" collapsed="false">
      <c r="A135" s="120" t="n">
        <f aca="false">EDATE(A134,1)</f>
        <v>41091</v>
      </c>
      <c r="B135" s="121" t="e">
        <f aca="false">VLOOKUP(A135,'Inputs-Summary'!$A$32:$E$41,5,FALSE())</f>
        <v>#N/A</v>
      </c>
      <c r="C135" s="122"/>
      <c r="D135" s="123" t="e">
        <f aca="false">B135+C135</f>
        <v>#N/A</v>
      </c>
      <c r="E135" s="111" t="n">
        <f aca="false">IF(Z135=0,0,IF(AND(Z135=1,$H$3=1),D135*U135,IF($H$3=2,D135,"N/A")))</f>
        <v>0</v>
      </c>
      <c r="F135" s="111" t="n">
        <f aca="false">E135*Y135</f>
        <v>0</v>
      </c>
      <c r="G135" s="124" t="n">
        <f aca="false">VLOOKUP($A135,Table,MATCH(G$4,Curves,0))</f>
        <v>3</v>
      </c>
      <c r="H135" s="125" t="n">
        <f aca="false">G135+$H$7</f>
        <v>3</v>
      </c>
      <c r="I135" s="124" t="n">
        <f aca="false">H135</f>
        <v>3</v>
      </c>
      <c r="J135" s="124" t="n">
        <f aca="false">VLOOKUP($A135,Table,MATCH(J$4,Curves,0))</f>
        <v>4</v>
      </c>
      <c r="K135" s="125" t="n">
        <f aca="false">J135+$K$7</f>
        <v>4</v>
      </c>
      <c r="L135" s="126" t="n">
        <f aca="false">K135</f>
        <v>4</v>
      </c>
      <c r="M135" s="124" t="n">
        <f aca="false">VLOOKUP($A135,Table,MATCH(M$4,Curves,0))</f>
        <v>4</v>
      </c>
      <c r="N135" s="125" t="n">
        <f aca="false">M135+$N$7</f>
        <v>4</v>
      </c>
      <c r="O135" s="126" t="n">
        <v>-0.04</v>
      </c>
      <c r="P135" s="114"/>
      <c r="Q135" s="126" t="n">
        <f aca="false">M135+J135+G135</f>
        <v>11</v>
      </c>
      <c r="R135" s="126" t="n">
        <f aca="false">N135+K135+H135</f>
        <v>11</v>
      </c>
      <c r="S135" s="126" t="n">
        <f aca="false">O135+L135+I135</f>
        <v>6.96</v>
      </c>
      <c r="T135" s="127"/>
      <c r="U135" s="5" t="n">
        <f aca="false">A136-A135</f>
        <v>31</v>
      </c>
      <c r="V135" s="128" t="n">
        <f aca="false">CHOOSE(F$3,A136+24,A135)</f>
        <v>41091</v>
      </c>
      <c r="W135" s="5" t="n">
        <f aca="false">V135-C$3</f>
        <v>3860</v>
      </c>
      <c r="X135" s="124" t="n">
        <f aca="false">VLOOKUP($A135,Table,MATCH(X$4,Curves,0))</f>
        <v>2</v>
      </c>
      <c r="Y135" s="129" t="n">
        <f aca="false">1/(1+CHOOSE(F$3,(X136+($K$3/10000))/2,(X135+($K$3/10000))/2))^(2*W135/365.25)</f>
        <v>4.33877745005368E-007</v>
      </c>
      <c r="Z135" s="5" t="n">
        <f aca="false">IF(AND(mthbeg&lt;=A135,mthend&gt;=A135),1,0)</f>
        <v>0</v>
      </c>
      <c r="AA135" s="5" t="n">
        <f aca="false">U135*Z135</f>
        <v>0</v>
      </c>
      <c r="AC135" s="115" t="n">
        <f aca="false">IF(G128=2,F135*(S135-Q135),F135*(Q135-S135))</f>
        <v>0</v>
      </c>
      <c r="AE135" s="116" t="n">
        <f aca="false">IF($G$3=1,F135*(R135-Q135),F135*(Q135-R135))</f>
        <v>0</v>
      </c>
      <c r="AG135" s="116" t="n">
        <f aca="false">AC135+AE135</f>
        <v>0</v>
      </c>
    </row>
    <row r="136" customFormat="false" ht="12.75" hidden="false" customHeight="false" outlineLevel="0" collapsed="false">
      <c r="A136" s="120" t="n">
        <f aca="false">EDATE(A135,1)</f>
        <v>41122</v>
      </c>
      <c r="B136" s="121" t="e">
        <f aca="false">VLOOKUP(A136,'Inputs-Summary'!$A$32:$E$41,5,FALSE())</f>
        <v>#N/A</v>
      </c>
      <c r="C136" s="122"/>
      <c r="D136" s="123" t="e">
        <f aca="false">B136+C136</f>
        <v>#N/A</v>
      </c>
      <c r="E136" s="111" t="n">
        <f aca="false">IF(Z136=0,0,IF(AND(Z136=1,$H$3=1),D136*U136,IF($H$3=2,D136,"N/A")))</f>
        <v>0</v>
      </c>
      <c r="F136" s="111" t="n">
        <f aca="false">E136*Y136</f>
        <v>0</v>
      </c>
      <c r="G136" s="124" t="n">
        <f aca="false">VLOOKUP($A136,Table,MATCH(G$4,Curves,0))</f>
        <v>3</v>
      </c>
      <c r="H136" s="125" t="n">
        <f aca="false">G136+$H$7</f>
        <v>3</v>
      </c>
      <c r="I136" s="124" t="n">
        <f aca="false">H136</f>
        <v>3</v>
      </c>
      <c r="J136" s="124" t="n">
        <f aca="false">VLOOKUP($A136,Table,MATCH(J$4,Curves,0))</f>
        <v>4</v>
      </c>
      <c r="K136" s="125" t="n">
        <f aca="false">J136+$K$7</f>
        <v>4</v>
      </c>
      <c r="L136" s="126" t="n">
        <f aca="false">K136</f>
        <v>4</v>
      </c>
      <c r="M136" s="124" t="n">
        <f aca="false">VLOOKUP($A136,Table,MATCH(M$4,Curves,0))</f>
        <v>4</v>
      </c>
      <c r="N136" s="125" t="n">
        <f aca="false">M136+$N$7</f>
        <v>4</v>
      </c>
      <c r="O136" s="126" t="n">
        <v>-0.04</v>
      </c>
      <c r="P136" s="114"/>
      <c r="Q136" s="126" t="n">
        <f aca="false">M136+J136+G136</f>
        <v>11</v>
      </c>
      <c r="R136" s="126" t="n">
        <f aca="false">N136+K136+H136</f>
        <v>11</v>
      </c>
      <c r="S136" s="126" t="n">
        <f aca="false">O136+L136+I136</f>
        <v>6.96</v>
      </c>
      <c r="T136" s="127"/>
      <c r="U136" s="5" t="n">
        <f aca="false">A137-A136</f>
        <v>31</v>
      </c>
      <c r="V136" s="128" t="n">
        <f aca="false">CHOOSE(F$3,A137+24,A136)</f>
        <v>41122</v>
      </c>
      <c r="W136" s="5" t="n">
        <f aca="false">V136-C$3</f>
        <v>3891</v>
      </c>
      <c r="X136" s="124" t="n">
        <f aca="false">VLOOKUP($A136,Table,MATCH(X$4,Curves,0))</f>
        <v>2</v>
      </c>
      <c r="Y136" s="129" t="n">
        <f aca="false">1/(1+CHOOSE(F$3,(X137+($K$3/10000))/2,(X136+($K$3/10000))/2))^(2*W136/365.25)</f>
        <v>3.85716761083289E-007</v>
      </c>
      <c r="Z136" s="5" t="n">
        <f aca="false">IF(AND(mthbeg&lt;=A136,mthend&gt;=A136),1,0)</f>
        <v>0</v>
      </c>
      <c r="AA136" s="5" t="n">
        <f aca="false">U136*Z136</f>
        <v>0</v>
      </c>
      <c r="AC136" s="115" t="n">
        <f aca="false">IF(G129=2,F136*(S136-Q136),F136*(Q136-S136))</f>
        <v>0</v>
      </c>
      <c r="AE136" s="116" t="n">
        <f aca="false">IF($G$3=1,F136*(R136-Q136),F136*(Q136-R136))</f>
        <v>0</v>
      </c>
      <c r="AG136" s="116" t="n">
        <f aca="false">AC136+AE136</f>
        <v>0</v>
      </c>
    </row>
    <row r="137" customFormat="false" ht="12.75" hidden="false" customHeight="false" outlineLevel="0" collapsed="false">
      <c r="A137" s="120" t="n">
        <f aca="false">EDATE(A136,1)</f>
        <v>41153</v>
      </c>
      <c r="B137" s="121" t="e">
        <f aca="false">VLOOKUP(A137,'Inputs-Summary'!$A$32:$E$41,5,FALSE())</f>
        <v>#N/A</v>
      </c>
      <c r="C137" s="122"/>
      <c r="D137" s="123" t="e">
        <f aca="false">B137+C137</f>
        <v>#N/A</v>
      </c>
      <c r="E137" s="111" t="n">
        <f aca="false">IF(Z137=0,0,IF(AND(Z137=1,$H$3=1),D137*U137,IF($H$3=2,D137,"N/A")))</f>
        <v>0</v>
      </c>
      <c r="F137" s="111" t="n">
        <f aca="false">E137*Y137</f>
        <v>0</v>
      </c>
      <c r="G137" s="124" t="n">
        <f aca="false">VLOOKUP($A137,Table,MATCH(G$4,Curves,0))</f>
        <v>3</v>
      </c>
      <c r="H137" s="125" t="n">
        <f aca="false">G137+$H$7</f>
        <v>3</v>
      </c>
      <c r="I137" s="124" t="n">
        <f aca="false">H137</f>
        <v>3</v>
      </c>
      <c r="J137" s="124" t="n">
        <f aca="false">VLOOKUP($A137,Table,MATCH(J$4,Curves,0))</f>
        <v>4</v>
      </c>
      <c r="K137" s="125" t="n">
        <f aca="false">J137+$K$7</f>
        <v>4</v>
      </c>
      <c r="L137" s="126" t="n">
        <f aca="false">K137</f>
        <v>4</v>
      </c>
      <c r="M137" s="124" t="n">
        <f aca="false">VLOOKUP($A137,Table,MATCH(M$4,Curves,0))</f>
        <v>4</v>
      </c>
      <c r="N137" s="125" t="n">
        <f aca="false">M137+$N$7</f>
        <v>4</v>
      </c>
      <c r="O137" s="126" t="n">
        <v>-0.04</v>
      </c>
      <c r="P137" s="114"/>
      <c r="Q137" s="126" t="n">
        <f aca="false">M137+J137+G137</f>
        <v>11</v>
      </c>
      <c r="R137" s="126" t="n">
        <f aca="false">N137+K137+H137</f>
        <v>11</v>
      </c>
      <c r="S137" s="126" t="n">
        <f aca="false">O137+L137+I137</f>
        <v>6.96</v>
      </c>
      <c r="T137" s="127"/>
      <c r="U137" s="5" t="n">
        <f aca="false">A138-A137</f>
        <v>30</v>
      </c>
      <c r="V137" s="128" t="n">
        <f aca="false">CHOOSE(F$3,A138+24,A137)</f>
        <v>41153</v>
      </c>
      <c r="W137" s="5" t="n">
        <f aca="false">V137-C$3</f>
        <v>3922</v>
      </c>
      <c r="X137" s="124" t="n">
        <f aca="false">VLOOKUP($A137,Table,MATCH(X$4,Curves,0))</f>
        <v>2</v>
      </c>
      <c r="Y137" s="129" t="n">
        <f aca="false">1/(1+CHOOSE(F$3,(X138+($K$3/10000))/2,(X137+($K$3/10000))/2))^(2*W137/365.25)</f>
        <v>3.42901707896407E-007</v>
      </c>
      <c r="Z137" s="5" t="n">
        <f aca="false">IF(AND(mthbeg&lt;=A137,mthend&gt;=A137),1,0)</f>
        <v>0</v>
      </c>
      <c r="AA137" s="5" t="n">
        <f aca="false">U137*Z137</f>
        <v>0</v>
      </c>
      <c r="AC137" s="115" t="n">
        <f aca="false">IF(G130=2,F137*(S137-Q137),F137*(Q137-S137))</f>
        <v>0</v>
      </c>
      <c r="AE137" s="116" t="n">
        <f aca="false">IF($G$3=1,F137*(R137-Q137),F137*(Q137-R137))</f>
        <v>0</v>
      </c>
      <c r="AG137" s="116" t="n">
        <f aca="false">AC137+AE137</f>
        <v>0</v>
      </c>
    </row>
    <row r="138" customFormat="false" ht="12.75" hidden="false" customHeight="false" outlineLevel="0" collapsed="false">
      <c r="A138" s="120" t="n">
        <f aca="false">EDATE(A137,1)</f>
        <v>41183</v>
      </c>
      <c r="B138" s="121" t="e">
        <f aca="false">VLOOKUP(A138,'Inputs-Summary'!$A$32:$E$41,5,FALSE())</f>
        <v>#N/A</v>
      </c>
      <c r="C138" s="122"/>
      <c r="D138" s="123" t="e">
        <f aca="false">B138+C138</f>
        <v>#N/A</v>
      </c>
      <c r="E138" s="111" t="n">
        <f aca="false">IF(Z138=0,0,IF(AND(Z138=1,$H$3=1),D138*U138,IF($H$3=2,D138,"N/A")))</f>
        <v>0</v>
      </c>
      <c r="F138" s="111" t="n">
        <f aca="false">E138*Y138</f>
        <v>0</v>
      </c>
      <c r="G138" s="124" t="n">
        <f aca="false">VLOOKUP($A138,Table,MATCH(G$4,Curves,0))</f>
        <v>3</v>
      </c>
      <c r="H138" s="125" t="n">
        <f aca="false">G138+$H$7</f>
        <v>3</v>
      </c>
      <c r="I138" s="124" t="n">
        <f aca="false">H138</f>
        <v>3</v>
      </c>
      <c r="J138" s="124" t="n">
        <f aca="false">VLOOKUP($A138,Table,MATCH(J$4,Curves,0))</f>
        <v>4</v>
      </c>
      <c r="K138" s="125" t="n">
        <f aca="false">J138+$K$7</f>
        <v>4</v>
      </c>
      <c r="L138" s="126" t="n">
        <f aca="false">K138</f>
        <v>4</v>
      </c>
      <c r="M138" s="124" t="n">
        <f aca="false">VLOOKUP($A138,Table,MATCH(M$4,Curves,0))</f>
        <v>4</v>
      </c>
      <c r="N138" s="125" t="n">
        <f aca="false">M138+$N$7</f>
        <v>4</v>
      </c>
      <c r="O138" s="126" t="n">
        <v>-0.04</v>
      </c>
      <c r="P138" s="114"/>
      <c r="Q138" s="126" t="n">
        <f aca="false">M138+J138+G138</f>
        <v>11</v>
      </c>
      <c r="R138" s="126" t="n">
        <f aca="false">N138+K138+H138</f>
        <v>11</v>
      </c>
      <c r="S138" s="126" t="n">
        <f aca="false">O138+L138+I138</f>
        <v>6.96</v>
      </c>
      <c r="T138" s="127"/>
      <c r="U138" s="5" t="n">
        <f aca="false">A139-A138</f>
        <v>31</v>
      </c>
      <c r="V138" s="128" t="n">
        <f aca="false">CHOOSE(F$3,A139+24,A138)</f>
        <v>41183</v>
      </c>
      <c r="W138" s="5" t="n">
        <f aca="false">V138-C$3</f>
        <v>3952</v>
      </c>
      <c r="X138" s="124" t="n">
        <f aca="false">VLOOKUP($A138,Table,MATCH(X$4,Curves,0))</f>
        <v>2</v>
      </c>
      <c r="Y138" s="129" t="n">
        <f aca="false">1/(1+CHOOSE(F$3,(X139+($K$3/10000))/2,(X138+($K$3/10000))/2))^(2*W138/365.25)</f>
        <v>3.05998385858038E-007</v>
      </c>
      <c r="Z138" s="5" t="n">
        <f aca="false">IF(AND(mthbeg&lt;=A138,mthend&gt;=A138),1,0)</f>
        <v>0</v>
      </c>
      <c r="AA138" s="5" t="n">
        <f aca="false">U138*Z138</f>
        <v>0</v>
      </c>
      <c r="AC138" s="115" t="n">
        <f aca="false">IF(G131=2,F138*(S138-Q138),F138*(Q138-S138))</f>
        <v>0</v>
      </c>
      <c r="AE138" s="116" t="n">
        <f aca="false">IF($G$3=1,F138*(R138-Q138),F138*(Q138-R138))</f>
        <v>0</v>
      </c>
      <c r="AG138" s="116" t="n">
        <f aca="false">AC138+AE138</f>
        <v>0</v>
      </c>
    </row>
    <row r="139" customFormat="false" ht="12.75" hidden="false" customHeight="false" outlineLevel="0" collapsed="false">
      <c r="A139" s="120" t="n">
        <f aca="false">EDATE(A138,1)</f>
        <v>41214</v>
      </c>
      <c r="B139" s="121" t="e">
        <f aca="false">VLOOKUP(A139,'Inputs-Summary'!$A$32:$E$41,5,FALSE())</f>
        <v>#N/A</v>
      </c>
      <c r="C139" s="122"/>
      <c r="D139" s="123" t="e">
        <f aca="false">B139+C139</f>
        <v>#N/A</v>
      </c>
      <c r="E139" s="111" t="n">
        <f aca="false">IF(Z139=0,0,IF(AND(Z139=1,$H$3=1),D139*U139,IF($H$3=2,D139,"N/A")))</f>
        <v>0</v>
      </c>
      <c r="F139" s="111" t="n">
        <f aca="false">E139*Y139</f>
        <v>0</v>
      </c>
      <c r="G139" s="124" t="n">
        <f aca="false">VLOOKUP($A139,Table,MATCH(G$4,Curves,0))</f>
        <v>3</v>
      </c>
      <c r="H139" s="125" t="n">
        <f aca="false">G139+$H$7</f>
        <v>3</v>
      </c>
      <c r="I139" s="124" t="n">
        <f aca="false">H139</f>
        <v>3</v>
      </c>
      <c r="J139" s="124" t="n">
        <f aca="false">VLOOKUP($A139,Table,MATCH(J$4,Curves,0))</f>
        <v>4</v>
      </c>
      <c r="K139" s="125" t="n">
        <f aca="false">J139+$K$7</f>
        <v>4</v>
      </c>
      <c r="L139" s="126" t="n">
        <f aca="false">K139</f>
        <v>4</v>
      </c>
      <c r="M139" s="124" t="n">
        <f aca="false">VLOOKUP($A139,Table,MATCH(M$4,Curves,0))</f>
        <v>4</v>
      </c>
      <c r="N139" s="125" t="n">
        <f aca="false">M139+$N$7</f>
        <v>4</v>
      </c>
      <c r="O139" s="126" t="n">
        <v>-0.04</v>
      </c>
      <c r="P139" s="114"/>
      <c r="Q139" s="126" t="n">
        <f aca="false">M139+J139+G139</f>
        <v>11</v>
      </c>
      <c r="R139" s="126" t="n">
        <f aca="false">N139+K139+H139</f>
        <v>11</v>
      </c>
      <c r="S139" s="126" t="n">
        <f aca="false">O139+L139+I139</f>
        <v>6.96</v>
      </c>
      <c r="T139" s="127"/>
      <c r="U139" s="5" t="n">
        <f aca="false">A140-A139</f>
        <v>30</v>
      </c>
      <c r="V139" s="128" t="n">
        <f aca="false">CHOOSE(F$3,A140+24,A139)</f>
        <v>41214</v>
      </c>
      <c r="W139" s="5" t="n">
        <f aca="false">V139-C$3</f>
        <v>3983</v>
      </c>
      <c r="X139" s="124" t="n">
        <f aca="false">VLOOKUP($A139,Table,MATCH(X$4,Curves,0))</f>
        <v>2</v>
      </c>
      <c r="Y139" s="129" t="n">
        <f aca="false">1/(1+CHOOSE(F$3,(X140+($K$3/10000))/2,(X139+($K$3/10000))/2))^(2*W139/365.25)</f>
        <v>2.72032174151768E-007</v>
      </c>
      <c r="Z139" s="5" t="n">
        <f aca="false">IF(AND(mthbeg&lt;=A139,mthend&gt;=A139),1,0)</f>
        <v>0</v>
      </c>
      <c r="AA139" s="5" t="n">
        <f aca="false">U139*Z139</f>
        <v>0</v>
      </c>
      <c r="AC139" s="115" t="n">
        <f aca="false">IF(G132=2,F139*(S139-Q139),F139*(Q139-S139))</f>
        <v>0</v>
      </c>
      <c r="AE139" s="116" t="n">
        <f aca="false">IF($G$3=1,F139*(R139-Q139),F139*(Q139-R139))</f>
        <v>0</v>
      </c>
      <c r="AG139" s="116" t="n">
        <f aca="false">AC139+AE139</f>
        <v>0</v>
      </c>
    </row>
    <row r="140" customFormat="false" ht="12.75" hidden="false" customHeight="false" outlineLevel="0" collapsed="false">
      <c r="A140" s="120" t="n">
        <f aca="false">EDATE(A139,1)</f>
        <v>41244</v>
      </c>
      <c r="B140" s="121" t="e">
        <f aca="false">VLOOKUP(A140,'Inputs-Summary'!$A$32:$E$41,5,FALSE())</f>
        <v>#N/A</v>
      </c>
      <c r="C140" s="122"/>
      <c r="D140" s="123" t="e">
        <f aca="false">B140+C140</f>
        <v>#N/A</v>
      </c>
      <c r="E140" s="111" t="n">
        <f aca="false">IF(Z140=0,0,IF(AND(Z140=1,$H$3=1),D140*U140,IF($H$3=2,D140,"N/A")))</f>
        <v>0</v>
      </c>
      <c r="F140" s="111" t="n">
        <f aca="false">E140*Y140</f>
        <v>0</v>
      </c>
      <c r="G140" s="124" t="n">
        <f aca="false">VLOOKUP($A140,Table,MATCH(G$4,Curves,0))</f>
        <v>3</v>
      </c>
      <c r="H140" s="125" t="n">
        <f aca="false">G140+$H$7</f>
        <v>3</v>
      </c>
      <c r="I140" s="124" t="n">
        <f aca="false">H140</f>
        <v>3</v>
      </c>
      <c r="J140" s="124" t="n">
        <f aca="false">VLOOKUP($A140,Table,MATCH(J$4,Curves,0))</f>
        <v>4</v>
      </c>
      <c r="K140" s="125" t="n">
        <f aca="false">J140+$K$7</f>
        <v>4</v>
      </c>
      <c r="L140" s="126" t="n">
        <f aca="false">K140</f>
        <v>4</v>
      </c>
      <c r="M140" s="124" t="n">
        <f aca="false">VLOOKUP($A140,Table,MATCH(M$4,Curves,0))</f>
        <v>4</v>
      </c>
      <c r="N140" s="125" t="n">
        <f aca="false">M140+$N$7</f>
        <v>4</v>
      </c>
      <c r="O140" s="126" t="n">
        <v>-0.04</v>
      </c>
      <c r="P140" s="114"/>
      <c r="Q140" s="126" t="n">
        <f aca="false">M140+J140+G140</f>
        <v>11</v>
      </c>
      <c r="R140" s="126" t="n">
        <f aca="false">N140+K140+H140</f>
        <v>11</v>
      </c>
      <c r="S140" s="126" t="n">
        <f aca="false">O140+L140+I140</f>
        <v>6.96</v>
      </c>
      <c r="T140" s="127"/>
      <c r="U140" s="5" t="n">
        <f aca="false">A141-A140</f>
        <v>31</v>
      </c>
      <c r="V140" s="128" t="n">
        <f aca="false">CHOOSE(F$3,A141+24,A140)</f>
        <v>41244</v>
      </c>
      <c r="W140" s="5" t="n">
        <f aca="false">V140-C$3</f>
        <v>4013</v>
      </c>
      <c r="X140" s="124" t="n">
        <f aca="false">VLOOKUP($A140,Table,MATCH(X$4,Curves,0))</f>
        <v>2</v>
      </c>
      <c r="Y140" s="129" t="n">
        <f aca="false">1/(1+CHOOSE(F$3,(X141+($K$3/10000))/2,(X140+($K$3/10000))/2))^(2*W140/365.25)</f>
        <v>2.42755880985699E-007</v>
      </c>
      <c r="Z140" s="5" t="n">
        <f aca="false">IF(AND(mthbeg&lt;=A140,mthend&gt;=A140),1,0)</f>
        <v>0</v>
      </c>
      <c r="AA140" s="5" t="n">
        <f aca="false">U140*Z140</f>
        <v>0</v>
      </c>
      <c r="AC140" s="115" t="n">
        <f aca="false">IF(G133=2,F140*(S140-Q140),F140*(Q140-S140))</f>
        <v>0</v>
      </c>
      <c r="AE140" s="116" t="n">
        <f aca="false">IF($G$3=1,F140*(R140-Q140),F140*(Q140-R140))</f>
        <v>0</v>
      </c>
      <c r="AG140" s="116" t="n">
        <f aca="false">AC140+AE140</f>
        <v>0</v>
      </c>
    </row>
    <row r="141" customFormat="false" ht="12.75" hidden="false" customHeight="false" outlineLevel="0" collapsed="false">
      <c r="A141" s="120" t="n">
        <f aca="false">EDATE(A140,1)</f>
        <v>41275</v>
      </c>
      <c r="B141" s="121" t="e">
        <f aca="false">VLOOKUP(A141,'Inputs-Summary'!$A$32:$E$41,5,FALSE())</f>
        <v>#N/A</v>
      </c>
      <c r="C141" s="122"/>
      <c r="D141" s="123" t="e">
        <f aca="false">B141+C141</f>
        <v>#N/A</v>
      </c>
      <c r="E141" s="111" t="n">
        <f aca="false">IF(Z141=0,0,IF(AND(Z141=1,$H$3=1),D141*U141,IF($H$3=2,D141,"N/A")))</f>
        <v>0</v>
      </c>
      <c r="F141" s="111" t="n">
        <f aca="false">E141*Y141</f>
        <v>0</v>
      </c>
      <c r="G141" s="124" t="n">
        <f aca="false">VLOOKUP($A141,Table,MATCH(G$4,Curves,0))</f>
        <v>3</v>
      </c>
      <c r="H141" s="125" t="n">
        <f aca="false">G141+$H$7</f>
        <v>3</v>
      </c>
      <c r="I141" s="124" t="n">
        <f aca="false">H141</f>
        <v>3</v>
      </c>
      <c r="J141" s="124" t="n">
        <f aca="false">VLOOKUP($A141,Table,MATCH(J$4,Curves,0))</f>
        <v>4</v>
      </c>
      <c r="K141" s="125" t="n">
        <f aca="false">J141+$K$7</f>
        <v>4</v>
      </c>
      <c r="L141" s="126" t="n">
        <f aca="false">K141</f>
        <v>4</v>
      </c>
      <c r="M141" s="124" t="n">
        <f aca="false">VLOOKUP($A141,Table,MATCH(M$4,Curves,0))</f>
        <v>4</v>
      </c>
      <c r="N141" s="125" t="n">
        <f aca="false">M141+$N$7</f>
        <v>4</v>
      </c>
      <c r="O141" s="126" t="n">
        <v>-0.04</v>
      </c>
      <c r="P141" s="114"/>
      <c r="Q141" s="126" t="n">
        <f aca="false">M141+J141+G141</f>
        <v>11</v>
      </c>
      <c r="R141" s="126" t="n">
        <f aca="false">N141+K141+H141</f>
        <v>11</v>
      </c>
      <c r="S141" s="126" t="n">
        <f aca="false">O141+L141+I141</f>
        <v>6.96</v>
      </c>
      <c r="T141" s="127"/>
      <c r="U141" s="5" t="n">
        <f aca="false">A142-A141</f>
        <v>31</v>
      </c>
      <c r="V141" s="128" t="n">
        <f aca="false">CHOOSE(F$3,A142+24,A141)</f>
        <v>41275</v>
      </c>
      <c r="W141" s="5" t="n">
        <f aca="false">V141-C$3</f>
        <v>4044</v>
      </c>
      <c r="X141" s="124" t="n">
        <f aca="false">VLOOKUP($A141,Table,MATCH(X$4,Curves,0))</f>
        <v>2</v>
      </c>
      <c r="Y141" s="129" t="n">
        <f aca="false">1/(1+CHOOSE(F$3,(X142+($K$3/10000))/2,(X141+($K$3/10000))/2))^(2*W141/365.25)</f>
        <v>2.15809668104931E-007</v>
      </c>
      <c r="Z141" s="5" t="n">
        <f aca="false">IF(AND(mthbeg&lt;=A141,mthend&gt;=A141),1,0)</f>
        <v>0</v>
      </c>
      <c r="AA141" s="5" t="n">
        <f aca="false">U141*Z141</f>
        <v>0</v>
      </c>
      <c r="AC141" s="115" t="n">
        <f aca="false">IF(G134=2,F141*(S141-Q141),F141*(Q141-S141))</f>
        <v>0</v>
      </c>
      <c r="AE141" s="116" t="n">
        <f aca="false">IF($G$3=1,F141*(R141-Q141),F141*(Q141-R141))</f>
        <v>0</v>
      </c>
      <c r="AG141" s="116" t="n">
        <f aca="false">AC141+AE141</f>
        <v>0</v>
      </c>
    </row>
    <row r="142" customFormat="false" ht="12.75" hidden="false" customHeight="false" outlineLevel="0" collapsed="false">
      <c r="A142" s="120" t="n">
        <f aca="false">EDATE(A141,1)</f>
        <v>41306</v>
      </c>
      <c r="B142" s="121" t="e">
        <f aca="false">VLOOKUP(A142,'Inputs-Summary'!$A$32:$E$41,5,FALSE())</f>
        <v>#N/A</v>
      </c>
      <c r="C142" s="122"/>
      <c r="D142" s="123" t="e">
        <f aca="false">B142+C142</f>
        <v>#N/A</v>
      </c>
      <c r="E142" s="111" t="n">
        <f aca="false">IF(Z142=0,0,IF(AND(Z142=1,$H$3=1),D142*U142,IF($H$3=2,D142,"N/A")))</f>
        <v>0</v>
      </c>
      <c r="F142" s="111" t="n">
        <f aca="false">E142*Y142</f>
        <v>0</v>
      </c>
      <c r="G142" s="124" t="n">
        <f aca="false">VLOOKUP($A142,Table,MATCH(G$4,Curves,0))</f>
        <v>3</v>
      </c>
      <c r="H142" s="125" t="n">
        <f aca="false">G142+$H$7</f>
        <v>3</v>
      </c>
      <c r="I142" s="124" t="n">
        <f aca="false">H142</f>
        <v>3</v>
      </c>
      <c r="J142" s="124" t="n">
        <f aca="false">VLOOKUP($A142,Table,MATCH(J$4,Curves,0))</f>
        <v>4</v>
      </c>
      <c r="K142" s="125" t="n">
        <f aca="false">J142+$K$7</f>
        <v>4</v>
      </c>
      <c r="L142" s="126" t="n">
        <f aca="false">K142</f>
        <v>4</v>
      </c>
      <c r="M142" s="124" t="n">
        <f aca="false">VLOOKUP($A142,Table,MATCH(M$4,Curves,0))</f>
        <v>4</v>
      </c>
      <c r="N142" s="125" t="n">
        <f aca="false">M142+$N$7</f>
        <v>4</v>
      </c>
      <c r="O142" s="126" t="n">
        <v>-0.04</v>
      </c>
      <c r="P142" s="114"/>
      <c r="Q142" s="126" t="n">
        <f aca="false">M142+J142+G142</f>
        <v>11</v>
      </c>
      <c r="R142" s="126" t="n">
        <f aca="false">N142+K142+H142</f>
        <v>11</v>
      </c>
      <c r="S142" s="126" t="n">
        <f aca="false">O142+L142+I142</f>
        <v>6.96</v>
      </c>
      <c r="T142" s="127"/>
      <c r="U142" s="5" t="n">
        <f aca="false">A143-A142</f>
        <v>28</v>
      </c>
      <c r="V142" s="128" t="n">
        <f aca="false">CHOOSE(F$3,A143+24,A142)</f>
        <v>41306</v>
      </c>
      <c r="W142" s="5" t="n">
        <f aca="false">V142-C$3</f>
        <v>4075</v>
      </c>
      <c r="X142" s="124" t="n">
        <f aca="false">VLOOKUP($A142,Table,MATCH(X$4,Curves,0))</f>
        <v>2</v>
      </c>
      <c r="Y142" s="129" t="n">
        <f aca="false">1/(1+CHOOSE(F$3,(X143+($K$3/10000))/2,(X142+($K$3/10000))/2))^(2*W142/365.25)</f>
        <v>1.91854519274464E-007</v>
      </c>
      <c r="Z142" s="5" t="n">
        <f aca="false">IF(AND(mthbeg&lt;=A142,mthend&gt;=A142),1,0)</f>
        <v>0</v>
      </c>
      <c r="AA142" s="5" t="n">
        <f aca="false">U142*Z142</f>
        <v>0</v>
      </c>
      <c r="AC142" s="115" t="n">
        <f aca="false">IF(G135=2,F142*(S142-Q142),F142*(Q142-S142))</f>
        <v>0</v>
      </c>
      <c r="AE142" s="116" t="n">
        <f aca="false">IF($G$3=1,F142*(R142-Q142),F142*(Q142-R142))</f>
        <v>0</v>
      </c>
      <c r="AG142" s="116" t="n">
        <f aca="false">AC142+AE142</f>
        <v>0</v>
      </c>
    </row>
    <row r="143" customFormat="false" ht="12.75" hidden="false" customHeight="false" outlineLevel="0" collapsed="false">
      <c r="A143" s="120" t="n">
        <f aca="false">EDATE(A142,1)</f>
        <v>41334</v>
      </c>
      <c r="B143" s="121" t="e">
        <f aca="false">VLOOKUP(A143,'Inputs-Summary'!$A$32:$E$41,5,FALSE())</f>
        <v>#N/A</v>
      </c>
      <c r="C143" s="122"/>
      <c r="D143" s="123" t="e">
        <f aca="false">B143+C143</f>
        <v>#N/A</v>
      </c>
      <c r="E143" s="111" t="n">
        <f aca="false">IF(Z143=0,0,IF(AND(Z143=1,$H$3=1),D143*U143,IF($H$3=2,D143,"N/A")))</f>
        <v>0</v>
      </c>
      <c r="F143" s="111" t="n">
        <f aca="false">E143*Y143</f>
        <v>0</v>
      </c>
      <c r="G143" s="124" t="n">
        <f aca="false">VLOOKUP($A143,Table,MATCH(G$4,Curves,0))</f>
        <v>3</v>
      </c>
      <c r="H143" s="125" t="n">
        <f aca="false">G143+$H$7</f>
        <v>3</v>
      </c>
      <c r="I143" s="124" t="n">
        <f aca="false">H143</f>
        <v>3</v>
      </c>
      <c r="J143" s="124" t="n">
        <f aca="false">VLOOKUP($A143,Table,MATCH(J$4,Curves,0))</f>
        <v>4</v>
      </c>
      <c r="K143" s="125" t="n">
        <f aca="false">J143+$K$7</f>
        <v>4</v>
      </c>
      <c r="L143" s="126" t="n">
        <f aca="false">K143</f>
        <v>4</v>
      </c>
      <c r="M143" s="124" t="n">
        <f aca="false">VLOOKUP($A143,Table,MATCH(M$4,Curves,0))</f>
        <v>4</v>
      </c>
      <c r="N143" s="125" t="n">
        <f aca="false">M143+$N$7</f>
        <v>4</v>
      </c>
      <c r="O143" s="126" t="n">
        <v>-0.04</v>
      </c>
      <c r="P143" s="114"/>
      <c r="Q143" s="126" t="n">
        <f aca="false">M143+J143+G143</f>
        <v>11</v>
      </c>
      <c r="R143" s="126" t="n">
        <f aca="false">N143+K143+H143</f>
        <v>11</v>
      </c>
      <c r="S143" s="126" t="n">
        <f aca="false">O143+L143+I143</f>
        <v>6.96</v>
      </c>
      <c r="T143" s="127"/>
      <c r="U143" s="5" t="n">
        <f aca="false">A144-A143</f>
        <v>31</v>
      </c>
      <c r="V143" s="128" t="n">
        <f aca="false">CHOOSE(F$3,A144+24,A143)</f>
        <v>41334</v>
      </c>
      <c r="W143" s="5" t="n">
        <f aca="false">V143-C$3</f>
        <v>4103</v>
      </c>
      <c r="X143" s="124" t="n">
        <f aca="false">VLOOKUP($A143,Table,MATCH(X$4,Curves,0))</f>
        <v>2</v>
      </c>
      <c r="Y143" s="129" t="n">
        <f aca="false">1/(1+CHOOSE(F$3,(X144+($K$3/10000))/2,(X143+($K$3/10000))/2))^(2*W143/365.25)</f>
        <v>1.72511567757813E-007</v>
      </c>
      <c r="Z143" s="5" t="n">
        <f aca="false">IF(AND(mthbeg&lt;=A143,mthend&gt;=A143),1,0)</f>
        <v>0</v>
      </c>
      <c r="AA143" s="5" t="n">
        <f aca="false">U143*Z143</f>
        <v>0</v>
      </c>
      <c r="AC143" s="115" t="n">
        <f aca="false">IF(G136=2,F143*(S143-Q143),F143*(Q143-S143))</f>
        <v>0</v>
      </c>
      <c r="AE143" s="116" t="n">
        <f aca="false">IF($G$3=1,F143*(R143-Q143),F143*(Q143-R143))</f>
        <v>0</v>
      </c>
      <c r="AG143" s="116" t="n">
        <f aca="false">AC143+AE143</f>
        <v>0</v>
      </c>
    </row>
    <row r="144" customFormat="false" ht="12.75" hidden="false" customHeight="false" outlineLevel="0" collapsed="false">
      <c r="A144" s="120" t="n">
        <f aca="false">EDATE(A143,1)</f>
        <v>41365</v>
      </c>
      <c r="B144" s="121" t="e">
        <f aca="false">VLOOKUP(A144,'Inputs-Summary'!$A$32:$E$41,5,FALSE())</f>
        <v>#N/A</v>
      </c>
      <c r="C144" s="122"/>
      <c r="D144" s="123" t="e">
        <f aca="false">B144+C144</f>
        <v>#N/A</v>
      </c>
      <c r="E144" s="111" t="n">
        <f aca="false">IF(Z144=0,0,IF(AND(Z144=1,$H$3=1),D144*U144,IF($H$3=2,D144,"N/A")))</f>
        <v>0</v>
      </c>
      <c r="F144" s="111" t="n">
        <f aca="false">E144*Y144</f>
        <v>0</v>
      </c>
      <c r="G144" s="124" t="n">
        <f aca="false">VLOOKUP($A144,Table,MATCH(G$4,Curves,0))</f>
        <v>3</v>
      </c>
      <c r="H144" s="125" t="n">
        <f aca="false">G144+$H$7</f>
        <v>3</v>
      </c>
      <c r="I144" s="124" t="n">
        <f aca="false">H144</f>
        <v>3</v>
      </c>
      <c r="J144" s="124" t="n">
        <f aca="false">VLOOKUP($A144,Table,MATCH(J$4,Curves,0))</f>
        <v>4</v>
      </c>
      <c r="K144" s="125" t="n">
        <f aca="false">J144+$K$7</f>
        <v>4</v>
      </c>
      <c r="L144" s="126" t="n">
        <f aca="false">K144</f>
        <v>4</v>
      </c>
      <c r="M144" s="124" t="n">
        <f aca="false">VLOOKUP($A144,Table,MATCH(M$4,Curves,0))</f>
        <v>4</v>
      </c>
      <c r="N144" s="125" t="n">
        <f aca="false">M144+$N$7</f>
        <v>4</v>
      </c>
      <c r="O144" s="126" t="n">
        <v>-0.04</v>
      </c>
      <c r="P144" s="114"/>
      <c r="Q144" s="126" t="n">
        <f aca="false">M144+J144+G144</f>
        <v>11</v>
      </c>
      <c r="R144" s="126" t="n">
        <f aca="false">N144+K144+H144</f>
        <v>11</v>
      </c>
      <c r="S144" s="126" t="n">
        <f aca="false">O144+L144+I144</f>
        <v>6.96</v>
      </c>
      <c r="T144" s="127"/>
      <c r="U144" s="5" t="n">
        <f aca="false">A145-A144</f>
        <v>30</v>
      </c>
      <c r="V144" s="128" t="n">
        <f aca="false">CHOOSE(F$3,A145+24,A144)</f>
        <v>41365</v>
      </c>
      <c r="W144" s="5" t="n">
        <f aca="false">V144-C$3</f>
        <v>4134</v>
      </c>
      <c r="X144" s="124" t="n">
        <f aca="false">VLOOKUP($A144,Table,MATCH(X$4,Curves,0))</f>
        <v>2</v>
      </c>
      <c r="Y144" s="129" t="n">
        <f aca="false">1/(1+CHOOSE(F$3,(X145+($K$3/10000))/2,(X144+($K$3/10000))/2))^(2*W144/365.25)</f>
        <v>1.53362563373977E-007</v>
      </c>
      <c r="Z144" s="5" t="n">
        <f aca="false">IF(AND(mthbeg&lt;=A144,mthend&gt;=A144),1,0)</f>
        <v>0</v>
      </c>
      <c r="AA144" s="5" t="n">
        <f aca="false">U144*Z144</f>
        <v>0</v>
      </c>
      <c r="AC144" s="115" t="n">
        <f aca="false">IF(G137=2,F144*(S144-Q144),F144*(Q144-S144))</f>
        <v>0</v>
      </c>
      <c r="AE144" s="116" t="n">
        <f aca="false">IF($G$3=1,F144*(R144-Q144),F144*(Q144-R144))</f>
        <v>0</v>
      </c>
      <c r="AG144" s="116" t="n">
        <f aca="false">AC144+AE144</f>
        <v>0</v>
      </c>
    </row>
    <row r="145" customFormat="false" ht="12.75" hidden="false" customHeight="false" outlineLevel="0" collapsed="false">
      <c r="A145" s="120" t="n">
        <f aca="false">EDATE(A144,1)</f>
        <v>41395</v>
      </c>
      <c r="B145" s="121" t="e">
        <f aca="false">VLOOKUP(A145,'Inputs-Summary'!$A$32:$E$41,5,FALSE())</f>
        <v>#N/A</v>
      </c>
      <c r="C145" s="122"/>
      <c r="D145" s="123" t="e">
        <f aca="false">B145+C145</f>
        <v>#N/A</v>
      </c>
      <c r="E145" s="111" t="n">
        <f aca="false">IF(Z145=0,0,IF(AND(Z145=1,$H$3=1),D145*U145,IF($H$3=2,D145,"N/A")))</f>
        <v>0</v>
      </c>
      <c r="F145" s="111" t="n">
        <f aca="false">E145*Y145</f>
        <v>0</v>
      </c>
      <c r="G145" s="124" t="n">
        <f aca="false">VLOOKUP($A145,Table,MATCH(G$4,Curves,0))</f>
        <v>3</v>
      </c>
      <c r="H145" s="125" t="n">
        <f aca="false">G145+$H$7</f>
        <v>3</v>
      </c>
      <c r="I145" s="124" t="n">
        <f aca="false">H145</f>
        <v>3</v>
      </c>
      <c r="J145" s="124" t="n">
        <f aca="false">VLOOKUP($A145,Table,MATCH(J$4,Curves,0))</f>
        <v>4</v>
      </c>
      <c r="K145" s="125" t="n">
        <f aca="false">J145+$K$7</f>
        <v>4</v>
      </c>
      <c r="L145" s="126" t="n">
        <f aca="false">K145</f>
        <v>4</v>
      </c>
      <c r="M145" s="124" t="n">
        <f aca="false">VLOOKUP($A145,Table,MATCH(M$4,Curves,0))</f>
        <v>4</v>
      </c>
      <c r="N145" s="125" t="n">
        <f aca="false">M145+$N$7</f>
        <v>4</v>
      </c>
      <c r="O145" s="126" t="n">
        <v>-0.04</v>
      </c>
      <c r="P145" s="114"/>
      <c r="Q145" s="126" t="n">
        <f aca="false">M145+J145+G145</f>
        <v>11</v>
      </c>
      <c r="R145" s="126" t="n">
        <f aca="false">N145+K145+H145</f>
        <v>11</v>
      </c>
      <c r="S145" s="126" t="n">
        <f aca="false">O145+L145+I145</f>
        <v>6.96</v>
      </c>
      <c r="T145" s="127"/>
      <c r="U145" s="5" t="n">
        <f aca="false">A146-A145</f>
        <v>31</v>
      </c>
      <c r="V145" s="128" t="n">
        <f aca="false">CHOOSE(F$3,A146+24,A145)</f>
        <v>41395</v>
      </c>
      <c r="W145" s="5" t="n">
        <f aca="false">V145-C$3</f>
        <v>4164</v>
      </c>
      <c r="X145" s="124" t="n">
        <f aca="false">VLOOKUP($A145,Table,MATCH(X$4,Curves,0))</f>
        <v>2</v>
      </c>
      <c r="Y145" s="129" t="n">
        <f aca="false">1/(1+CHOOSE(F$3,(X146+($K$3/10000))/2,(X145+($K$3/10000))/2))^(2*W145/365.25)</f>
        <v>1.36857576858921E-007</v>
      </c>
      <c r="Z145" s="5" t="n">
        <f aca="false">IF(AND(mthbeg&lt;=A145,mthend&gt;=A145),1,0)</f>
        <v>0</v>
      </c>
      <c r="AA145" s="5" t="n">
        <f aca="false">U145*Z145</f>
        <v>0</v>
      </c>
      <c r="AC145" s="115" t="n">
        <f aca="false">IF(G138=2,F145*(S145-Q145),F145*(Q145-S145))</f>
        <v>0</v>
      </c>
      <c r="AE145" s="116" t="n">
        <f aca="false">IF($G$3=1,F145*(R145-Q145),F145*(Q145-R145))</f>
        <v>0</v>
      </c>
      <c r="AG145" s="116" t="n">
        <f aca="false">AC145+AE145</f>
        <v>0</v>
      </c>
    </row>
    <row r="146" customFormat="false" ht="12.75" hidden="false" customHeight="false" outlineLevel="0" collapsed="false">
      <c r="A146" s="120" t="n">
        <f aca="false">EDATE(A145,1)</f>
        <v>41426</v>
      </c>
      <c r="B146" s="121" t="e">
        <f aca="false">VLOOKUP(A146,'Inputs-Summary'!$A$32:$E$41,5,FALSE())</f>
        <v>#N/A</v>
      </c>
      <c r="C146" s="122"/>
      <c r="D146" s="123" t="e">
        <f aca="false">B146+C146</f>
        <v>#N/A</v>
      </c>
      <c r="E146" s="111" t="n">
        <f aca="false">IF(Z146=0,0,IF(AND(Z146=1,$H$3=1),D146*U146,IF($H$3=2,D146,"N/A")))</f>
        <v>0</v>
      </c>
      <c r="F146" s="111" t="n">
        <f aca="false">E146*Y146</f>
        <v>0</v>
      </c>
      <c r="G146" s="124" t="n">
        <f aca="false">VLOOKUP($A146,Table,MATCH(G$4,Curves,0))</f>
        <v>3</v>
      </c>
      <c r="H146" s="125" t="n">
        <f aca="false">G146+$H$7</f>
        <v>3</v>
      </c>
      <c r="I146" s="124" t="n">
        <f aca="false">H146</f>
        <v>3</v>
      </c>
      <c r="J146" s="124" t="n">
        <f aca="false">VLOOKUP($A146,Table,MATCH(J$4,Curves,0))</f>
        <v>4</v>
      </c>
      <c r="K146" s="125" t="n">
        <f aca="false">J146+$K$7</f>
        <v>4</v>
      </c>
      <c r="L146" s="126" t="n">
        <f aca="false">K146</f>
        <v>4</v>
      </c>
      <c r="M146" s="124" t="n">
        <f aca="false">VLOOKUP($A146,Table,MATCH(M$4,Curves,0))</f>
        <v>4</v>
      </c>
      <c r="N146" s="125" t="n">
        <f aca="false">M146+$N$7</f>
        <v>4</v>
      </c>
      <c r="O146" s="126" t="n">
        <v>-0.04</v>
      </c>
      <c r="P146" s="114"/>
      <c r="Q146" s="126" t="n">
        <f aca="false">M146+J146+G146</f>
        <v>11</v>
      </c>
      <c r="R146" s="126" t="n">
        <f aca="false">N146+K146+H146</f>
        <v>11</v>
      </c>
      <c r="S146" s="126" t="n">
        <f aca="false">O146+L146+I146</f>
        <v>6.96</v>
      </c>
      <c r="T146" s="127"/>
      <c r="U146" s="5" t="n">
        <f aca="false">A147-A146</f>
        <v>30</v>
      </c>
      <c r="V146" s="128" t="n">
        <f aca="false">CHOOSE(F$3,A147+24,A146)</f>
        <v>41426</v>
      </c>
      <c r="W146" s="5" t="n">
        <f aca="false">V146-C$3</f>
        <v>4195</v>
      </c>
      <c r="X146" s="124" t="n">
        <f aca="false">VLOOKUP($A146,Table,MATCH(X$4,Curves,0))</f>
        <v>2</v>
      </c>
      <c r="Y146" s="129" t="n">
        <f aca="false">1/(1+CHOOSE(F$3,(X147+($K$3/10000))/2,(X146+($K$3/10000))/2))^(2*W146/365.25)</f>
        <v>1.21666211008534E-007</v>
      </c>
      <c r="Z146" s="5" t="n">
        <f aca="false">IF(AND(mthbeg&lt;=A146,mthend&gt;=A146),1,0)</f>
        <v>0</v>
      </c>
      <c r="AA146" s="5" t="n">
        <f aca="false">U146*Z146</f>
        <v>0</v>
      </c>
      <c r="AC146" s="115" t="n">
        <f aca="false">IF(G139=2,F146*(S146-Q146),F146*(Q146-S146))</f>
        <v>0</v>
      </c>
      <c r="AE146" s="116" t="n">
        <f aca="false">IF($G$3=1,F146*(R146-Q146),F146*(Q146-R146))</f>
        <v>0</v>
      </c>
      <c r="AG146" s="116" t="n">
        <f aca="false">AC146+AE146</f>
        <v>0</v>
      </c>
    </row>
    <row r="147" customFormat="false" ht="12.75" hidden="false" customHeight="false" outlineLevel="0" collapsed="false">
      <c r="A147" s="120" t="n">
        <f aca="false">EDATE(A146,1)</f>
        <v>41456</v>
      </c>
      <c r="B147" s="121" t="e">
        <f aca="false">VLOOKUP(A147,'Inputs-Summary'!$A$32:$E$41,5,FALSE())</f>
        <v>#N/A</v>
      </c>
      <c r="C147" s="122"/>
      <c r="D147" s="123" t="e">
        <f aca="false">B147+C147</f>
        <v>#N/A</v>
      </c>
      <c r="E147" s="111" t="n">
        <f aca="false">IF(Z147=0,0,IF(AND(Z147=1,$H$3=1),D147*U147,IF($H$3=2,D147,"N/A")))</f>
        <v>0</v>
      </c>
      <c r="F147" s="111" t="n">
        <f aca="false">E147*Y147</f>
        <v>0</v>
      </c>
      <c r="G147" s="124" t="n">
        <f aca="false">VLOOKUP($A147,Table,MATCH(G$4,Curves,0))</f>
        <v>3</v>
      </c>
      <c r="H147" s="125" t="n">
        <f aca="false">G147+$H$7</f>
        <v>3</v>
      </c>
      <c r="I147" s="124" t="n">
        <f aca="false">H147</f>
        <v>3</v>
      </c>
      <c r="J147" s="124" t="n">
        <f aca="false">VLOOKUP($A147,Table,MATCH(J$4,Curves,0))</f>
        <v>4</v>
      </c>
      <c r="K147" s="125" t="n">
        <f aca="false">J147+$K$7</f>
        <v>4</v>
      </c>
      <c r="L147" s="126" t="n">
        <f aca="false">K147</f>
        <v>4</v>
      </c>
      <c r="M147" s="124" t="n">
        <f aca="false">VLOOKUP($A147,Table,MATCH(M$4,Curves,0))</f>
        <v>4</v>
      </c>
      <c r="N147" s="125" t="n">
        <f aca="false">M147+$N$7</f>
        <v>4</v>
      </c>
      <c r="O147" s="126" t="n">
        <v>-0.04</v>
      </c>
      <c r="P147" s="114"/>
      <c r="Q147" s="126" t="n">
        <f aca="false">M147+J147+G147</f>
        <v>11</v>
      </c>
      <c r="R147" s="126" t="n">
        <f aca="false">N147+K147+H147</f>
        <v>11</v>
      </c>
      <c r="S147" s="126" t="n">
        <f aca="false">O147+L147+I147</f>
        <v>6.96</v>
      </c>
      <c r="T147" s="127"/>
      <c r="U147" s="5" t="n">
        <f aca="false">A148-A147</f>
        <v>31</v>
      </c>
      <c r="V147" s="128" t="n">
        <f aca="false">CHOOSE(F$3,A148+24,A147)</f>
        <v>41456</v>
      </c>
      <c r="W147" s="5" t="n">
        <f aca="false">V147-C$3</f>
        <v>4225</v>
      </c>
      <c r="X147" s="124" t="n">
        <f aca="false">VLOOKUP($A147,Table,MATCH(X$4,Curves,0))</f>
        <v>2</v>
      </c>
      <c r="Y147" s="129" t="n">
        <f aca="false">1/(1+CHOOSE(F$3,(X148+($K$3/10000))/2,(X147+($K$3/10000))/2))^(2*W147/365.25)</f>
        <v>1.08572408141292E-007</v>
      </c>
      <c r="Z147" s="5" t="n">
        <f aca="false">IF(AND(mthbeg&lt;=A147,mthend&gt;=A147),1,0)</f>
        <v>0</v>
      </c>
      <c r="AA147" s="5" t="n">
        <f aca="false">U147*Z147</f>
        <v>0</v>
      </c>
      <c r="AC147" s="115" t="n">
        <f aca="false">IF(G140=2,F147*(S147-Q147),F147*(Q147-S147))</f>
        <v>0</v>
      </c>
      <c r="AE147" s="116" t="n">
        <f aca="false">IF($G$3=1,F147*(R147-Q147),F147*(Q147-R147))</f>
        <v>0</v>
      </c>
      <c r="AG147" s="116" t="n">
        <f aca="false">AC147+AE147</f>
        <v>0</v>
      </c>
    </row>
    <row r="148" customFormat="false" ht="12.75" hidden="false" customHeight="false" outlineLevel="0" collapsed="false">
      <c r="A148" s="120" t="n">
        <f aca="false">EDATE(A147,1)</f>
        <v>41487</v>
      </c>
      <c r="B148" s="121" t="e">
        <f aca="false">VLOOKUP(A148,'Inputs-Summary'!$A$32:$E$41,5,FALSE())</f>
        <v>#N/A</v>
      </c>
      <c r="C148" s="122"/>
      <c r="D148" s="123" t="e">
        <f aca="false">B148+C148</f>
        <v>#N/A</v>
      </c>
      <c r="E148" s="111" t="n">
        <f aca="false">IF(Z148=0,0,IF(AND(Z148=1,$H$3=1),D148*U148,IF($H$3=2,D148,"N/A")))</f>
        <v>0</v>
      </c>
      <c r="F148" s="111" t="n">
        <f aca="false">E148*Y148</f>
        <v>0</v>
      </c>
      <c r="G148" s="124" t="n">
        <f aca="false">VLOOKUP($A148,Table,MATCH(G$4,Curves,0))</f>
        <v>3</v>
      </c>
      <c r="H148" s="125" t="n">
        <f aca="false">G148+$H$7</f>
        <v>3</v>
      </c>
      <c r="I148" s="124" t="n">
        <f aca="false">H148</f>
        <v>3</v>
      </c>
      <c r="J148" s="124" t="n">
        <f aca="false">VLOOKUP($A148,Table,MATCH(J$4,Curves,0))</f>
        <v>4</v>
      </c>
      <c r="K148" s="125" t="n">
        <f aca="false">J148+$K$7</f>
        <v>4</v>
      </c>
      <c r="L148" s="126" t="n">
        <f aca="false">K148</f>
        <v>4</v>
      </c>
      <c r="M148" s="124" t="n">
        <f aca="false">VLOOKUP($A148,Table,MATCH(M$4,Curves,0))</f>
        <v>4</v>
      </c>
      <c r="N148" s="125" t="n">
        <f aca="false">M148+$N$7</f>
        <v>4</v>
      </c>
      <c r="O148" s="126" t="n">
        <v>-0.04</v>
      </c>
      <c r="P148" s="114"/>
      <c r="Q148" s="126" t="n">
        <f aca="false">M148+J148+G148</f>
        <v>11</v>
      </c>
      <c r="R148" s="126" t="n">
        <f aca="false">N148+K148+H148</f>
        <v>11</v>
      </c>
      <c r="S148" s="126" t="n">
        <f aca="false">O148+L148+I148</f>
        <v>6.96</v>
      </c>
      <c r="T148" s="127"/>
      <c r="U148" s="5" t="n">
        <f aca="false">A149-A148</f>
        <v>31</v>
      </c>
      <c r="V148" s="128" t="n">
        <f aca="false">CHOOSE(F$3,A149+24,A148)</f>
        <v>41487</v>
      </c>
      <c r="W148" s="5" t="n">
        <f aca="false">V148-C$3</f>
        <v>4256</v>
      </c>
      <c r="X148" s="124" t="n">
        <f aca="false">VLOOKUP($A148,Table,MATCH(X$4,Curves,0))</f>
        <v>2</v>
      </c>
      <c r="Y148" s="129" t="n">
        <f aca="false">1/(1+CHOOSE(F$3,(X149+($K$3/10000))/2,(X148+($K$3/10000))/2))^(2*W148/365.25)</f>
        <v>9.65207321494535E-008</v>
      </c>
      <c r="Z148" s="5" t="n">
        <f aca="false">IF(AND(mthbeg&lt;=A148,mthend&gt;=A148),1,0)</f>
        <v>0</v>
      </c>
      <c r="AA148" s="5" t="n">
        <f aca="false">U148*Z148</f>
        <v>0</v>
      </c>
      <c r="AC148" s="115" t="n">
        <f aca="false">IF(G141=2,F148*(S148-Q148),F148*(Q148-S148))</f>
        <v>0</v>
      </c>
      <c r="AE148" s="116" t="n">
        <f aca="false">IF($G$3=1,F148*(R148-Q148),F148*(Q148-R148))</f>
        <v>0</v>
      </c>
      <c r="AG148" s="116" t="n">
        <f aca="false">AC148+AE148</f>
        <v>0</v>
      </c>
    </row>
    <row r="149" customFormat="false" ht="12.75" hidden="false" customHeight="false" outlineLevel="0" collapsed="false">
      <c r="A149" s="120" t="n">
        <f aca="false">EDATE(A148,1)</f>
        <v>41518</v>
      </c>
      <c r="B149" s="121" t="e">
        <f aca="false">VLOOKUP(A149,'Inputs-Summary'!$A$32:$E$41,5,FALSE())</f>
        <v>#N/A</v>
      </c>
      <c r="C149" s="122"/>
      <c r="D149" s="123" t="e">
        <f aca="false">B149+C149</f>
        <v>#N/A</v>
      </c>
      <c r="E149" s="111" t="n">
        <f aca="false">IF(Z149=0,0,IF(AND(Z149=1,$H$3=1),D149*U149,IF($H$3=2,D149,"N/A")))</f>
        <v>0</v>
      </c>
      <c r="F149" s="111" t="n">
        <f aca="false">E149*Y149</f>
        <v>0</v>
      </c>
      <c r="G149" s="124" t="n">
        <f aca="false">VLOOKUP($A149,Table,MATCH(G$4,Curves,0))</f>
        <v>3</v>
      </c>
      <c r="H149" s="125" t="n">
        <f aca="false">G149+$H$7</f>
        <v>3</v>
      </c>
      <c r="I149" s="124" t="n">
        <f aca="false">H149</f>
        <v>3</v>
      </c>
      <c r="J149" s="124" t="n">
        <f aca="false">VLOOKUP($A149,Table,MATCH(J$4,Curves,0))</f>
        <v>4</v>
      </c>
      <c r="K149" s="125" t="n">
        <f aca="false">J149+$K$7</f>
        <v>4</v>
      </c>
      <c r="L149" s="126" t="n">
        <f aca="false">K149</f>
        <v>4</v>
      </c>
      <c r="M149" s="124" t="n">
        <f aca="false">VLOOKUP($A149,Table,MATCH(M$4,Curves,0))</f>
        <v>4</v>
      </c>
      <c r="N149" s="125" t="n">
        <f aca="false">M149+$N$7</f>
        <v>4</v>
      </c>
      <c r="O149" s="126" t="n">
        <v>-0.04</v>
      </c>
      <c r="P149" s="114"/>
      <c r="Q149" s="126" t="n">
        <f aca="false">M149+J149+G149</f>
        <v>11</v>
      </c>
      <c r="R149" s="126" t="n">
        <f aca="false">N149+K149+H149</f>
        <v>11</v>
      </c>
      <c r="S149" s="126" t="n">
        <f aca="false">O149+L149+I149</f>
        <v>6.96</v>
      </c>
      <c r="T149" s="127"/>
      <c r="U149" s="5" t="n">
        <f aca="false">A150-A149</f>
        <v>30</v>
      </c>
      <c r="V149" s="128" t="n">
        <f aca="false">CHOOSE(F$3,A150+24,A149)</f>
        <v>41518</v>
      </c>
      <c r="W149" s="5" t="n">
        <f aca="false">V149-C$3</f>
        <v>4287</v>
      </c>
      <c r="X149" s="124" t="n">
        <f aca="false">VLOOKUP($A149,Table,MATCH(X$4,Curves,0))</f>
        <v>2</v>
      </c>
      <c r="Y149" s="129" t="n">
        <f aca="false">1/(1+CHOOSE(F$3,(X150+($K$3/10000))/2,(X149+($K$3/10000))/2))^(2*W149/365.25)</f>
        <v>8.58068075872714E-008</v>
      </c>
      <c r="Z149" s="5" t="n">
        <f aca="false">IF(AND(mthbeg&lt;=A149,mthend&gt;=A149),1,0)</f>
        <v>0</v>
      </c>
      <c r="AA149" s="5" t="n">
        <f aca="false">U149*Z149</f>
        <v>0</v>
      </c>
      <c r="AC149" s="115" t="n">
        <f aca="false">IF(G142=2,F149*(S149-Q149),F149*(Q149-S149))</f>
        <v>0</v>
      </c>
      <c r="AE149" s="116" t="n">
        <f aca="false">IF($G$3=1,F149*(R149-Q149),F149*(Q149-R149))</f>
        <v>0</v>
      </c>
      <c r="AG149" s="116" t="n">
        <f aca="false">AC149+AE149</f>
        <v>0</v>
      </c>
    </row>
    <row r="150" customFormat="false" ht="12.75" hidden="false" customHeight="false" outlineLevel="0" collapsed="false">
      <c r="A150" s="120" t="n">
        <f aca="false">EDATE(A149,1)</f>
        <v>41548</v>
      </c>
      <c r="B150" s="121" t="e">
        <f aca="false">VLOOKUP(A150,'Inputs-Summary'!$A$32:$E$41,5,FALSE())</f>
        <v>#N/A</v>
      </c>
      <c r="C150" s="122"/>
      <c r="D150" s="123" t="e">
        <f aca="false">B150+C150</f>
        <v>#N/A</v>
      </c>
      <c r="E150" s="111" t="n">
        <f aca="false">IF(Z150=0,0,IF(AND(Z150=1,$H$3=1),D150*U150,IF($H$3=2,D150,"N/A")))</f>
        <v>0</v>
      </c>
      <c r="F150" s="111" t="n">
        <f aca="false">E150*Y150</f>
        <v>0</v>
      </c>
      <c r="G150" s="124" t="n">
        <f aca="false">VLOOKUP($A150,Table,MATCH(G$4,Curves,0))</f>
        <v>3</v>
      </c>
      <c r="H150" s="125" t="n">
        <f aca="false">G150+$H$7</f>
        <v>3</v>
      </c>
      <c r="I150" s="124" t="n">
        <f aca="false">H150</f>
        <v>3</v>
      </c>
      <c r="J150" s="124" t="n">
        <f aca="false">VLOOKUP($A150,Table,MATCH(J$4,Curves,0))</f>
        <v>4</v>
      </c>
      <c r="K150" s="125" t="n">
        <f aca="false">J150+$K$7</f>
        <v>4</v>
      </c>
      <c r="L150" s="126" t="n">
        <f aca="false">K150</f>
        <v>4</v>
      </c>
      <c r="M150" s="124" t="n">
        <f aca="false">VLOOKUP($A150,Table,MATCH(M$4,Curves,0))</f>
        <v>4</v>
      </c>
      <c r="N150" s="125" t="n">
        <f aca="false">M150+$N$7</f>
        <v>4</v>
      </c>
      <c r="O150" s="126" t="n">
        <v>-0.04</v>
      </c>
      <c r="P150" s="114"/>
      <c r="Q150" s="126" t="n">
        <f aca="false">M150+J150+G150</f>
        <v>11</v>
      </c>
      <c r="R150" s="126" t="n">
        <f aca="false">N150+K150+H150</f>
        <v>11</v>
      </c>
      <c r="S150" s="126" t="n">
        <f aca="false">O150+L150+I150</f>
        <v>6.96</v>
      </c>
      <c r="T150" s="127"/>
      <c r="U150" s="5" t="n">
        <f aca="false">A151-A150</f>
        <v>31</v>
      </c>
      <c r="V150" s="128" t="n">
        <f aca="false">CHOOSE(F$3,A151+24,A150)</f>
        <v>41548</v>
      </c>
      <c r="W150" s="5" t="n">
        <f aca="false">V150-C$3</f>
        <v>4317</v>
      </c>
      <c r="X150" s="124" t="n">
        <f aca="false">VLOOKUP($A150,Table,MATCH(X$4,Curves,0))</f>
        <v>2</v>
      </c>
      <c r="Y150" s="129" t="n">
        <f aca="false">1/(1+CHOOSE(F$3,(X151+($K$3/10000))/2,(X150+($K$3/10000))/2))^(2*W150/365.25)</f>
        <v>7.65722188390748E-008</v>
      </c>
      <c r="Z150" s="5" t="n">
        <f aca="false">IF(AND(mthbeg&lt;=A150,mthend&gt;=A150),1,0)</f>
        <v>0</v>
      </c>
      <c r="AA150" s="5" t="n">
        <f aca="false">U150*Z150</f>
        <v>0</v>
      </c>
      <c r="AC150" s="115" t="n">
        <f aca="false">IF(G143=2,F150*(S150-Q150),F150*(Q150-S150))</f>
        <v>0</v>
      </c>
      <c r="AE150" s="116" t="n">
        <f aca="false">IF($G$3=1,F150*(R150-Q150),F150*(Q150-R150))</f>
        <v>0</v>
      </c>
      <c r="AG150" s="116" t="n">
        <f aca="false">AC150+AE150</f>
        <v>0</v>
      </c>
    </row>
    <row r="151" customFormat="false" ht="12.75" hidden="false" customHeight="false" outlineLevel="0" collapsed="false">
      <c r="A151" s="120" t="n">
        <f aca="false">EDATE(A150,1)</f>
        <v>41579</v>
      </c>
      <c r="B151" s="121" t="e">
        <f aca="false">VLOOKUP(A151,'Inputs-Summary'!$A$32:$E$41,5,FALSE())</f>
        <v>#N/A</v>
      </c>
      <c r="C151" s="122"/>
      <c r="D151" s="123" t="e">
        <f aca="false">B151+C151</f>
        <v>#N/A</v>
      </c>
      <c r="E151" s="111" t="n">
        <f aca="false">IF(Z151=0,0,IF(AND(Z151=1,$H$3=1),D151*U151,IF($H$3=2,D151,"N/A")))</f>
        <v>0</v>
      </c>
      <c r="F151" s="111" t="n">
        <f aca="false">E151*Y151</f>
        <v>0</v>
      </c>
      <c r="G151" s="124" t="n">
        <f aca="false">VLOOKUP($A151,Table,MATCH(G$4,Curves,0))</f>
        <v>3</v>
      </c>
      <c r="H151" s="125" t="n">
        <f aca="false">G151+$H$7</f>
        <v>3</v>
      </c>
      <c r="I151" s="124" t="n">
        <f aca="false">H151</f>
        <v>3</v>
      </c>
      <c r="J151" s="124" t="n">
        <f aca="false">VLOOKUP($A151,Table,MATCH(J$4,Curves,0))</f>
        <v>4</v>
      </c>
      <c r="K151" s="125" t="n">
        <f aca="false">J151+$K$7</f>
        <v>4</v>
      </c>
      <c r="L151" s="126" t="n">
        <f aca="false">K151</f>
        <v>4</v>
      </c>
      <c r="M151" s="124" t="n">
        <f aca="false">VLOOKUP($A151,Table,MATCH(M$4,Curves,0))</f>
        <v>4</v>
      </c>
      <c r="N151" s="125" t="n">
        <f aca="false">M151+$N$7</f>
        <v>4</v>
      </c>
      <c r="O151" s="126" t="n">
        <v>-0.04</v>
      </c>
      <c r="P151" s="114"/>
      <c r="Q151" s="126" t="n">
        <f aca="false">M151+J151+G151</f>
        <v>11</v>
      </c>
      <c r="R151" s="126" t="n">
        <f aca="false">N151+K151+H151</f>
        <v>11</v>
      </c>
      <c r="S151" s="126" t="n">
        <f aca="false">O151+L151+I151</f>
        <v>6.96</v>
      </c>
      <c r="T151" s="127"/>
      <c r="U151" s="5" t="n">
        <f aca="false">A152-A151</f>
        <v>30</v>
      </c>
      <c r="V151" s="128" t="n">
        <f aca="false">CHOOSE(F$3,A152+24,A151)</f>
        <v>41579</v>
      </c>
      <c r="W151" s="5" t="n">
        <f aca="false">V151-C$3</f>
        <v>4348</v>
      </c>
      <c r="X151" s="124" t="n">
        <f aca="false">VLOOKUP($A151,Table,MATCH(X$4,Curves,0))</f>
        <v>2</v>
      </c>
      <c r="Y151" s="129" t="n">
        <f aca="false">1/(1+CHOOSE(F$3,(X152+($K$3/10000))/2,(X151+($K$3/10000))/2))^(2*W151/365.25)</f>
        <v>6.80726047361643E-008</v>
      </c>
      <c r="Z151" s="5" t="n">
        <f aca="false">IF(AND(mthbeg&lt;=A151,mthend&gt;=A151),1,0)</f>
        <v>0</v>
      </c>
      <c r="AA151" s="5" t="n">
        <f aca="false">U151*Z151</f>
        <v>0</v>
      </c>
      <c r="AC151" s="115" t="n">
        <f aca="false">IF(G144=2,F151*(S151-Q151),F151*(Q151-S151))</f>
        <v>0</v>
      </c>
      <c r="AE151" s="116" t="n">
        <f aca="false">IF($G$3=1,F151*(R151-Q151),F151*(Q151-R151))</f>
        <v>0</v>
      </c>
      <c r="AG151" s="116" t="n">
        <f aca="false">AC151+AE151</f>
        <v>0</v>
      </c>
    </row>
    <row r="152" customFormat="false" ht="12.75" hidden="false" customHeight="false" outlineLevel="0" collapsed="false">
      <c r="A152" s="120" t="n">
        <f aca="false">EDATE(A151,1)</f>
        <v>41609</v>
      </c>
      <c r="B152" s="121" t="e">
        <f aca="false">VLOOKUP(A152,'Inputs-Summary'!$A$32:$E$41,5,FALSE())</f>
        <v>#N/A</v>
      </c>
      <c r="C152" s="122"/>
      <c r="D152" s="123" t="e">
        <f aca="false">B152+C152</f>
        <v>#N/A</v>
      </c>
      <c r="E152" s="111" t="n">
        <f aca="false">IF(Z152=0,0,IF(AND(Z152=1,$H$3=1),D152*U152,IF($H$3=2,D152,"N/A")))</f>
        <v>0</v>
      </c>
      <c r="F152" s="111" t="n">
        <f aca="false">E152*Y152</f>
        <v>0</v>
      </c>
      <c r="G152" s="124" t="n">
        <f aca="false">VLOOKUP($A152,Table,MATCH(G$4,Curves,0))</f>
        <v>3</v>
      </c>
      <c r="H152" s="125" t="n">
        <f aca="false">G152+$H$7</f>
        <v>3</v>
      </c>
      <c r="I152" s="124" t="n">
        <f aca="false">H152</f>
        <v>3</v>
      </c>
      <c r="J152" s="124" t="n">
        <f aca="false">VLOOKUP($A152,Table,MATCH(J$4,Curves,0))</f>
        <v>4</v>
      </c>
      <c r="K152" s="125" t="n">
        <f aca="false">J152+$K$7</f>
        <v>4</v>
      </c>
      <c r="L152" s="126" t="n">
        <f aca="false">K152</f>
        <v>4</v>
      </c>
      <c r="M152" s="124" t="n">
        <f aca="false">VLOOKUP($A152,Table,MATCH(M$4,Curves,0))</f>
        <v>4</v>
      </c>
      <c r="N152" s="125" t="n">
        <f aca="false">M152+$N$7</f>
        <v>4</v>
      </c>
      <c r="O152" s="126" t="n">
        <v>-0.04</v>
      </c>
      <c r="P152" s="114"/>
      <c r="Q152" s="126" t="n">
        <f aca="false">M152+J152+G152</f>
        <v>11</v>
      </c>
      <c r="R152" s="126" t="n">
        <f aca="false">N152+K152+H152</f>
        <v>11</v>
      </c>
      <c r="S152" s="126" t="n">
        <f aca="false">O152+L152+I152</f>
        <v>6.96</v>
      </c>
      <c r="T152" s="127"/>
      <c r="U152" s="5" t="n">
        <f aca="false">A153-A152</f>
        <v>31</v>
      </c>
      <c r="V152" s="128" t="n">
        <f aca="false">CHOOSE(F$3,A153+24,A152)</f>
        <v>41609</v>
      </c>
      <c r="W152" s="5" t="n">
        <f aca="false">V152-C$3</f>
        <v>4378</v>
      </c>
      <c r="X152" s="124" t="n">
        <f aca="false">VLOOKUP($A152,Table,MATCH(X$4,Curves,0))</f>
        <v>2</v>
      </c>
      <c r="Y152" s="129" t="n">
        <f aca="false">1/(1+CHOOSE(F$3,(X153+($K$3/10000))/2,(X152+($K$3/10000))/2))^(2*W152/365.25)</f>
        <v>6.07465833232635E-008</v>
      </c>
      <c r="Z152" s="5" t="n">
        <f aca="false">IF(AND(mthbeg&lt;=A152,mthend&gt;=A152),1,0)</f>
        <v>0</v>
      </c>
      <c r="AA152" s="5" t="n">
        <f aca="false">U152*Z152</f>
        <v>0</v>
      </c>
      <c r="AC152" s="115" t="n">
        <f aca="false">IF(G145=2,F152*(S152-Q152),F152*(Q152-S152))</f>
        <v>0</v>
      </c>
      <c r="AE152" s="116" t="n">
        <f aca="false">IF($G$3=1,F152*(R152-Q152),F152*(Q152-R152))</f>
        <v>0</v>
      </c>
      <c r="AG152" s="116" t="n">
        <f aca="false">AC152+AE152</f>
        <v>0</v>
      </c>
    </row>
    <row r="153" customFormat="false" ht="12.75" hidden="false" customHeight="false" outlineLevel="0" collapsed="false">
      <c r="A153" s="120" t="n">
        <f aca="false">EDATE(A152,1)</f>
        <v>41640</v>
      </c>
      <c r="B153" s="121" t="e">
        <f aca="false">VLOOKUP(A153,'Inputs-Summary'!$A$32:$E$41,5,FALSE())</f>
        <v>#N/A</v>
      </c>
      <c r="C153" s="122"/>
      <c r="D153" s="123" t="e">
        <f aca="false">B153+C153</f>
        <v>#N/A</v>
      </c>
      <c r="E153" s="111" t="n">
        <f aca="false">IF(Z153=0,0,IF(AND(Z153=1,$H$3=1),D153*U153,IF($H$3=2,D153,"N/A")))</f>
        <v>0</v>
      </c>
      <c r="F153" s="111" t="n">
        <f aca="false">E153*Y153</f>
        <v>0</v>
      </c>
      <c r="G153" s="124" t="n">
        <f aca="false">VLOOKUP($A153,Table,MATCH(G$4,Curves,0))</f>
        <v>3</v>
      </c>
      <c r="H153" s="125" t="n">
        <f aca="false">G153+$H$7</f>
        <v>3</v>
      </c>
      <c r="I153" s="124" t="n">
        <f aca="false">H153</f>
        <v>3</v>
      </c>
      <c r="J153" s="124" t="n">
        <f aca="false">VLOOKUP($A153,Table,MATCH(J$4,Curves,0))</f>
        <v>4</v>
      </c>
      <c r="K153" s="125" t="n">
        <f aca="false">J153+$K$7</f>
        <v>4</v>
      </c>
      <c r="L153" s="126" t="n">
        <f aca="false">K153</f>
        <v>4</v>
      </c>
      <c r="M153" s="124" t="n">
        <f aca="false">VLOOKUP($A153,Table,MATCH(M$4,Curves,0))</f>
        <v>4</v>
      </c>
      <c r="N153" s="125" t="n">
        <f aca="false">M153+$N$7</f>
        <v>4</v>
      </c>
      <c r="O153" s="126" t="n">
        <v>-0.04</v>
      </c>
      <c r="P153" s="114"/>
      <c r="Q153" s="126" t="n">
        <f aca="false">M153+J153+G153</f>
        <v>11</v>
      </c>
      <c r="R153" s="126" t="n">
        <f aca="false">N153+K153+H153</f>
        <v>11</v>
      </c>
      <c r="S153" s="126" t="n">
        <f aca="false">O153+L153+I153</f>
        <v>6.96</v>
      </c>
      <c r="T153" s="127"/>
      <c r="U153" s="5" t="n">
        <f aca="false">A154-A153</f>
        <v>31</v>
      </c>
      <c r="V153" s="128" t="n">
        <f aca="false">CHOOSE(F$3,A154+24,A153)</f>
        <v>41640</v>
      </c>
      <c r="W153" s="5" t="n">
        <f aca="false">V153-C$3</f>
        <v>4409</v>
      </c>
      <c r="X153" s="124" t="n">
        <f aca="false">VLOOKUP($A153,Table,MATCH(X$4,Curves,0))</f>
        <v>2</v>
      </c>
      <c r="Y153" s="129" t="n">
        <f aca="false">1/(1+CHOOSE(F$3,(X154+($K$3/10000))/2,(X153+($K$3/10000))/2))^(2*W153/365.25)</f>
        <v>5.40036349779484E-008</v>
      </c>
      <c r="Z153" s="5" t="n">
        <f aca="false">IF(AND(mthbeg&lt;=A153,mthend&gt;=A153),1,0)</f>
        <v>0</v>
      </c>
      <c r="AA153" s="5" t="n">
        <f aca="false">U153*Z153</f>
        <v>0</v>
      </c>
      <c r="AC153" s="115" t="n">
        <f aca="false">IF(G146=2,F153*(S153-Q153),F153*(Q153-S153))</f>
        <v>0</v>
      </c>
      <c r="AE153" s="116" t="n">
        <f aca="false">IF($G$3=1,F153*(R153-Q153),F153*(Q153-R153))</f>
        <v>0</v>
      </c>
      <c r="AG153" s="116" t="n">
        <f aca="false">AC153+AE153</f>
        <v>0</v>
      </c>
    </row>
    <row r="154" customFormat="false" ht="12.75" hidden="false" customHeight="false" outlineLevel="0" collapsed="false">
      <c r="A154" s="120" t="n">
        <f aca="false">EDATE(A153,1)</f>
        <v>41671</v>
      </c>
      <c r="B154" s="121" t="e">
        <f aca="false">VLOOKUP(A154,'Inputs-Summary'!$A$32:$E$41,5,FALSE())</f>
        <v>#N/A</v>
      </c>
      <c r="C154" s="122"/>
      <c r="D154" s="123" t="e">
        <f aca="false">B154+C154</f>
        <v>#N/A</v>
      </c>
      <c r="E154" s="111" t="n">
        <f aca="false">IF(Z154=0,0,IF(AND(Z154=1,$H$3=1),D154*U154,IF($H$3=2,D154,"N/A")))</f>
        <v>0</v>
      </c>
      <c r="F154" s="111" t="n">
        <f aca="false">E154*Y154</f>
        <v>0</v>
      </c>
      <c r="G154" s="124" t="n">
        <f aca="false">VLOOKUP($A154,Table,MATCH(G$4,Curves,0))</f>
        <v>3</v>
      </c>
      <c r="H154" s="125" t="n">
        <f aca="false">G154+$H$7</f>
        <v>3</v>
      </c>
      <c r="I154" s="124" t="n">
        <f aca="false">H154</f>
        <v>3</v>
      </c>
      <c r="J154" s="124" t="n">
        <f aca="false">VLOOKUP($A154,Table,MATCH(J$4,Curves,0))</f>
        <v>4</v>
      </c>
      <c r="K154" s="125" t="n">
        <f aca="false">J154+$K$7</f>
        <v>4</v>
      </c>
      <c r="L154" s="126" t="n">
        <f aca="false">K154</f>
        <v>4</v>
      </c>
      <c r="M154" s="124" t="n">
        <f aca="false">VLOOKUP($A154,Table,MATCH(M$4,Curves,0))</f>
        <v>4</v>
      </c>
      <c r="N154" s="125" t="n">
        <f aca="false">M154+$N$7</f>
        <v>4</v>
      </c>
      <c r="O154" s="126" t="n">
        <v>-0.04</v>
      </c>
      <c r="P154" s="114"/>
      <c r="Q154" s="126" t="n">
        <f aca="false">M154+J154+G154</f>
        <v>11</v>
      </c>
      <c r="R154" s="126" t="n">
        <f aca="false">N154+K154+H154</f>
        <v>11</v>
      </c>
      <c r="S154" s="126" t="n">
        <f aca="false">O154+L154+I154</f>
        <v>6.96</v>
      </c>
      <c r="T154" s="127"/>
      <c r="U154" s="5" t="n">
        <f aca="false">A155-A154</f>
        <v>28</v>
      </c>
      <c r="V154" s="128" t="n">
        <f aca="false">CHOOSE(F$3,A155+24,A154)</f>
        <v>41671</v>
      </c>
      <c r="W154" s="5" t="n">
        <f aca="false">V154-C$3</f>
        <v>4440</v>
      </c>
      <c r="X154" s="124" t="n">
        <f aca="false">VLOOKUP($A154,Table,MATCH(X$4,Curves,0))</f>
        <v>2</v>
      </c>
      <c r="Y154" s="129" t="n">
        <f aca="false">1/(1+CHOOSE(F$3,(X155+($K$3/10000))/2,(X154+($K$3/10000))/2))^(2*W154/365.25)</f>
        <v>4.80091625122664E-008</v>
      </c>
      <c r="Z154" s="5" t="n">
        <f aca="false">IF(AND(mthbeg&lt;=A154,mthend&gt;=A154),1,0)</f>
        <v>0</v>
      </c>
      <c r="AA154" s="5" t="n">
        <f aca="false">U154*Z154</f>
        <v>0</v>
      </c>
      <c r="AC154" s="115" t="n">
        <f aca="false">IF(G147=2,F154*(S154-Q154),F154*(Q154-S154))</f>
        <v>0</v>
      </c>
      <c r="AE154" s="116" t="n">
        <f aca="false">IF($G$3=1,F154*(R154-Q154),F154*(Q154-R154))</f>
        <v>0</v>
      </c>
      <c r="AG154" s="116" t="n">
        <f aca="false">AC154+AE154</f>
        <v>0</v>
      </c>
    </row>
    <row r="155" customFormat="false" ht="12.75" hidden="false" customHeight="false" outlineLevel="0" collapsed="false">
      <c r="A155" s="120" t="n">
        <f aca="false">EDATE(A154,1)</f>
        <v>41699</v>
      </c>
      <c r="B155" s="121" t="e">
        <f aca="false">VLOOKUP(A155,'Inputs-Summary'!$A$32:$E$41,5,FALSE())</f>
        <v>#N/A</v>
      </c>
      <c r="C155" s="122"/>
      <c r="D155" s="123" t="e">
        <f aca="false">B155+C155</f>
        <v>#N/A</v>
      </c>
      <c r="E155" s="111" t="n">
        <f aca="false">IF(Z155=0,0,IF(AND(Z155=1,$H$3=1),D155*U155,IF($H$3=2,D155,"N/A")))</f>
        <v>0</v>
      </c>
      <c r="F155" s="111" t="n">
        <f aca="false">E155*Y155</f>
        <v>0</v>
      </c>
      <c r="G155" s="124" t="n">
        <f aca="false">VLOOKUP($A155,Table,MATCH(G$4,Curves,0))</f>
        <v>3</v>
      </c>
      <c r="H155" s="125" t="n">
        <f aca="false">G155+$H$7</f>
        <v>3</v>
      </c>
      <c r="I155" s="124" t="n">
        <f aca="false">H155</f>
        <v>3</v>
      </c>
      <c r="J155" s="124" t="n">
        <f aca="false">VLOOKUP($A155,Table,MATCH(J$4,Curves,0))</f>
        <v>4</v>
      </c>
      <c r="K155" s="125" t="n">
        <f aca="false">J155+$K$7</f>
        <v>4</v>
      </c>
      <c r="L155" s="126" t="n">
        <f aca="false">K155</f>
        <v>4</v>
      </c>
      <c r="M155" s="124" t="n">
        <f aca="false">VLOOKUP($A155,Table,MATCH(M$4,Curves,0))</f>
        <v>4</v>
      </c>
      <c r="N155" s="125" t="n">
        <f aca="false">M155+$N$7</f>
        <v>4</v>
      </c>
      <c r="O155" s="126" t="n">
        <v>-0.04</v>
      </c>
      <c r="P155" s="114"/>
      <c r="Q155" s="126" t="n">
        <f aca="false">M155+J155+G155</f>
        <v>11</v>
      </c>
      <c r="R155" s="126" t="n">
        <f aca="false">N155+K155+H155</f>
        <v>11</v>
      </c>
      <c r="S155" s="126" t="n">
        <f aca="false">O155+L155+I155</f>
        <v>6.96</v>
      </c>
      <c r="T155" s="127"/>
      <c r="U155" s="5" t="n">
        <f aca="false">A156-A155</f>
        <v>31</v>
      </c>
      <c r="V155" s="128" t="n">
        <f aca="false">CHOOSE(F$3,A156+24,A155)</f>
        <v>41699</v>
      </c>
      <c r="W155" s="5" t="n">
        <f aca="false">V155-C$3</f>
        <v>4468</v>
      </c>
      <c r="X155" s="124" t="n">
        <f aca="false">VLOOKUP($A155,Table,MATCH(X$4,Curves,0))</f>
        <v>2</v>
      </c>
      <c r="Y155" s="129" t="n">
        <f aca="false">1/(1+CHOOSE(F$3,(X156+($K$3/10000))/2,(X155+($K$3/10000))/2))^(2*W155/365.25)</f>
        <v>4.31688339844757E-008</v>
      </c>
      <c r="Z155" s="5" t="n">
        <f aca="false">IF(AND(mthbeg&lt;=A155,mthend&gt;=A155),1,0)</f>
        <v>0</v>
      </c>
      <c r="AA155" s="5" t="n">
        <f aca="false">U155*Z155</f>
        <v>0</v>
      </c>
      <c r="AC155" s="115" t="n">
        <f aca="false">IF(G148=2,F155*(S155-Q155),F155*(Q155-S155))</f>
        <v>0</v>
      </c>
      <c r="AE155" s="116" t="n">
        <f aca="false">IF($G$3=1,F155*(R155-Q155),F155*(Q155-R155))</f>
        <v>0</v>
      </c>
      <c r="AG155" s="116" t="n">
        <f aca="false">AC155+AE155</f>
        <v>0</v>
      </c>
    </row>
    <row r="156" customFormat="false" ht="12.75" hidden="false" customHeight="false" outlineLevel="0" collapsed="false">
      <c r="A156" s="120" t="n">
        <f aca="false">EDATE(A155,1)</f>
        <v>41730</v>
      </c>
      <c r="B156" s="121" t="e">
        <f aca="false">VLOOKUP(A156,'Inputs-Summary'!$A$32:$E$41,5,FALSE())</f>
        <v>#N/A</v>
      </c>
      <c r="C156" s="122"/>
      <c r="D156" s="123" t="e">
        <f aca="false">B156+C156</f>
        <v>#N/A</v>
      </c>
      <c r="E156" s="111" t="n">
        <f aca="false">IF(Z156=0,0,IF(AND(Z156=1,$H$3=1),D156*U156,IF($H$3=2,D156,"N/A")))</f>
        <v>0</v>
      </c>
      <c r="F156" s="111" t="n">
        <f aca="false">E156*Y156</f>
        <v>0</v>
      </c>
      <c r="G156" s="124" t="n">
        <f aca="false">VLOOKUP($A156,Table,MATCH(G$4,Curves,0))</f>
        <v>3</v>
      </c>
      <c r="H156" s="125" t="n">
        <f aca="false">G156+$H$7</f>
        <v>3</v>
      </c>
      <c r="I156" s="124" t="n">
        <f aca="false">H156</f>
        <v>3</v>
      </c>
      <c r="J156" s="124" t="n">
        <f aca="false">VLOOKUP($A156,Table,MATCH(J$4,Curves,0))</f>
        <v>4</v>
      </c>
      <c r="K156" s="125" t="n">
        <f aca="false">J156+$K$7</f>
        <v>4</v>
      </c>
      <c r="L156" s="126" t="n">
        <f aca="false">K156</f>
        <v>4</v>
      </c>
      <c r="M156" s="124" t="n">
        <f aca="false">VLOOKUP($A156,Table,MATCH(M$4,Curves,0))</f>
        <v>4</v>
      </c>
      <c r="N156" s="125" t="n">
        <f aca="false">M156+$N$7</f>
        <v>4</v>
      </c>
      <c r="O156" s="126" t="n">
        <v>-0.04</v>
      </c>
      <c r="P156" s="114"/>
      <c r="Q156" s="126" t="n">
        <f aca="false">M156+J156+G156</f>
        <v>11</v>
      </c>
      <c r="R156" s="126" t="n">
        <f aca="false">N156+K156+H156</f>
        <v>11</v>
      </c>
      <c r="S156" s="126" t="n">
        <f aca="false">O156+L156+I156</f>
        <v>6.96</v>
      </c>
      <c r="T156" s="127"/>
      <c r="U156" s="5" t="n">
        <f aca="false">A157-A156</f>
        <v>30</v>
      </c>
      <c r="V156" s="128" t="n">
        <f aca="false">CHOOSE(F$3,A157+24,A156)</f>
        <v>41730</v>
      </c>
      <c r="W156" s="5" t="n">
        <f aca="false">V156-C$3</f>
        <v>4499</v>
      </c>
      <c r="X156" s="124" t="n">
        <f aca="false">VLOOKUP($A156,Table,MATCH(X$4,Curves,0))</f>
        <v>2</v>
      </c>
      <c r="Y156" s="129" t="n">
        <f aca="false">1/(1+CHOOSE(F$3,(X157+($K$3/10000))/2,(X156+($K$3/10000))/2))^(2*W156/365.25)</f>
        <v>3.83770382692206E-008</v>
      </c>
      <c r="Z156" s="5" t="n">
        <f aca="false">IF(AND(mthbeg&lt;=A156,mthend&gt;=A156),1,0)</f>
        <v>0</v>
      </c>
      <c r="AA156" s="5" t="n">
        <f aca="false">U156*Z156</f>
        <v>0</v>
      </c>
      <c r="AC156" s="115" t="n">
        <f aca="false">IF(G149=2,F156*(S156-Q156),F156*(Q156-S156))</f>
        <v>0</v>
      </c>
      <c r="AE156" s="116" t="n">
        <f aca="false">IF($G$3=1,F156*(R156-Q156),F156*(Q156-R156))</f>
        <v>0</v>
      </c>
      <c r="AG156" s="116" t="n">
        <f aca="false">AC156+AE156</f>
        <v>0</v>
      </c>
    </row>
    <row r="157" customFormat="false" ht="12.75" hidden="false" customHeight="false" outlineLevel="0" collapsed="false">
      <c r="A157" s="120" t="n">
        <f aca="false">EDATE(A156,1)</f>
        <v>41760</v>
      </c>
      <c r="B157" s="121" t="e">
        <f aca="false">VLOOKUP(A157,'Inputs-Summary'!$A$32:$E$41,5,FALSE())</f>
        <v>#N/A</v>
      </c>
      <c r="C157" s="122"/>
      <c r="D157" s="123" t="e">
        <f aca="false">B157+C157</f>
        <v>#N/A</v>
      </c>
      <c r="E157" s="111" t="n">
        <f aca="false">IF(Z157=0,0,IF(AND(Z157=1,$H$3=1),D157*U157,IF($H$3=2,D157,"N/A")))</f>
        <v>0</v>
      </c>
      <c r="F157" s="111" t="n">
        <f aca="false">E157*Y157</f>
        <v>0</v>
      </c>
      <c r="G157" s="124" t="n">
        <f aca="false">VLOOKUP($A157,Table,MATCH(G$4,Curves,0))</f>
        <v>3</v>
      </c>
      <c r="H157" s="125" t="n">
        <f aca="false">G157+$H$7</f>
        <v>3</v>
      </c>
      <c r="I157" s="124" t="n">
        <f aca="false">H157</f>
        <v>3</v>
      </c>
      <c r="J157" s="124" t="n">
        <f aca="false">VLOOKUP($A157,Table,MATCH(J$4,Curves,0))</f>
        <v>4</v>
      </c>
      <c r="K157" s="125" t="n">
        <f aca="false">J157+$K$7</f>
        <v>4</v>
      </c>
      <c r="L157" s="126" t="n">
        <f aca="false">K157</f>
        <v>4</v>
      </c>
      <c r="M157" s="124" t="n">
        <f aca="false">VLOOKUP($A157,Table,MATCH(M$4,Curves,0))</f>
        <v>4</v>
      </c>
      <c r="N157" s="125" t="n">
        <f aca="false">M157+$N$7</f>
        <v>4</v>
      </c>
      <c r="O157" s="126" t="n">
        <v>-0.04</v>
      </c>
      <c r="P157" s="114"/>
      <c r="Q157" s="126" t="n">
        <f aca="false">M157+J157+G157</f>
        <v>11</v>
      </c>
      <c r="R157" s="126" t="n">
        <f aca="false">N157+K157+H157</f>
        <v>11</v>
      </c>
      <c r="S157" s="126" t="n">
        <f aca="false">O157+L157+I157</f>
        <v>6.96</v>
      </c>
      <c r="T157" s="127"/>
      <c r="U157" s="5" t="n">
        <f aca="false">A158-A157</f>
        <v>31</v>
      </c>
      <c r="V157" s="128" t="n">
        <f aca="false">CHOOSE(F$3,A158+24,A157)</f>
        <v>41760</v>
      </c>
      <c r="W157" s="5" t="n">
        <f aca="false">V157-C$3</f>
        <v>4529</v>
      </c>
      <c r="X157" s="124" t="n">
        <f aca="false">VLOOKUP($A157,Table,MATCH(X$4,Curves,0))</f>
        <v>2</v>
      </c>
      <c r="Y157" s="129" t="n">
        <f aca="false">1/(1+CHOOSE(F$3,(X158+($K$3/10000))/2,(X157+($K$3/10000))/2))^(2*W157/365.25)</f>
        <v>3.42468745240001E-008</v>
      </c>
      <c r="Z157" s="5" t="n">
        <f aca="false">IF(AND(mthbeg&lt;=A157,mthend&gt;=A157),1,0)</f>
        <v>0</v>
      </c>
      <c r="AA157" s="5" t="n">
        <f aca="false">U157*Z157</f>
        <v>0</v>
      </c>
      <c r="AC157" s="115" t="n">
        <f aca="false">IF(G150=2,F157*(S157-Q157),F157*(Q157-S157))</f>
        <v>0</v>
      </c>
      <c r="AE157" s="116" t="n">
        <f aca="false">IF($G$3=1,F157*(R157-Q157),F157*(Q157-R157))</f>
        <v>0</v>
      </c>
      <c r="AG157" s="116" t="n">
        <f aca="false">AC157+AE157</f>
        <v>0</v>
      </c>
    </row>
    <row r="158" customFormat="false" ht="12.75" hidden="false" customHeight="false" outlineLevel="0" collapsed="false">
      <c r="A158" s="120" t="n">
        <f aca="false">EDATE(A157,1)</f>
        <v>41791</v>
      </c>
      <c r="B158" s="121" t="e">
        <f aca="false">VLOOKUP(A158,'Inputs-Summary'!$A$32:$E$41,5,FALSE())</f>
        <v>#N/A</v>
      </c>
      <c r="C158" s="122"/>
      <c r="D158" s="123" t="e">
        <f aca="false">B158+C158</f>
        <v>#N/A</v>
      </c>
      <c r="E158" s="111" t="n">
        <f aca="false">IF(Z158=0,0,IF(AND(Z158=1,$H$3=1),D158*U158,IF($H$3=2,D158,"N/A")))</f>
        <v>0</v>
      </c>
      <c r="F158" s="111" t="n">
        <f aca="false">E158*Y158</f>
        <v>0</v>
      </c>
      <c r="G158" s="124" t="n">
        <f aca="false">VLOOKUP($A158,Table,MATCH(G$4,Curves,0))</f>
        <v>3</v>
      </c>
      <c r="H158" s="125" t="n">
        <f aca="false">G158+$H$7</f>
        <v>3</v>
      </c>
      <c r="I158" s="124" t="n">
        <f aca="false">H158</f>
        <v>3</v>
      </c>
      <c r="J158" s="124" t="n">
        <f aca="false">VLOOKUP($A158,Table,MATCH(J$4,Curves,0))</f>
        <v>4</v>
      </c>
      <c r="K158" s="125" t="n">
        <f aca="false">J158+$K$7</f>
        <v>4</v>
      </c>
      <c r="L158" s="126" t="n">
        <f aca="false">K158</f>
        <v>4</v>
      </c>
      <c r="M158" s="124" t="n">
        <f aca="false">VLOOKUP($A158,Table,MATCH(M$4,Curves,0))</f>
        <v>4</v>
      </c>
      <c r="N158" s="125" t="n">
        <f aca="false">M158+$N$7</f>
        <v>4</v>
      </c>
      <c r="O158" s="126" t="n">
        <v>-0.04</v>
      </c>
      <c r="P158" s="114"/>
      <c r="Q158" s="126" t="n">
        <f aca="false">M158+J158+G158</f>
        <v>11</v>
      </c>
      <c r="R158" s="126" t="n">
        <f aca="false">N158+K158+H158</f>
        <v>11</v>
      </c>
      <c r="S158" s="126" t="n">
        <f aca="false">O158+L158+I158</f>
        <v>6.96</v>
      </c>
      <c r="T158" s="127"/>
      <c r="U158" s="5" t="n">
        <f aca="false">A159-A158</f>
        <v>30</v>
      </c>
      <c r="V158" s="128" t="n">
        <f aca="false">CHOOSE(F$3,A159+24,A158)</f>
        <v>41791</v>
      </c>
      <c r="W158" s="5" t="n">
        <f aca="false">V158-C$3</f>
        <v>4560</v>
      </c>
      <c r="X158" s="124" t="n">
        <f aca="false">VLOOKUP($A158,Table,MATCH(X$4,Curves,0))</f>
        <v>2</v>
      </c>
      <c r="Y158" s="129" t="n">
        <f aca="false">1/(1+CHOOSE(F$3,(X159+($K$3/10000))/2,(X158+($K$3/10000))/2))^(2*W158/365.25)</f>
        <v>3.04454277055849E-008</v>
      </c>
      <c r="Z158" s="5" t="n">
        <f aca="false">IF(AND(mthbeg&lt;=A158,mthend&gt;=A158),1,0)</f>
        <v>0</v>
      </c>
      <c r="AA158" s="5" t="n">
        <f aca="false">U158*Z158</f>
        <v>0</v>
      </c>
      <c r="AC158" s="115" t="n">
        <f aca="false">IF(G151=2,F158*(S158-Q158),F158*(Q158-S158))</f>
        <v>0</v>
      </c>
      <c r="AE158" s="116" t="n">
        <f aca="false">IF($G$3=1,F158*(R158-Q158),F158*(Q158-R158))</f>
        <v>0</v>
      </c>
      <c r="AG158" s="116" t="n">
        <f aca="false">AC158+AE158</f>
        <v>0</v>
      </c>
    </row>
    <row r="159" customFormat="false" ht="12.75" hidden="false" customHeight="false" outlineLevel="0" collapsed="false">
      <c r="A159" s="120" t="n">
        <f aca="false">EDATE(A158,1)</f>
        <v>41821</v>
      </c>
      <c r="B159" s="121" t="e">
        <f aca="false">VLOOKUP(A159,'Inputs-Summary'!$A$32:$E$41,5,FALSE())</f>
        <v>#N/A</v>
      </c>
      <c r="C159" s="122"/>
      <c r="D159" s="123" t="e">
        <f aca="false">B159+C159</f>
        <v>#N/A</v>
      </c>
      <c r="E159" s="111" t="n">
        <f aca="false">IF(Z159=0,0,IF(AND(Z159=1,$H$3=1),D159*U159,IF($H$3=2,D159,"N/A")))</f>
        <v>0</v>
      </c>
      <c r="F159" s="111" t="n">
        <f aca="false">E159*Y159</f>
        <v>0</v>
      </c>
      <c r="G159" s="124" t="n">
        <f aca="false">VLOOKUP($A159,Table,MATCH(G$4,Curves,0))</f>
        <v>3</v>
      </c>
      <c r="H159" s="125" t="n">
        <f aca="false">G159+$H$7</f>
        <v>3</v>
      </c>
      <c r="I159" s="124" t="n">
        <f aca="false">H159</f>
        <v>3</v>
      </c>
      <c r="J159" s="124" t="n">
        <f aca="false">VLOOKUP($A159,Table,MATCH(J$4,Curves,0))</f>
        <v>4</v>
      </c>
      <c r="K159" s="125" t="n">
        <f aca="false">J159+$K$7</f>
        <v>4</v>
      </c>
      <c r="L159" s="126" t="n">
        <f aca="false">K159</f>
        <v>4</v>
      </c>
      <c r="M159" s="124" t="n">
        <f aca="false">VLOOKUP($A159,Table,MATCH(M$4,Curves,0))</f>
        <v>4</v>
      </c>
      <c r="N159" s="125" t="n">
        <f aca="false">M159+$N$7</f>
        <v>4</v>
      </c>
      <c r="O159" s="126" t="n">
        <v>-0.04</v>
      </c>
      <c r="P159" s="114"/>
      <c r="Q159" s="126" t="n">
        <f aca="false">M159+J159+G159</f>
        <v>11</v>
      </c>
      <c r="R159" s="126" t="n">
        <f aca="false">N159+K159+H159</f>
        <v>11</v>
      </c>
      <c r="S159" s="126" t="n">
        <f aca="false">O159+L159+I159</f>
        <v>6.96</v>
      </c>
      <c r="T159" s="127"/>
      <c r="U159" s="5" t="n">
        <f aca="false">A160-A159</f>
        <v>31</v>
      </c>
      <c r="V159" s="128" t="n">
        <f aca="false">CHOOSE(F$3,A160+24,A159)</f>
        <v>41821</v>
      </c>
      <c r="W159" s="5" t="n">
        <f aca="false">V159-C$3</f>
        <v>4590</v>
      </c>
      <c r="X159" s="124" t="n">
        <f aca="false">VLOOKUP($A159,Table,MATCH(X$4,Curves,0))</f>
        <v>2</v>
      </c>
      <c r="Y159" s="129" t="n">
        <f aca="false">1/(1+CHOOSE(F$3,(X160+($K$3/10000))/2,(X159+($K$3/10000))/2))^(2*W159/365.25)</f>
        <v>2.71688694460543E-008</v>
      </c>
      <c r="Z159" s="5" t="n">
        <f aca="false">IF(AND(mthbeg&lt;=A159,mthend&gt;=A159),1,0)</f>
        <v>0</v>
      </c>
      <c r="AA159" s="5" t="n">
        <f aca="false">U159*Z159</f>
        <v>0</v>
      </c>
      <c r="AC159" s="115" t="n">
        <f aca="false">IF(G152=2,F159*(S159-Q159),F159*(Q159-S159))</f>
        <v>0</v>
      </c>
      <c r="AE159" s="116" t="n">
        <f aca="false">IF($G$3=1,F159*(R159-Q159),F159*(Q159-R159))</f>
        <v>0</v>
      </c>
      <c r="AG159" s="116" t="n">
        <f aca="false">AC159+AE159</f>
        <v>0</v>
      </c>
    </row>
    <row r="160" customFormat="false" ht="12.75" hidden="false" customHeight="false" outlineLevel="0" collapsed="false">
      <c r="A160" s="120" t="n">
        <f aca="false">EDATE(A159,1)</f>
        <v>41852</v>
      </c>
      <c r="B160" s="121" t="e">
        <f aca="false">VLOOKUP(A160,'Inputs-Summary'!$A$32:$E$41,5,FALSE())</f>
        <v>#N/A</v>
      </c>
      <c r="C160" s="122"/>
      <c r="D160" s="123" t="e">
        <f aca="false">B160+C160</f>
        <v>#N/A</v>
      </c>
      <c r="E160" s="111" t="n">
        <f aca="false">IF(Z160=0,0,IF(AND(Z160=1,$H$3=1),D160*U160,IF($H$3=2,D160,"N/A")))</f>
        <v>0</v>
      </c>
      <c r="F160" s="111" t="n">
        <f aca="false">E160*Y160</f>
        <v>0</v>
      </c>
      <c r="G160" s="124" t="n">
        <f aca="false">VLOOKUP($A160,Table,MATCH(G$4,Curves,0))</f>
        <v>3</v>
      </c>
      <c r="H160" s="125" t="n">
        <f aca="false">G160+$H$7</f>
        <v>3</v>
      </c>
      <c r="I160" s="124" t="n">
        <f aca="false">H160</f>
        <v>3</v>
      </c>
      <c r="J160" s="124" t="n">
        <f aca="false">VLOOKUP($A160,Table,MATCH(J$4,Curves,0))</f>
        <v>4</v>
      </c>
      <c r="K160" s="125" t="n">
        <f aca="false">J160+$K$7</f>
        <v>4</v>
      </c>
      <c r="L160" s="126" t="n">
        <f aca="false">K160</f>
        <v>4</v>
      </c>
      <c r="M160" s="124" t="n">
        <f aca="false">VLOOKUP($A160,Table,MATCH(M$4,Curves,0))</f>
        <v>4</v>
      </c>
      <c r="N160" s="125" t="n">
        <f aca="false">M160+$N$7</f>
        <v>4</v>
      </c>
      <c r="O160" s="126" t="n">
        <v>-0.04</v>
      </c>
      <c r="P160" s="114"/>
      <c r="Q160" s="126" t="n">
        <f aca="false">M160+J160+G160</f>
        <v>11</v>
      </c>
      <c r="R160" s="126" t="n">
        <f aca="false">N160+K160+H160</f>
        <v>11</v>
      </c>
      <c r="S160" s="126" t="n">
        <f aca="false">O160+L160+I160</f>
        <v>6.96</v>
      </c>
      <c r="T160" s="127"/>
      <c r="U160" s="5" t="n">
        <f aca="false">A161-A160</f>
        <v>31</v>
      </c>
      <c r="V160" s="128" t="n">
        <f aca="false">CHOOSE(F$3,A161+24,A160)</f>
        <v>41852</v>
      </c>
      <c r="W160" s="5" t="n">
        <f aca="false">V160-C$3</f>
        <v>4621</v>
      </c>
      <c r="X160" s="124" t="n">
        <f aca="false">VLOOKUP($A160,Table,MATCH(X$4,Curves,0))</f>
        <v>2</v>
      </c>
      <c r="Y160" s="129" t="n">
        <f aca="false">1/(1+CHOOSE(F$3,(X161+($K$3/10000))/2,(X160+($K$3/10000))/2))^(2*W160/365.25)</f>
        <v>2.41530902325888E-008</v>
      </c>
      <c r="Z160" s="5" t="n">
        <f aca="false">IF(AND(mthbeg&lt;=A160,mthend&gt;=A160),1,0)</f>
        <v>0</v>
      </c>
      <c r="AA160" s="5" t="n">
        <f aca="false">U160*Z160</f>
        <v>0</v>
      </c>
      <c r="AC160" s="115" t="n">
        <f aca="false">IF(G153=2,F160*(S160-Q160),F160*(Q160-S160))</f>
        <v>0</v>
      </c>
      <c r="AE160" s="116" t="n">
        <f aca="false">IF($G$3=1,F160*(R160-Q160),F160*(Q160-R160))</f>
        <v>0</v>
      </c>
      <c r="AG160" s="116" t="n">
        <f aca="false">AC160+AE160</f>
        <v>0</v>
      </c>
    </row>
    <row r="161" customFormat="false" ht="12.75" hidden="false" customHeight="false" outlineLevel="0" collapsed="false">
      <c r="A161" s="120" t="n">
        <f aca="false">EDATE(A160,1)</f>
        <v>41883</v>
      </c>
      <c r="B161" s="121" t="e">
        <f aca="false">VLOOKUP(A161,'Inputs-Summary'!$A$32:$E$41,5,FALSE())</f>
        <v>#N/A</v>
      </c>
      <c r="C161" s="122"/>
      <c r="D161" s="123" t="e">
        <f aca="false">B161+C161</f>
        <v>#N/A</v>
      </c>
      <c r="E161" s="111" t="n">
        <f aca="false">IF(Z161=0,0,IF(AND(Z161=1,$H$3=1),D161*U161,IF($H$3=2,D161,"N/A")))</f>
        <v>0</v>
      </c>
      <c r="F161" s="111" t="n">
        <f aca="false">E161*Y161</f>
        <v>0</v>
      </c>
      <c r="G161" s="124" t="n">
        <f aca="false">VLOOKUP($A161,Table,MATCH(G$4,Curves,0))</f>
        <v>3</v>
      </c>
      <c r="H161" s="125" t="n">
        <f aca="false">G161+$H$7</f>
        <v>3</v>
      </c>
      <c r="I161" s="124" t="n">
        <f aca="false">H161</f>
        <v>3</v>
      </c>
      <c r="J161" s="124" t="n">
        <f aca="false">VLOOKUP($A161,Table,MATCH(J$4,Curves,0))</f>
        <v>4</v>
      </c>
      <c r="K161" s="125" t="n">
        <f aca="false">J161+$K$7</f>
        <v>4</v>
      </c>
      <c r="L161" s="126" t="n">
        <f aca="false">K161</f>
        <v>4</v>
      </c>
      <c r="M161" s="124" t="n">
        <f aca="false">VLOOKUP($A161,Table,MATCH(M$4,Curves,0))</f>
        <v>4</v>
      </c>
      <c r="N161" s="125" t="n">
        <f aca="false">M161+$N$7</f>
        <v>4</v>
      </c>
      <c r="O161" s="126" t="n">
        <v>-0.04</v>
      </c>
      <c r="P161" s="114"/>
      <c r="Q161" s="126" t="n">
        <f aca="false">M161+J161+G161</f>
        <v>11</v>
      </c>
      <c r="R161" s="126" t="n">
        <f aca="false">N161+K161+H161</f>
        <v>11</v>
      </c>
      <c r="S161" s="126" t="n">
        <f aca="false">O161+L161+I161</f>
        <v>6.96</v>
      </c>
      <c r="T161" s="127"/>
      <c r="U161" s="5" t="n">
        <f aca="false">A162-A161</f>
        <v>30</v>
      </c>
      <c r="V161" s="128" t="n">
        <f aca="false">CHOOSE(F$3,A162+24,A161)</f>
        <v>41883</v>
      </c>
      <c r="W161" s="5" t="n">
        <f aca="false">V161-C$3</f>
        <v>4652</v>
      </c>
      <c r="X161" s="124" t="n">
        <f aca="false">VLOOKUP($A161,Table,MATCH(X$4,Curves,0))</f>
        <v>2</v>
      </c>
      <c r="Y161" s="129" t="n">
        <f aca="false">1/(1+CHOOSE(F$3,(X162+($K$3/10000))/2,(X161+($K$3/10000))/2))^(2*W161/365.25)</f>
        <v>2.1472066364112E-008</v>
      </c>
      <c r="Z161" s="5" t="n">
        <f aca="false">IF(AND(mthbeg&lt;=A161,mthend&gt;=A161),1,0)</f>
        <v>0</v>
      </c>
      <c r="AA161" s="5" t="n">
        <f aca="false">U161*Z161</f>
        <v>0</v>
      </c>
      <c r="AC161" s="115" t="n">
        <f aca="false">IF(G154=2,F161*(S161-Q161),F161*(Q161-S161))</f>
        <v>0</v>
      </c>
      <c r="AE161" s="116" t="n">
        <f aca="false">IF($G$3=1,F161*(R161-Q161),F161*(Q161-R161))</f>
        <v>0</v>
      </c>
      <c r="AG161" s="116" t="n">
        <f aca="false">AC161+AE161</f>
        <v>0</v>
      </c>
    </row>
    <row r="162" customFormat="false" ht="12.75" hidden="false" customHeight="false" outlineLevel="0" collapsed="false">
      <c r="A162" s="120" t="n">
        <f aca="false">EDATE(A161,1)</f>
        <v>41913</v>
      </c>
      <c r="B162" s="121" t="e">
        <f aca="false">VLOOKUP(A162,'Inputs-Summary'!$A$32:$E$41,5,FALSE())</f>
        <v>#N/A</v>
      </c>
      <c r="C162" s="122"/>
      <c r="D162" s="123" t="e">
        <f aca="false">B162+C162</f>
        <v>#N/A</v>
      </c>
      <c r="E162" s="111" t="n">
        <f aca="false">IF(Z162=0,0,IF(AND(Z162=1,$H$3=1),D162*U162,IF($H$3=2,D162,"N/A")))</f>
        <v>0</v>
      </c>
      <c r="F162" s="111" t="n">
        <f aca="false">E162*Y162</f>
        <v>0</v>
      </c>
      <c r="G162" s="124" t="n">
        <f aca="false">VLOOKUP($A162,Table,MATCH(G$4,Curves,0))</f>
        <v>3</v>
      </c>
      <c r="H162" s="125" t="n">
        <f aca="false">G162+$H$7</f>
        <v>3</v>
      </c>
      <c r="I162" s="124" t="n">
        <f aca="false">H162</f>
        <v>3</v>
      </c>
      <c r="J162" s="124" t="n">
        <f aca="false">VLOOKUP($A162,Table,MATCH(J$4,Curves,0))</f>
        <v>4</v>
      </c>
      <c r="K162" s="125" t="n">
        <f aca="false">J162+$K$7</f>
        <v>4</v>
      </c>
      <c r="L162" s="126" t="n">
        <f aca="false">K162</f>
        <v>4</v>
      </c>
      <c r="M162" s="124" t="n">
        <f aca="false">VLOOKUP($A162,Table,MATCH(M$4,Curves,0))</f>
        <v>4</v>
      </c>
      <c r="N162" s="125" t="n">
        <f aca="false">M162+$N$7</f>
        <v>4</v>
      </c>
      <c r="O162" s="126" t="n">
        <v>-0.04</v>
      </c>
      <c r="P162" s="114"/>
      <c r="Q162" s="126" t="n">
        <f aca="false">M162+J162+G162</f>
        <v>11</v>
      </c>
      <c r="R162" s="126" t="n">
        <f aca="false">N162+K162+H162</f>
        <v>11</v>
      </c>
      <c r="S162" s="126" t="n">
        <f aca="false">O162+L162+I162</f>
        <v>6.96</v>
      </c>
      <c r="T162" s="127"/>
      <c r="U162" s="5" t="n">
        <f aca="false">A163-A162</f>
        <v>31</v>
      </c>
      <c r="V162" s="128" t="n">
        <f aca="false">CHOOSE(F$3,A163+24,A162)</f>
        <v>41913</v>
      </c>
      <c r="W162" s="5" t="n">
        <f aca="false">V162-C$3</f>
        <v>4682</v>
      </c>
      <c r="X162" s="124" t="n">
        <f aca="false">VLOOKUP($A162,Table,MATCH(X$4,Curves,0))</f>
        <v>2</v>
      </c>
      <c r="Y162" s="129" t="n">
        <f aca="false">1/(1+CHOOSE(F$3,(X163+($K$3/10000))/2,(X162+($K$3/10000))/2))^(2*W162/365.25)</f>
        <v>1.91612275388255E-008</v>
      </c>
      <c r="Z162" s="5" t="n">
        <f aca="false">IF(AND(mthbeg&lt;=A162,mthend&gt;=A162),1,0)</f>
        <v>0</v>
      </c>
      <c r="AA162" s="5" t="n">
        <f aca="false">U162*Z162</f>
        <v>0</v>
      </c>
      <c r="AC162" s="115" t="n">
        <f aca="false">IF(G155=2,F162*(S162-Q162),F162*(Q162-S162))</f>
        <v>0</v>
      </c>
      <c r="AE162" s="116" t="n">
        <f aca="false">IF($G$3=1,F162*(R162-Q162),F162*(Q162-R162))</f>
        <v>0</v>
      </c>
      <c r="AG162" s="116" t="n">
        <f aca="false">AC162+AE162</f>
        <v>0</v>
      </c>
    </row>
    <row r="163" customFormat="false" ht="12.75" hidden="false" customHeight="false" outlineLevel="0" collapsed="false">
      <c r="A163" s="120" t="n">
        <f aca="false">EDATE(A162,1)</f>
        <v>41944</v>
      </c>
      <c r="B163" s="121" t="e">
        <f aca="false">VLOOKUP(A163,'Inputs-Summary'!$A$32:$E$41,5,FALSE())</f>
        <v>#N/A</v>
      </c>
      <c r="C163" s="122"/>
      <c r="D163" s="123" t="e">
        <f aca="false">B163+C163</f>
        <v>#N/A</v>
      </c>
      <c r="E163" s="111" t="n">
        <f aca="false">IF(Z163=0,0,IF(AND(Z163=1,$H$3=1),D163*U163,IF($H$3=2,D163,"N/A")))</f>
        <v>0</v>
      </c>
      <c r="F163" s="111" t="n">
        <f aca="false">E163*Y163</f>
        <v>0</v>
      </c>
      <c r="G163" s="124" t="n">
        <f aca="false">VLOOKUP($A163,Table,MATCH(G$4,Curves,0))</f>
        <v>3</v>
      </c>
      <c r="H163" s="125" t="n">
        <f aca="false">G163+$H$7</f>
        <v>3</v>
      </c>
      <c r="I163" s="124" t="n">
        <f aca="false">H163</f>
        <v>3</v>
      </c>
      <c r="J163" s="124" t="n">
        <f aca="false">VLOOKUP($A163,Table,MATCH(J$4,Curves,0))</f>
        <v>4</v>
      </c>
      <c r="K163" s="125" t="n">
        <f aca="false">J163+$K$7</f>
        <v>4</v>
      </c>
      <c r="L163" s="126" t="n">
        <f aca="false">K163</f>
        <v>4</v>
      </c>
      <c r="M163" s="124" t="n">
        <f aca="false">VLOOKUP($A163,Table,MATCH(M$4,Curves,0))</f>
        <v>4</v>
      </c>
      <c r="N163" s="125" t="n">
        <f aca="false">M163+$N$7</f>
        <v>4</v>
      </c>
      <c r="O163" s="126" t="n">
        <v>-0.04</v>
      </c>
      <c r="P163" s="114"/>
      <c r="Q163" s="126" t="n">
        <f aca="false">M163+J163+G163</f>
        <v>11</v>
      </c>
      <c r="R163" s="126" t="n">
        <f aca="false">N163+K163+H163</f>
        <v>11</v>
      </c>
      <c r="S163" s="126" t="n">
        <f aca="false">O163+L163+I163</f>
        <v>6.96</v>
      </c>
      <c r="T163" s="127"/>
      <c r="U163" s="5" t="n">
        <f aca="false">A164-A163</f>
        <v>30</v>
      </c>
      <c r="V163" s="128" t="n">
        <f aca="false">CHOOSE(F$3,A164+24,A163)</f>
        <v>41944</v>
      </c>
      <c r="W163" s="5" t="n">
        <f aca="false">V163-C$3</f>
        <v>4713</v>
      </c>
      <c r="X163" s="124" t="n">
        <f aca="false">VLOOKUP($A163,Table,MATCH(X$4,Curves,0))</f>
        <v>2</v>
      </c>
      <c r="Y163" s="129" t="n">
        <f aca="false">1/(1+CHOOSE(F$3,(X164+($K$3/10000))/2,(X163+($K$3/10000))/2))^(2*W163/365.25)</f>
        <v>1.70343068058589E-008</v>
      </c>
      <c r="Z163" s="5" t="n">
        <f aca="false">IF(AND(mthbeg&lt;=A163,mthend&gt;=A163),1,0)</f>
        <v>0</v>
      </c>
      <c r="AA163" s="5" t="n">
        <f aca="false">U163*Z163</f>
        <v>0</v>
      </c>
      <c r="AC163" s="115" t="n">
        <f aca="false">IF(G156=2,F163*(S163-Q163),F163*(Q163-S163))</f>
        <v>0</v>
      </c>
      <c r="AE163" s="116" t="n">
        <f aca="false">IF($G$3=1,F163*(R163-Q163),F163*(Q163-R163))</f>
        <v>0</v>
      </c>
      <c r="AG163" s="116" t="n">
        <f aca="false">AC163+AE163</f>
        <v>0</v>
      </c>
    </row>
    <row r="164" customFormat="false" ht="12.75" hidden="false" customHeight="false" outlineLevel="0" collapsed="false">
      <c r="A164" s="120" t="n">
        <f aca="false">EDATE(A163,1)</f>
        <v>41974</v>
      </c>
      <c r="B164" s="121" t="e">
        <f aca="false">VLOOKUP(A164,'Inputs-Summary'!$A$32:$E$41,5,FALSE())</f>
        <v>#N/A</v>
      </c>
      <c r="C164" s="122"/>
      <c r="D164" s="123" t="e">
        <f aca="false">B164+C164</f>
        <v>#N/A</v>
      </c>
      <c r="E164" s="111" t="n">
        <f aca="false">IF(Z164=0,0,IF(AND(Z164=1,$H$3=1),D164*U164,IF($H$3=2,D164,"N/A")))</f>
        <v>0</v>
      </c>
      <c r="F164" s="111" t="n">
        <f aca="false">E164*Y164</f>
        <v>0</v>
      </c>
      <c r="G164" s="124" t="n">
        <f aca="false">VLOOKUP($A164,Table,MATCH(G$4,Curves,0))</f>
        <v>3</v>
      </c>
      <c r="H164" s="125" t="n">
        <f aca="false">G164+$H$7</f>
        <v>3</v>
      </c>
      <c r="I164" s="124" t="n">
        <f aca="false">H164</f>
        <v>3</v>
      </c>
      <c r="J164" s="124" t="n">
        <f aca="false">VLOOKUP($A164,Table,MATCH(J$4,Curves,0))</f>
        <v>4</v>
      </c>
      <c r="K164" s="125" t="n">
        <f aca="false">J164+$K$7</f>
        <v>4</v>
      </c>
      <c r="L164" s="126" t="n">
        <f aca="false">K164</f>
        <v>4</v>
      </c>
      <c r="M164" s="124" t="n">
        <f aca="false">VLOOKUP($A164,Table,MATCH(M$4,Curves,0))</f>
        <v>4</v>
      </c>
      <c r="N164" s="125" t="n">
        <f aca="false">M164+$N$7</f>
        <v>4</v>
      </c>
      <c r="O164" s="126" t="n">
        <v>-0.04</v>
      </c>
      <c r="P164" s="114"/>
      <c r="Q164" s="126" t="n">
        <f aca="false">M164+J164+G164</f>
        <v>11</v>
      </c>
      <c r="R164" s="126" t="n">
        <f aca="false">N164+K164+H164</f>
        <v>11</v>
      </c>
      <c r="S164" s="126" t="n">
        <f aca="false">O164+L164+I164</f>
        <v>6.96</v>
      </c>
      <c r="T164" s="127"/>
      <c r="U164" s="5" t="n">
        <f aca="false">A165-A164</f>
        <v>31</v>
      </c>
      <c r="V164" s="128" t="n">
        <f aca="false">CHOOSE(F$3,A165+24,A164)</f>
        <v>41974</v>
      </c>
      <c r="W164" s="5" t="n">
        <f aca="false">V164-C$3</f>
        <v>4743</v>
      </c>
      <c r="X164" s="124" t="n">
        <f aca="false">VLOOKUP($A164,Table,MATCH(X$4,Curves,0))</f>
        <v>2</v>
      </c>
      <c r="Y164" s="129" t="n">
        <f aca="false">1/(1+CHOOSE(F$3,(X165+($K$3/10000))/2,(X164+($K$3/10000))/2))^(2*W164/365.25)</f>
        <v>1.52010627732952E-008</v>
      </c>
      <c r="Z164" s="5" t="n">
        <f aca="false">IF(AND(mthbeg&lt;=A164,mthend&gt;=A164),1,0)</f>
        <v>0</v>
      </c>
      <c r="AA164" s="5" t="n">
        <f aca="false">U164*Z164</f>
        <v>0</v>
      </c>
      <c r="AC164" s="115" t="n">
        <f aca="false">IF(G157=2,F164*(S164-Q164),F164*(Q164-S164))</f>
        <v>0</v>
      </c>
      <c r="AE164" s="116" t="n">
        <f aca="false">IF($G$3=1,F164*(R164-Q164),F164*(Q164-R164))</f>
        <v>0</v>
      </c>
      <c r="AG164" s="116" t="n">
        <f aca="false">AC164+AE164</f>
        <v>0</v>
      </c>
    </row>
    <row r="165" customFormat="false" ht="12.75" hidden="false" customHeight="false" outlineLevel="0" collapsed="false">
      <c r="A165" s="120" t="n">
        <f aca="false">EDATE(A164,1)</f>
        <v>42005</v>
      </c>
      <c r="B165" s="121" t="e">
        <f aca="false">VLOOKUP(A165,'Inputs-Summary'!$A$32:$E$41,5,FALSE())</f>
        <v>#N/A</v>
      </c>
      <c r="C165" s="122"/>
      <c r="D165" s="123" t="e">
        <f aca="false">B165+C165</f>
        <v>#N/A</v>
      </c>
      <c r="E165" s="111" t="n">
        <f aca="false">IF(Z165=0,0,IF(AND(Z165=1,$H$3=1),D165*U165,IF($H$3=2,D165,"N/A")))</f>
        <v>0</v>
      </c>
      <c r="F165" s="111" t="n">
        <f aca="false">E165*Y165</f>
        <v>0</v>
      </c>
      <c r="G165" s="124" t="n">
        <f aca="false">VLOOKUP($A165,Table,MATCH(G$4,Curves,0))</f>
        <v>3</v>
      </c>
      <c r="H165" s="125" t="n">
        <f aca="false">G165+$H$7</f>
        <v>3</v>
      </c>
      <c r="I165" s="124" t="n">
        <f aca="false">H165</f>
        <v>3</v>
      </c>
      <c r="J165" s="124" t="n">
        <f aca="false">VLOOKUP($A165,Table,MATCH(J$4,Curves,0))</f>
        <v>4</v>
      </c>
      <c r="K165" s="125" t="n">
        <f aca="false">J165+$K$7</f>
        <v>4</v>
      </c>
      <c r="L165" s="126" t="n">
        <f aca="false">K165</f>
        <v>4</v>
      </c>
      <c r="M165" s="124" t="n">
        <f aca="false">VLOOKUP($A165,Table,MATCH(M$4,Curves,0))</f>
        <v>4</v>
      </c>
      <c r="N165" s="125" t="n">
        <f aca="false">M165+$N$7</f>
        <v>4</v>
      </c>
      <c r="O165" s="126" t="n">
        <v>-0.04</v>
      </c>
      <c r="P165" s="114"/>
      <c r="Q165" s="126" t="n">
        <f aca="false">M165+J165+G165</f>
        <v>11</v>
      </c>
      <c r="R165" s="126" t="n">
        <f aca="false">N165+K165+H165</f>
        <v>11</v>
      </c>
      <c r="S165" s="126" t="n">
        <f aca="false">O165+L165+I165</f>
        <v>6.96</v>
      </c>
      <c r="T165" s="127"/>
      <c r="U165" s="5" t="n">
        <f aca="false">A166-A165</f>
        <v>31</v>
      </c>
      <c r="V165" s="128" t="n">
        <f aca="false">CHOOSE(F$3,A166+24,A165)</f>
        <v>42005</v>
      </c>
      <c r="W165" s="5" t="n">
        <f aca="false">V165-C$3</f>
        <v>4774</v>
      </c>
      <c r="X165" s="124" t="n">
        <f aca="false">VLOOKUP($A165,Table,MATCH(X$4,Curves,0))</f>
        <v>2</v>
      </c>
      <c r="Y165" s="129" t="n">
        <f aca="false">1/(1+CHOOSE(F$3,(X166+($K$3/10000))/2,(X165+($K$3/10000))/2))^(2*W165/365.25)</f>
        <v>1.35137253879353E-008</v>
      </c>
      <c r="Z165" s="5" t="n">
        <f aca="false">IF(AND(mthbeg&lt;=A165,mthend&gt;=A165),1,0)</f>
        <v>0</v>
      </c>
      <c r="AA165" s="5" t="n">
        <f aca="false">U165*Z165</f>
        <v>0</v>
      </c>
      <c r="AC165" s="115" t="n">
        <f aca="false">IF(G158=2,F165*(S165-Q165),F165*(Q165-S165))</f>
        <v>0</v>
      </c>
      <c r="AE165" s="116" t="n">
        <f aca="false">IF($G$3=1,F165*(R165-Q165),F165*(Q165-R165))</f>
        <v>0</v>
      </c>
      <c r="AG165" s="116" t="n">
        <f aca="false">AC165+AE165</f>
        <v>0</v>
      </c>
    </row>
    <row r="166" customFormat="false" ht="12.75" hidden="false" customHeight="false" outlineLevel="0" collapsed="false">
      <c r="A166" s="120" t="n">
        <f aca="false">EDATE(A165,1)</f>
        <v>42036</v>
      </c>
      <c r="B166" s="121" t="e">
        <f aca="false">VLOOKUP(A166,'Inputs-Summary'!$A$32:$E$41,5,FALSE())</f>
        <v>#N/A</v>
      </c>
      <c r="C166" s="122"/>
      <c r="D166" s="123" t="e">
        <f aca="false">B166+C166</f>
        <v>#N/A</v>
      </c>
      <c r="E166" s="111" t="n">
        <f aca="false">IF(Z166=0,0,IF(AND(Z166=1,$H$3=1),D166*U166,IF($H$3=2,D166,"N/A")))</f>
        <v>0</v>
      </c>
      <c r="F166" s="111" t="n">
        <f aca="false">E166*Y166</f>
        <v>0</v>
      </c>
      <c r="G166" s="124" t="n">
        <f aca="false">VLOOKUP($A166,Table,MATCH(G$4,Curves,0))</f>
        <v>3</v>
      </c>
      <c r="H166" s="125" t="n">
        <f aca="false">G166+$H$7</f>
        <v>3</v>
      </c>
      <c r="I166" s="124" t="n">
        <f aca="false">H166</f>
        <v>3</v>
      </c>
      <c r="J166" s="124" t="n">
        <f aca="false">VLOOKUP($A166,Table,MATCH(J$4,Curves,0))</f>
        <v>4</v>
      </c>
      <c r="K166" s="125" t="n">
        <f aca="false">J166+$K$7</f>
        <v>4</v>
      </c>
      <c r="L166" s="126" t="n">
        <f aca="false">K166</f>
        <v>4</v>
      </c>
      <c r="M166" s="124" t="n">
        <f aca="false">VLOOKUP($A166,Table,MATCH(M$4,Curves,0))</f>
        <v>4</v>
      </c>
      <c r="N166" s="125" t="n">
        <f aca="false">M166+$N$7</f>
        <v>4</v>
      </c>
      <c r="O166" s="126" t="n">
        <v>-0.04</v>
      </c>
      <c r="P166" s="114"/>
      <c r="Q166" s="126" t="n">
        <f aca="false">M166+J166+G166</f>
        <v>11</v>
      </c>
      <c r="R166" s="126" t="n">
        <f aca="false">N166+K166+H166</f>
        <v>11</v>
      </c>
      <c r="S166" s="126" t="n">
        <f aca="false">O166+L166+I166</f>
        <v>6.96</v>
      </c>
      <c r="T166" s="127"/>
      <c r="U166" s="5" t="n">
        <f aca="false">A167-A166</f>
        <v>28</v>
      </c>
      <c r="V166" s="128" t="n">
        <f aca="false">CHOOSE(F$3,A167+24,A166)</f>
        <v>42036</v>
      </c>
      <c r="W166" s="5" t="n">
        <f aca="false">V166-C$3</f>
        <v>4805</v>
      </c>
      <c r="X166" s="124" t="n">
        <f aca="false">VLOOKUP($A166,Table,MATCH(X$4,Curves,0))</f>
        <v>2</v>
      </c>
      <c r="Y166" s="129" t="n">
        <f aca="false">1/(1+CHOOSE(F$3,(X167+($K$3/10000))/2,(X166+($K$3/10000))/2))^(2*W166/365.25)</f>
        <v>1.20136846077204E-008</v>
      </c>
      <c r="Z166" s="5" t="n">
        <f aca="false">IF(AND(mthbeg&lt;=A166,mthend&gt;=A166),1,0)</f>
        <v>0</v>
      </c>
      <c r="AA166" s="5" t="n">
        <f aca="false">U166*Z166</f>
        <v>0</v>
      </c>
      <c r="AC166" s="115" t="n">
        <f aca="false">IF(G159=2,F166*(S166-Q166),F166*(Q166-S166))</f>
        <v>0</v>
      </c>
      <c r="AE166" s="116" t="n">
        <f aca="false">IF($G$3=1,F166*(R166-Q166),F166*(Q166-R166))</f>
        <v>0</v>
      </c>
      <c r="AG166" s="116" t="n">
        <f aca="false">AC166+AE166</f>
        <v>0</v>
      </c>
    </row>
    <row r="167" customFormat="false" ht="12.75" hidden="false" customHeight="false" outlineLevel="0" collapsed="false">
      <c r="A167" s="120" t="n">
        <f aca="false">EDATE(A166,1)</f>
        <v>42064</v>
      </c>
      <c r="B167" s="121" t="e">
        <f aca="false">VLOOKUP(A167,'Inputs-Summary'!$A$32:$E$41,5,FALSE())</f>
        <v>#N/A</v>
      </c>
      <c r="C167" s="122"/>
      <c r="D167" s="123" t="e">
        <f aca="false">B167+C167</f>
        <v>#N/A</v>
      </c>
      <c r="E167" s="111" t="n">
        <f aca="false">IF(Z167=0,0,IF(AND(Z167=1,$H$3=1),D167*U167,IF($H$3=2,D167,"N/A")))</f>
        <v>0</v>
      </c>
      <c r="F167" s="111" t="n">
        <f aca="false">E167*Y167</f>
        <v>0</v>
      </c>
      <c r="G167" s="124" t="n">
        <f aca="false">VLOOKUP($A167,Table,MATCH(G$4,Curves,0))</f>
        <v>3</v>
      </c>
      <c r="H167" s="125" t="n">
        <f aca="false">G167+$H$7</f>
        <v>3</v>
      </c>
      <c r="I167" s="124" t="n">
        <f aca="false">H167</f>
        <v>3</v>
      </c>
      <c r="J167" s="124" t="n">
        <f aca="false">VLOOKUP($A167,Table,MATCH(J$4,Curves,0))</f>
        <v>4</v>
      </c>
      <c r="K167" s="125" t="n">
        <f aca="false">J167+$K$7</f>
        <v>4</v>
      </c>
      <c r="L167" s="126" t="n">
        <f aca="false">K167</f>
        <v>4</v>
      </c>
      <c r="M167" s="124" t="n">
        <f aca="false">VLOOKUP($A167,Table,MATCH(M$4,Curves,0))</f>
        <v>4</v>
      </c>
      <c r="N167" s="125" t="n">
        <f aca="false">M167+$N$7</f>
        <v>4</v>
      </c>
      <c r="O167" s="126" t="n">
        <v>-0.04</v>
      </c>
      <c r="P167" s="114"/>
      <c r="Q167" s="126" t="n">
        <f aca="false">M167+J167+G167</f>
        <v>11</v>
      </c>
      <c r="R167" s="126" t="n">
        <f aca="false">N167+K167+H167</f>
        <v>11</v>
      </c>
      <c r="S167" s="126" t="n">
        <f aca="false">O167+L167+I167</f>
        <v>6.96</v>
      </c>
      <c r="T167" s="127"/>
      <c r="U167" s="5" t="n">
        <f aca="false">A168-A167</f>
        <v>31</v>
      </c>
      <c r="V167" s="128" t="n">
        <f aca="false">CHOOSE(F$3,A168+24,A167)</f>
        <v>42064</v>
      </c>
      <c r="W167" s="5" t="n">
        <f aca="false">V167-C$3</f>
        <v>4833</v>
      </c>
      <c r="X167" s="124" t="n">
        <f aca="false">VLOOKUP($A167,Table,MATCH(X$4,Curves,0))</f>
        <v>2</v>
      </c>
      <c r="Y167" s="129" t="n">
        <f aca="false">1/(1+CHOOSE(F$3,(X168+($K$3/10000))/2,(X167+($K$3/10000))/2))^(2*W167/365.25)</f>
        <v>1.08024537241203E-008</v>
      </c>
      <c r="Z167" s="5" t="n">
        <f aca="false">IF(AND(mthbeg&lt;=A167,mthend&gt;=A167),1,0)</f>
        <v>0</v>
      </c>
      <c r="AA167" s="5" t="n">
        <f aca="false">U167*Z167</f>
        <v>0</v>
      </c>
      <c r="AC167" s="115" t="n">
        <f aca="false">IF(G160=2,F167*(S167-Q167),F167*(Q167-S167))</f>
        <v>0</v>
      </c>
      <c r="AE167" s="116" t="n">
        <f aca="false">IF($G$3=1,F167*(R167-Q167),F167*(Q167-R167))</f>
        <v>0</v>
      </c>
      <c r="AG167" s="116" t="n">
        <f aca="false">AC167+AE167</f>
        <v>0</v>
      </c>
    </row>
    <row r="168" customFormat="false" ht="12.75" hidden="false" customHeight="false" outlineLevel="0" collapsed="false">
      <c r="A168" s="120" t="n">
        <f aca="false">EDATE(A167,1)</f>
        <v>42095</v>
      </c>
      <c r="B168" s="121" t="e">
        <f aca="false">VLOOKUP(A168,'Inputs-Summary'!$A$32:$E$41,5,FALSE())</f>
        <v>#N/A</v>
      </c>
      <c r="C168" s="122"/>
      <c r="D168" s="123" t="e">
        <f aca="false">B168+C168</f>
        <v>#N/A</v>
      </c>
      <c r="E168" s="111" t="n">
        <f aca="false">IF(Z168=0,0,IF(AND(Z168=1,$H$3=1),D168*U168,IF($H$3=2,D168,"N/A")))</f>
        <v>0</v>
      </c>
      <c r="F168" s="111" t="n">
        <f aca="false">E168*Y168</f>
        <v>0</v>
      </c>
      <c r="G168" s="124" t="n">
        <f aca="false">VLOOKUP($A168,Table,MATCH(G$4,Curves,0))</f>
        <v>3</v>
      </c>
      <c r="H168" s="125" t="n">
        <f aca="false">G168+$H$7</f>
        <v>3</v>
      </c>
      <c r="I168" s="124" t="n">
        <f aca="false">H168</f>
        <v>3</v>
      </c>
      <c r="J168" s="124" t="n">
        <f aca="false">VLOOKUP($A168,Table,MATCH(J$4,Curves,0))</f>
        <v>4</v>
      </c>
      <c r="K168" s="125" t="n">
        <f aca="false">J168+$K$7</f>
        <v>4</v>
      </c>
      <c r="L168" s="126" t="n">
        <f aca="false">K168</f>
        <v>4</v>
      </c>
      <c r="M168" s="124" t="n">
        <f aca="false">VLOOKUP($A168,Table,MATCH(M$4,Curves,0))</f>
        <v>4</v>
      </c>
      <c r="N168" s="125" t="n">
        <f aca="false">M168+$N$7</f>
        <v>4</v>
      </c>
      <c r="O168" s="126" t="n">
        <v>-0.04</v>
      </c>
      <c r="P168" s="114"/>
      <c r="Q168" s="126" t="n">
        <f aca="false">M168+J168+G168</f>
        <v>11</v>
      </c>
      <c r="R168" s="126" t="n">
        <f aca="false">N168+K168+H168</f>
        <v>11</v>
      </c>
      <c r="S168" s="126" t="n">
        <f aca="false">O168+L168+I168</f>
        <v>6.96</v>
      </c>
      <c r="T168" s="127"/>
      <c r="U168" s="5" t="n">
        <f aca="false">A169-A168</f>
        <v>30</v>
      </c>
      <c r="V168" s="128" t="n">
        <f aca="false">CHOOSE(F$3,A169+24,A168)</f>
        <v>42095</v>
      </c>
      <c r="W168" s="5" t="n">
        <f aca="false">V168-C$3</f>
        <v>4864</v>
      </c>
      <c r="X168" s="124" t="n">
        <f aca="false">VLOOKUP($A168,Table,MATCH(X$4,Curves,0))</f>
        <v>2</v>
      </c>
      <c r="Y168" s="129" t="n">
        <f aca="false">1/(1+CHOOSE(F$3,(X169+($K$3/10000))/2,(X168+($K$3/10000))/2))^(2*W168/365.25)</f>
        <v>9.60336756191134E-009</v>
      </c>
      <c r="Z168" s="5" t="n">
        <f aca="false">IF(AND(mthbeg&lt;=A168,mthend&gt;=A168),1,0)</f>
        <v>0</v>
      </c>
      <c r="AA168" s="5" t="n">
        <f aca="false">U168*Z168</f>
        <v>0</v>
      </c>
      <c r="AC168" s="115" t="n">
        <f aca="false">IF(G161=2,F168*(S168-Q168),F168*(Q168-S168))</f>
        <v>0</v>
      </c>
      <c r="AE168" s="116" t="n">
        <f aca="false">IF($G$3=1,F168*(R168-Q168),F168*(Q168-R168))</f>
        <v>0</v>
      </c>
      <c r="AG168" s="116" t="n">
        <f aca="false">AC168+AE168</f>
        <v>0</v>
      </c>
    </row>
    <row r="169" customFormat="false" ht="12.75" hidden="false" customHeight="false" outlineLevel="0" collapsed="false">
      <c r="A169" s="120" t="n">
        <f aca="false">EDATE(A168,1)</f>
        <v>42125</v>
      </c>
      <c r="B169" s="121" t="e">
        <f aca="false">VLOOKUP(A169,'Inputs-Summary'!$A$32:$E$41,5,FALSE())</f>
        <v>#N/A</v>
      </c>
      <c r="C169" s="122"/>
      <c r="D169" s="123" t="e">
        <f aca="false">B169+C169</f>
        <v>#N/A</v>
      </c>
      <c r="E169" s="111" t="n">
        <f aca="false">IF(Z169=0,0,IF(AND(Z169=1,$H$3=1),D169*U169,IF($H$3=2,D169,"N/A")))</f>
        <v>0</v>
      </c>
      <c r="F169" s="111" t="n">
        <f aca="false">E169*Y169</f>
        <v>0</v>
      </c>
      <c r="G169" s="124" t="n">
        <f aca="false">VLOOKUP($A169,Table,MATCH(G$4,Curves,0))</f>
        <v>3</v>
      </c>
      <c r="H169" s="125" t="n">
        <f aca="false">G169+$H$7</f>
        <v>3</v>
      </c>
      <c r="I169" s="124" t="n">
        <f aca="false">H169</f>
        <v>3</v>
      </c>
      <c r="J169" s="124" t="n">
        <f aca="false">VLOOKUP($A169,Table,MATCH(J$4,Curves,0))</f>
        <v>4</v>
      </c>
      <c r="K169" s="125" t="n">
        <f aca="false">J169+$K$7</f>
        <v>4</v>
      </c>
      <c r="L169" s="126" t="n">
        <f aca="false">K169</f>
        <v>4</v>
      </c>
      <c r="M169" s="124" t="n">
        <f aca="false">VLOOKUP($A169,Table,MATCH(M$4,Curves,0))</f>
        <v>4</v>
      </c>
      <c r="N169" s="125" t="n">
        <f aca="false">M169+$N$7</f>
        <v>4</v>
      </c>
      <c r="O169" s="126" t="n">
        <v>-0.04</v>
      </c>
      <c r="P169" s="114"/>
      <c r="Q169" s="126" t="n">
        <f aca="false">M169+J169+G169</f>
        <v>11</v>
      </c>
      <c r="R169" s="126" t="n">
        <f aca="false">N169+K169+H169</f>
        <v>11</v>
      </c>
      <c r="S169" s="126" t="n">
        <f aca="false">O169+L169+I169</f>
        <v>6.96</v>
      </c>
      <c r="T169" s="127"/>
      <c r="U169" s="5" t="n">
        <f aca="false">A170-A169</f>
        <v>31</v>
      </c>
      <c r="V169" s="128" t="n">
        <f aca="false">CHOOSE(F$3,A170+24,A169)</f>
        <v>42125</v>
      </c>
      <c r="W169" s="5" t="n">
        <f aca="false">V169-C$3</f>
        <v>4894</v>
      </c>
      <c r="X169" s="124" t="n">
        <f aca="false">VLOOKUP($A169,Table,MATCH(X$4,Curves,0))</f>
        <v>2</v>
      </c>
      <c r="Y169" s="129" t="n">
        <f aca="false">1/(1+CHOOSE(F$3,(X170+($K$3/10000))/2,(X169+($K$3/10000))/2))^(2*W169/365.25)</f>
        <v>8.56984641684573E-009</v>
      </c>
      <c r="Z169" s="5" t="n">
        <f aca="false">IF(AND(mthbeg&lt;=A169,mthend&gt;=A169),1,0)</f>
        <v>0</v>
      </c>
      <c r="AA169" s="5" t="n">
        <f aca="false">U169*Z169</f>
        <v>0</v>
      </c>
      <c r="AC169" s="115" t="n">
        <f aca="false">IF(G162=2,F169*(S169-Q169),F169*(Q169-S169))</f>
        <v>0</v>
      </c>
      <c r="AE169" s="116" t="n">
        <f aca="false">IF($G$3=1,F169*(R169-Q169),F169*(Q169-R169))</f>
        <v>0</v>
      </c>
      <c r="AG169" s="116" t="n">
        <f aca="false">AC169+AE169</f>
        <v>0</v>
      </c>
    </row>
    <row r="170" customFormat="false" ht="12" hidden="false" customHeight="true" outlineLevel="0" collapsed="false">
      <c r="A170" s="120" t="n">
        <f aca="false">EDATE(A169,1)</f>
        <v>42156</v>
      </c>
      <c r="B170" s="121" t="e">
        <f aca="false">VLOOKUP(A170,'Inputs-Summary'!$A$32:$E$41,5,FALSE())</f>
        <v>#N/A</v>
      </c>
      <c r="C170" s="122"/>
      <c r="D170" s="123" t="e">
        <f aca="false">B170+C170</f>
        <v>#N/A</v>
      </c>
      <c r="E170" s="111" t="n">
        <f aca="false">IF(Z170=0,0,IF(AND(Z170=1,$H$3=1),D170*U170,IF($H$3=2,D170,"N/A")))</f>
        <v>0</v>
      </c>
      <c r="F170" s="111" t="n">
        <f aca="false">E170*Y170</f>
        <v>0</v>
      </c>
      <c r="G170" s="124" t="n">
        <f aca="false">VLOOKUP($A170,Table,MATCH(G$4,Curves,0))</f>
        <v>3</v>
      </c>
      <c r="H170" s="125" t="n">
        <f aca="false">G170+$H$7</f>
        <v>3</v>
      </c>
      <c r="I170" s="124" t="n">
        <f aca="false">H170</f>
        <v>3</v>
      </c>
      <c r="J170" s="124" t="n">
        <f aca="false">VLOOKUP($A170,Table,MATCH(J$4,Curves,0))</f>
        <v>4</v>
      </c>
      <c r="K170" s="125" t="n">
        <f aca="false">J170+$K$7</f>
        <v>4</v>
      </c>
      <c r="L170" s="126" t="n">
        <f aca="false">K170</f>
        <v>4</v>
      </c>
      <c r="M170" s="124" t="n">
        <f aca="false">VLOOKUP($A170,Table,MATCH(M$4,Curves,0))</f>
        <v>4</v>
      </c>
      <c r="N170" s="125" t="n">
        <f aca="false">M170+$N$7</f>
        <v>4</v>
      </c>
      <c r="O170" s="126" t="n">
        <v>-0.04</v>
      </c>
      <c r="P170" s="114"/>
      <c r="Q170" s="126" t="n">
        <f aca="false">M170+J170+G170</f>
        <v>11</v>
      </c>
      <c r="R170" s="126" t="n">
        <f aca="false">N170+K170+H170</f>
        <v>11</v>
      </c>
      <c r="S170" s="126" t="n">
        <f aca="false">O170+L170+I170</f>
        <v>6.96</v>
      </c>
      <c r="T170" s="127"/>
      <c r="U170" s="5" t="n">
        <f aca="false">A171-A170</f>
        <v>30</v>
      </c>
      <c r="V170" s="128" t="n">
        <f aca="false">CHOOSE(F$3,A171+24,A170)</f>
        <v>42156</v>
      </c>
      <c r="W170" s="5" t="n">
        <f aca="false">V170-C$3</f>
        <v>4925</v>
      </c>
      <c r="X170" s="124" t="n">
        <f aca="false">VLOOKUP($A170,Table,MATCH(X$4,Curves,0))</f>
        <v>2</v>
      </c>
      <c r="Y170" s="129" t="n">
        <f aca="false">1/(1+CHOOSE(F$3,(X171+($K$3/10000))/2,(X170+($K$3/10000))/2))^(2*W170/365.25)</f>
        <v>7.61858251763077E-009</v>
      </c>
      <c r="Z170" s="5" t="n">
        <f aca="false">IF(AND(mthbeg&lt;=A170,mthend&gt;=A170),1,0)</f>
        <v>0</v>
      </c>
      <c r="AA170" s="5" t="n">
        <f aca="false">U170*Z170</f>
        <v>0</v>
      </c>
      <c r="AC170" s="115" t="n">
        <f aca="false">IF(G163=2,F170*(S170-Q170),F170*(Q170-S170))</f>
        <v>0</v>
      </c>
      <c r="AE170" s="116" t="n">
        <f aca="false">IF($G$3=1,F170*(R170-Q170),F170*(Q170-R170))</f>
        <v>0</v>
      </c>
      <c r="AG170" s="116" t="n">
        <f aca="false">AC170+AE170</f>
        <v>0</v>
      </c>
    </row>
    <row r="171" customFormat="false" ht="12" hidden="false" customHeight="true" outlineLevel="0" collapsed="false">
      <c r="A171" s="120" t="n">
        <f aca="false">EDATE(A170,1)</f>
        <v>42186</v>
      </c>
      <c r="B171" s="121" t="e">
        <f aca="false">VLOOKUP(A171,'Inputs-Summary'!$A$32:$E$41,5,FALSE())</f>
        <v>#N/A</v>
      </c>
      <c r="C171" s="122"/>
      <c r="D171" s="123" t="e">
        <f aca="false">B171+C171</f>
        <v>#N/A</v>
      </c>
      <c r="E171" s="111" t="n">
        <f aca="false">IF(Z171=0,0,IF(AND(Z171=1,$H$3=1),D171*U171,IF($H$3=2,D171,"N/A")))</f>
        <v>0</v>
      </c>
      <c r="F171" s="111" t="n">
        <f aca="false">E171*Y171</f>
        <v>0</v>
      </c>
      <c r="G171" s="124" t="n">
        <f aca="false">VLOOKUP($A171,Table,MATCH(G$4,Curves,0))</f>
        <v>3</v>
      </c>
      <c r="H171" s="125" t="n">
        <f aca="false">G171+$H$7</f>
        <v>3</v>
      </c>
      <c r="I171" s="124" t="n">
        <f aca="false">H171</f>
        <v>3</v>
      </c>
      <c r="J171" s="124" t="n">
        <f aca="false">VLOOKUP($A171,Table,MATCH(J$4,Curves,0))</f>
        <v>4</v>
      </c>
      <c r="K171" s="125" t="n">
        <f aca="false">J171+$K$7</f>
        <v>4</v>
      </c>
      <c r="L171" s="126" t="n">
        <f aca="false">K171</f>
        <v>4</v>
      </c>
      <c r="M171" s="124" t="n">
        <f aca="false">VLOOKUP($A171,Table,MATCH(M$4,Curves,0))</f>
        <v>4</v>
      </c>
      <c r="N171" s="125" t="n">
        <f aca="false">M171+$N$7</f>
        <v>4</v>
      </c>
      <c r="O171" s="126" t="n">
        <v>-0.04</v>
      </c>
      <c r="P171" s="114"/>
      <c r="Q171" s="126" t="n">
        <f aca="false">M171+J171+G171</f>
        <v>11</v>
      </c>
      <c r="R171" s="126" t="n">
        <f aca="false">N171+K171+H171</f>
        <v>11</v>
      </c>
      <c r="S171" s="126" t="n">
        <f aca="false">O171+L171+I171</f>
        <v>6.96</v>
      </c>
      <c r="T171" s="127"/>
      <c r="U171" s="5" t="n">
        <f aca="false">A172-A171</f>
        <v>31</v>
      </c>
      <c r="V171" s="128" t="n">
        <f aca="false">CHOOSE(F$3,A172+24,A171)</f>
        <v>42186</v>
      </c>
      <c r="W171" s="5" t="n">
        <f aca="false">V171-C$3</f>
        <v>4955</v>
      </c>
      <c r="X171" s="124" t="n">
        <f aca="false">VLOOKUP($A171,Table,MATCH(X$4,Curves,0))</f>
        <v>2</v>
      </c>
      <c r="Y171" s="129" t="n">
        <f aca="false">1/(1+CHOOSE(F$3,(X172+($K$3/10000))/2,(X171+($K$3/10000))/2))^(2*W171/365.25)</f>
        <v>6.79866532955726E-009</v>
      </c>
      <c r="Z171" s="5" t="n">
        <f aca="false">IF(AND(mthbeg&lt;=A171,mthend&gt;=A171),1,0)</f>
        <v>0</v>
      </c>
      <c r="AA171" s="5" t="n">
        <f aca="false">U171*Z171</f>
        <v>0</v>
      </c>
      <c r="AC171" s="115" t="n">
        <f aca="false">IF(G164=2,F171*(S171-Q171),F171*(Q171-S171))</f>
        <v>0</v>
      </c>
      <c r="AE171" s="116" t="n">
        <f aca="false">IF($G$3=1,F171*(R171-Q171),F171*(Q171-R171))</f>
        <v>0</v>
      </c>
      <c r="AG171" s="116" t="n">
        <f aca="false">AC171+AE171</f>
        <v>0</v>
      </c>
    </row>
    <row r="172" customFormat="false" ht="12" hidden="false" customHeight="true" outlineLevel="0" collapsed="false">
      <c r="A172" s="120" t="n">
        <f aca="false">EDATE(A171,1)</f>
        <v>42217</v>
      </c>
      <c r="B172" s="121" t="e">
        <f aca="false">VLOOKUP(A172,'Inputs-Summary'!$A$32:$E$41,5,FALSE())</f>
        <v>#N/A</v>
      </c>
      <c r="C172" s="122"/>
      <c r="D172" s="123" t="e">
        <f aca="false">B172+C172</f>
        <v>#N/A</v>
      </c>
      <c r="E172" s="111" t="n">
        <f aca="false">IF(Z172=0,0,IF(AND(Z172=1,$H$3=1),D172*U172,IF($H$3=2,D172,"N/A")))</f>
        <v>0</v>
      </c>
      <c r="F172" s="111" t="n">
        <f aca="false">E172*Y172</f>
        <v>0</v>
      </c>
      <c r="G172" s="124" t="n">
        <f aca="false">VLOOKUP($A172,Table,MATCH(G$4,Curves,0))</f>
        <v>3</v>
      </c>
      <c r="H172" s="125" t="n">
        <f aca="false">G172+$H$7</f>
        <v>3</v>
      </c>
      <c r="I172" s="124" t="n">
        <f aca="false">H172</f>
        <v>3</v>
      </c>
      <c r="J172" s="124" t="n">
        <f aca="false">VLOOKUP($A172,Table,MATCH(J$4,Curves,0))</f>
        <v>4</v>
      </c>
      <c r="K172" s="125" t="n">
        <f aca="false">J172+$K$7</f>
        <v>4</v>
      </c>
      <c r="L172" s="126" t="n">
        <f aca="false">K172</f>
        <v>4</v>
      </c>
      <c r="M172" s="124" t="n">
        <f aca="false">VLOOKUP($A172,Table,MATCH(M$4,Curves,0))</f>
        <v>4</v>
      </c>
      <c r="N172" s="125" t="n">
        <f aca="false">M172+$N$7</f>
        <v>4</v>
      </c>
      <c r="O172" s="126" t="n">
        <v>-0.04</v>
      </c>
      <c r="P172" s="114"/>
      <c r="Q172" s="126" t="n">
        <f aca="false">M172+J172+G172</f>
        <v>11</v>
      </c>
      <c r="R172" s="126" t="n">
        <f aca="false">N172+K172+H172</f>
        <v>11</v>
      </c>
      <c r="S172" s="126" t="n">
        <f aca="false">O172+L172+I172</f>
        <v>6.96</v>
      </c>
      <c r="T172" s="127"/>
      <c r="U172" s="5" t="n">
        <f aca="false">A173-A172</f>
        <v>31</v>
      </c>
      <c r="V172" s="128" t="n">
        <f aca="false">CHOOSE(F$3,A173+24,A172)</f>
        <v>42217</v>
      </c>
      <c r="W172" s="5" t="n">
        <f aca="false">V172-C$3</f>
        <v>4986</v>
      </c>
      <c r="X172" s="124" t="n">
        <f aca="false">VLOOKUP($A172,Table,MATCH(X$4,Curves,0))</f>
        <v>2</v>
      </c>
      <c r="Y172" s="129" t="n">
        <f aca="false">1/(1+CHOOSE(F$3,(X173+($K$3/10000))/2,(X172+($K$3/10000))/2))^(2*W172/365.25)</f>
        <v>6.04400479350152E-009</v>
      </c>
      <c r="Z172" s="5" t="n">
        <f aca="false">IF(AND(mthbeg&lt;=A172,mthend&gt;=A172),1,0)</f>
        <v>0</v>
      </c>
      <c r="AA172" s="5" t="n">
        <f aca="false">U172*Z172</f>
        <v>0</v>
      </c>
      <c r="AC172" s="115" t="n">
        <f aca="false">IF(G165=2,F172*(S172-Q172),F172*(Q172-S172))</f>
        <v>0</v>
      </c>
      <c r="AE172" s="116" t="n">
        <f aca="false">IF($G$3=1,F172*(R172-Q172),F172*(Q172-R172))</f>
        <v>0</v>
      </c>
      <c r="AG172" s="116" t="n">
        <f aca="false">AC172+AE172</f>
        <v>0</v>
      </c>
    </row>
    <row r="173" customFormat="false" ht="12" hidden="false" customHeight="true" outlineLevel="0" collapsed="false">
      <c r="A173" s="120" t="n">
        <f aca="false">EDATE(A172,1)</f>
        <v>42248</v>
      </c>
      <c r="B173" s="121" t="e">
        <f aca="false">VLOOKUP(A173,'Inputs-Summary'!$A$32:$E$41,5,FALSE())</f>
        <v>#N/A</v>
      </c>
      <c r="C173" s="122"/>
      <c r="D173" s="123" t="e">
        <f aca="false">B173+C173</f>
        <v>#N/A</v>
      </c>
      <c r="E173" s="111" t="n">
        <f aca="false">IF(Z173=0,0,IF(AND(Z173=1,$H$3=1),D173*U173,IF($H$3=2,D173,"N/A")))</f>
        <v>0</v>
      </c>
      <c r="F173" s="111" t="n">
        <f aca="false">E173*Y173</f>
        <v>0</v>
      </c>
      <c r="G173" s="124" t="n">
        <f aca="false">VLOOKUP($A173,Table,MATCH(G$4,Curves,0))</f>
        <v>3</v>
      </c>
      <c r="H173" s="125" t="n">
        <f aca="false">G173+$H$7</f>
        <v>3</v>
      </c>
      <c r="I173" s="124" t="n">
        <f aca="false">H173</f>
        <v>3</v>
      </c>
      <c r="J173" s="124" t="n">
        <f aca="false">VLOOKUP($A173,Table,MATCH(J$4,Curves,0))</f>
        <v>4</v>
      </c>
      <c r="K173" s="125" t="n">
        <f aca="false">J173+$K$7</f>
        <v>4</v>
      </c>
      <c r="L173" s="126" t="n">
        <f aca="false">K173</f>
        <v>4</v>
      </c>
      <c r="M173" s="124" t="n">
        <f aca="false">VLOOKUP($A173,Table,MATCH(M$4,Curves,0))</f>
        <v>4</v>
      </c>
      <c r="N173" s="125" t="n">
        <f aca="false">M173+$N$7</f>
        <v>4</v>
      </c>
      <c r="O173" s="126" t="n">
        <v>-0.04</v>
      </c>
      <c r="P173" s="114"/>
      <c r="Q173" s="126" t="n">
        <f aca="false">M173+J173+G173</f>
        <v>11</v>
      </c>
      <c r="R173" s="126" t="n">
        <f aca="false">N173+K173+H173</f>
        <v>11</v>
      </c>
      <c r="S173" s="126" t="n">
        <f aca="false">O173+L173+I173</f>
        <v>6.96</v>
      </c>
      <c r="T173" s="127"/>
      <c r="U173" s="5" t="n">
        <f aca="false">A174-A173</f>
        <v>30</v>
      </c>
      <c r="V173" s="128" t="n">
        <f aca="false">CHOOSE(F$3,A174+24,A173)</f>
        <v>42248</v>
      </c>
      <c r="W173" s="5" t="n">
        <f aca="false">V173-C$3</f>
        <v>5017</v>
      </c>
      <c r="X173" s="124" t="n">
        <f aca="false">VLOOKUP($A173,Table,MATCH(X$4,Curves,0))</f>
        <v>2</v>
      </c>
      <c r="Y173" s="129" t="n">
        <f aca="false">1/(1+CHOOSE(F$3,(X174+($K$3/10000))/2,(X173+($K$3/10000))/2))^(2*W173/365.25)</f>
        <v>5.37311254093577E-009</v>
      </c>
      <c r="Z173" s="5" t="n">
        <f aca="false">IF(AND(mthbeg&lt;=A173,mthend&gt;=A173),1,0)</f>
        <v>0</v>
      </c>
      <c r="AA173" s="5" t="n">
        <f aca="false">U173*Z173</f>
        <v>0</v>
      </c>
      <c r="AC173" s="115" t="n">
        <f aca="false">IF(G166=2,F173*(S173-Q173),F173*(Q173-S173))</f>
        <v>0</v>
      </c>
      <c r="AE173" s="116" t="n">
        <f aca="false">IF($G$3=1,F173*(R173-Q173),F173*(Q173-R173))</f>
        <v>0</v>
      </c>
      <c r="AG173" s="116" t="n">
        <f aca="false">AC173+AE173</f>
        <v>0</v>
      </c>
    </row>
    <row r="174" customFormat="false" ht="12" hidden="false" customHeight="true" outlineLevel="0" collapsed="false">
      <c r="A174" s="120" t="n">
        <f aca="false">EDATE(A173,1)</f>
        <v>42278</v>
      </c>
      <c r="B174" s="121" t="e">
        <f aca="false">VLOOKUP(A174,'Inputs-Summary'!$A$32:$E$41,5,FALSE())</f>
        <v>#N/A</v>
      </c>
      <c r="C174" s="122"/>
      <c r="D174" s="123" t="e">
        <f aca="false">B174+C174</f>
        <v>#N/A</v>
      </c>
      <c r="E174" s="111" t="n">
        <f aca="false">IF(Z174=0,0,IF(AND(Z174=1,$H$3=1),D174*U174,IF($H$3=2,D174,"N/A")))</f>
        <v>0</v>
      </c>
      <c r="F174" s="111" t="n">
        <f aca="false">E174*Y174</f>
        <v>0</v>
      </c>
      <c r="G174" s="124" t="n">
        <f aca="false">VLOOKUP($A174,Table,MATCH(G$4,Curves,0))</f>
        <v>3</v>
      </c>
      <c r="H174" s="125" t="n">
        <f aca="false">G174+$H$7</f>
        <v>3</v>
      </c>
      <c r="I174" s="124" t="n">
        <f aca="false">H174</f>
        <v>3</v>
      </c>
      <c r="J174" s="124" t="n">
        <f aca="false">VLOOKUP($A174,Table,MATCH(J$4,Curves,0))</f>
        <v>4</v>
      </c>
      <c r="K174" s="125" t="n">
        <f aca="false">J174+$K$7</f>
        <v>4</v>
      </c>
      <c r="L174" s="126" t="n">
        <f aca="false">K174</f>
        <v>4</v>
      </c>
      <c r="M174" s="124" t="n">
        <f aca="false">VLOOKUP($A174,Table,MATCH(M$4,Curves,0))</f>
        <v>4</v>
      </c>
      <c r="N174" s="125" t="n">
        <f aca="false">M174+$N$7</f>
        <v>4</v>
      </c>
      <c r="O174" s="126" t="n">
        <v>-0.04</v>
      </c>
      <c r="P174" s="114"/>
      <c r="Q174" s="126" t="n">
        <f aca="false">M174+J174+G174</f>
        <v>11</v>
      </c>
      <c r="R174" s="126" t="n">
        <f aca="false">N174+K174+H174</f>
        <v>11</v>
      </c>
      <c r="S174" s="126" t="n">
        <f aca="false">O174+L174+I174</f>
        <v>6.96</v>
      </c>
      <c r="T174" s="127"/>
      <c r="U174" s="5" t="n">
        <f aca="false">A175-A174</f>
        <v>31</v>
      </c>
      <c r="V174" s="128" t="n">
        <f aca="false">CHOOSE(F$3,A175+24,A174)</f>
        <v>42278</v>
      </c>
      <c r="W174" s="5" t="n">
        <f aca="false">V174-C$3</f>
        <v>5047</v>
      </c>
      <c r="X174" s="124" t="n">
        <f aca="false">VLOOKUP($A174,Table,MATCH(X$4,Curves,0))</f>
        <v>2</v>
      </c>
      <c r="Y174" s="129" t="n">
        <f aca="false">1/(1+CHOOSE(F$3,(X175+($K$3/10000))/2,(X174+($K$3/10000))/2))^(2*W174/365.25)</f>
        <v>4.79485440491488E-009</v>
      </c>
      <c r="Z174" s="5" t="n">
        <f aca="false">IF(AND(mthbeg&lt;=A174,mthend&gt;=A174),1,0)</f>
        <v>0</v>
      </c>
      <c r="AA174" s="5" t="n">
        <f aca="false">U174*Z174</f>
        <v>0</v>
      </c>
      <c r="AC174" s="115" t="n">
        <f aca="false">IF(G167=2,F174*(S174-Q174),F174*(Q174-S174))</f>
        <v>0</v>
      </c>
      <c r="AE174" s="116" t="n">
        <f aca="false">IF($G$3=1,F174*(R174-Q174),F174*(Q174-R174))</f>
        <v>0</v>
      </c>
      <c r="AG174" s="116" t="n">
        <f aca="false">AC174+AE174</f>
        <v>0</v>
      </c>
    </row>
    <row r="175" customFormat="false" ht="12" hidden="false" customHeight="true" outlineLevel="0" collapsed="false">
      <c r="A175" s="120" t="n">
        <f aca="false">EDATE(A174,1)</f>
        <v>42309</v>
      </c>
      <c r="B175" s="121" t="e">
        <f aca="false">VLOOKUP(A175,'Inputs-Summary'!$A$32:$E$41,5,FALSE())</f>
        <v>#N/A</v>
      </c>
      <c r="C175" s="122"/>
      <c r="D175" s="123" t="e">
        <f aca="false">B175+C175</f>
        <v>#N/A</v>
      </c>
      <c r="E175" s="111" t="n">
        <f aca="false">IF(Z175=0,0,IF(AND(Z175=1,$H$3=1),D175*U175,IF($H$3=2,D175,"N/A")))</f>
        <v>0</v>
      </c>
      <c r="F175" s="111" t="n">
        <f aca="false">E175*Y175</f>
        <v>0</v>
      </c>
      <c r="G175" s="124" t="n">
        <f aca="false">VLOOKUP($A175,Table,MATCH(G$4,Curves,0))</f>
        <v>3</v>
      </c>
      <c r="H175" s="125" t="n">
        <f aca="false">G175+$H$7</f>
        <v>3</v>
      </c>
      <c r="I175" s="124" t="n">
        <f aca="false">H175</f>
        <v>3</v>
      </c>
      <c r="J175" s="124" t="n">
        <f aca="false">VLOOKUP($A175,Table,MATCH(J$4,Curves,0))</f>
        <v>4</v>
      </c>
      <c r="K175" s="125" t="n">
        <f aca="false">J175+$K$7</f>
        <v>4</v>
      </c>
      <c r="L175" s="126" t="n">
        <f aca="false">K175</f>
        <v>4</v>
      </c>
      <c r="M175" s="124" t="n">
        <f aca="false">VLOOKUP($A175,Table,MATCH(M$4,Curves,0))</f>
        <v>4</v>
      </c>
      <c r="N175" s="125" t="n">
        <f aca="false">M175+$N$7</f>
        <v>4</v>
      </c>
      <c r="O175" s="126" t="n">
        <v>-0.04</v>
      </c>
      <c r="P175" s="114"/>
      <c r="Q175" s="126" t="n">
        <f aca="false">M175+J175+G175</f>
        <v>11</v>
      </c>
      <c r="R175" s="126" t="n">
        <f aca="false">N175+K175+H175</f>
        <v>11</v>
      </c>
      <c r="S175" s="126" t="n">
        <f aca="false">O175+L175+I175</f>
        <v>6.96</v>
      </c>
      <c r="T175" s="127"/>
      <c r="U175" s="5" t="n">
        <f aca="false">A176-A175</f>
        <v>30</v>
      </c>
      <c r="V175" s="128" t="n">
        <f aca="false">CHOOSE(F$3,A176+24,A175)</f>
        <v>42309</v>
      </c>
      <c r="W175" s="5" t="n">
        <f aca="false">V175-C$3</f>
        <v>5078</v>
      </c>
      <c r="X175" s="124" t="n">
        <f aca="false">VLOOKUP($A175,Table,MATCH(X$4,Curves,0))</f>
        <v>2</v>
      </c>
      <c r="Y175" s="129" t="n">
        <f aca="false">1/(1+CHOOSE(F$3,(X176+($K$3/10000))/2,(X175+($K$3/10000))/2))^(2*W175/365.25)</f>
        <v>4.26261944112118E-009</v>
      </c>
      <c r="Z175" s="5" t="n">
        <f aca="false">IF(AND(mthbeg&lt;=A175,mthend&gt;=A175),1,0)</f>
        <v>0</v>
      </c>
      <c r="AA175" s="5" t="n">
        <f aca="false">U175*Z175</f>
        <v>0</v>
      </c>
      <c r="AC175" s="115" t="n">
        <f aca="false">IF(G168=2,F175*(S175-Q175),F175*(Q175-S175))</f>
        <v>0</v>
      </c>
      <c r="AE175" s="116" t="n">
        <f aca="false">IF($G$3=1,F175*(R175-Q175),F175*(Q175-R175))</f>
        <v>0</v>
      </c>
      <c r="AG175" s="116" t="n">
        <f aca="false">AC175+AE175</f>
        <v>0</v>
      </c>
    </row>
    <row r="176" customFormat="false" ht="12" hidden="false" customHeight="true" outlineLevel="0" collapsed="false">
      <c r="A176" s="120" t="n">
        <f aca="false">EDATE(A175,1)</f>
        <v>42339</v>
      </c>
      <c r="B176" s="121" t="e">
        <f aca="false">VLOOKUP(A176,'Inputs-Summary'!$A$32:$E$41,5,FALSE())</f>
        <v>#N/A</v>
      </c>
      <c r="C176" s="122"/>
      <c r="D176" s="123" t="e">
        <f aca="false">B176+C176</f>
        <v>#N/A</v>
      </c>
      <c r="E176" s="111" t="n">
        <f aca="false">IF(Z176=0,0,IF(AND(Z176=1,$H$3=1),D176*U176,IF($H$3=2,D176,"N/A")))</f>
        <v>0</v>
      </c>
      <c r="F176" s="111" t="n">
        <f aca="false">E176*Y176</f>
        <v>0</v>
      </c>
      <c r="G176" s="124" t="n">
        <f aca="false">VLOOKUP($A176,Table,MATCH(G$4,Curves,0))</f>
        <v>3</v>
      </c>
      <c r="H176" s="125" t="n">
        <f aca="false">G176+$H$7</f>
        <v>3</v>
      </c>
      <c r="I176" s="124" t="n">
        <f aca="false">H176</f>
        <v>3</v>
      </c>
      <c r="J176" s="124" t="n">
        <f aca="false">VLOOKUP($A176,Table,MATCH(J$4,Curves,0))</f>
        <v>4</v>
      </c>
      <c r="K176" s="125" t="n">
        <f aca="false">J176+$K$7</f>
        <v>4</v>
      </c>
      <c r="L176" s="126" t="n">
        <f aca="false">K176</f>
        <v>4</v>
      </c>
      <c r="M176" s="124" t="n">
        <f aca="false">VLOOKUP($A176,Table,MATCH(M$4,Curves,0))</f>
        <v>4</v>
      </c>
      <c r="N176" s="125" t="n">
        <f aca="false">M176+$N$7</f>
        <v>4</v>
      </c>
      <c r="O176" s="126" t="n">
        <v>-0.04</v>
      </c>
      <c r="P176" s="114"/>
      <c r="Q176" s="126" t="n">
        <f aca="false">M176+J176+G176</f>
        <v>11</v>
      </c>
      <c r="R176" s="126" t="n">
        <f aca="false">N176+K176+H176</f>
        <v>11</v>
      </c>
      <c r="S176" s="126" t="n">
        <f aca="false">O176+L176+I176</f>
        <v>6.96</v>
      </c>
      <c r="T176" s="127"/>
      <c r="U176" s="5" t="n">
        <f aca="false">A177-A176</f>
        <v>31</v>
      </c>
      <c r="V176" s="128" t="n">
        <f aca="false">CHOOSE(F$3,A177+24,A176)</f>
        <v>42339</v>
      </c>
      <c r="W176" s="5" t="n">
        <f aca="false">V176-C$3</f>
        <v>5108</v>
      </c>
      <c r="X176" s="124" t="n">
        <f aca="false">VLOOKUP($A176,Table,MATCH(X$4,Curves,0))</f>
        <v>2</v>
      </c>
      <c r="Y176" s="129" t="n">
        <f aca="false">1/(1+CHOOSE(F$3,(X177+($K$3/10000))/2,(X176+($K$3/10000))/2))^(2*W176/365.25)</f>
        <v>3.8038733505061E-009</v>
      </c>
      <c r="Z176" s="5" t="n">
        <f aca="false">IF(AND(mthbeg&lt;=A176,mthend&gt;=A176),1,0)</f>
        <v>0</v>
      </c>
      <c r="AA176" s="5" t="n">
        <f aca="false">U176*Z176</f>
        <v>0</v>
      </c>
      <c r="AC176" s="115" t="n">
        <f aca="false">IF(G169=2,F176*(S176-Q176),F176*(Q176-S176))</f>
        <v>0</v>
      </c>
      <c r="AE176" s="116" t="n">
        <f aca="false">IF($G$3=1,F176*(R176-Q176),F176*(Q176-R176))</f>
        <v>0</v>
      </c>
      <c r="AG176" s="116" t="n">
        <f aca="false">AC176+AE176</f>
        <v>0</v>
      </c>
    </row>
    <row r="177" customFormat="false" ht="12" hidden="false" customHeight="true" outlineLevel="0" collapsed="false">
      <c r="A177" s="120" t="n">
        <f aca="false">EDATE(A176,1)</f>
        <v>42370</v>
      </c>
      <c r="B177" s="121" t="e">
        <f aca="false">VLOOKUP(A177,'Inputs-Summary'!$A$32:$E$41,5,FALSE())</f>
        <v>#N/A</v>
      </c>
      <c r="C177" s="122"/>
      <c r="D177" s="123" t="e">
        <f aca="false">B177+C177</f>
        <v>#N/A</v>
      </c>
      <c r="E177" s="111" t="n">
        <f aca="false">IF(Z177=0,0,IF(AND(Z177=1,$H$3=1),D177*U177,IF($H$3=2,D177,"N/A")))</f>
        <v>0</v>
      </c>
      <c r="F177" s="111" t="n">
        <f aca="false">E177*Y177</f>
        <v>0</v>
      </c>
      <c r="G177" s="124" t="n">
        <f aca="false">VLOOKUP($A177,Table,MATCH(G$4,Curves,0))</f>
        <v>3</v>
      </c>
      <c r="H177" s="125" t="n">
        <f aca="false">G177+$H$7</f>
        <v>3</v>
      </c>
      <c r="I177" s="124" t="n">
        <f aca="false">H177</f>
        <v>3</v>
      </c>
      <c r="J177" s="124" t="n">
        <f aca="false">VLOOKUP($A177,Table,MATCH(J$4,Curves,0))</f>
        <v>4</v>
      </c>
      <c r="K177" s="125" t="n">
        <f aca="false">J177+$K$7</f>
        <v>4</v>
      </c>
      <c r="L177" s="126" t="n">
        <f aca="false">K177</f>
        <v>4</v>
      </c>
      <c r="M177" s="124" t="n">
        <f aca="false">VLOOKUP($A177,Table,MATCH(M$4,Curves,0))</f>
        <v>4</v>
      </c>
      <c r="N177" s="125" t="n">
        <f aca="false">M177+$N$7</f>
        <v>4</v>
      </c>
      <c r="O177" s="126" t="n">
        <v>-0.04</v>
      </c>
      <c r="P177" s="114"/>
      <c r="Q177" s="126" t="n">
        <f aca="false">M177+J177+G177</f>
        <v>11</v>
      </c>
      <c r="R177" s="126" t="n">
        <f aca="false">N177+K177+H177</f>
        <v>11</v>
      </c>
      <c r="S177" s="126" t="n">
        <f aca="false">O177+L177+I177</f>
        <v>6.96</v>
      </c>
      <c r="T177" s="127"/>
      <c r="U177" s="5" t="n">
        <f aca="false">A178-A177</f>
        <v>31</v>
      </c>
      <c r="V177" s="128" t="n">
        <f aca="false">CHOOSE(F$3,A178+24,A177)</f>
        <v>42370</v>
      </c>
      <c r="W177" s="5" t="n">
        <f aca="false">V177-C$3</f>
        <v>5139</v>
      </c>
      <c r="X177" s="124" t="n">
        <f aca="false">VLOOKUP($A177,Table,MATCH(X$4,Curves,0))</f>
        <v>2</v>
      </c>
      <c r="Y177" s="129" t="n">
        <f aca="false">1/(1+CHOOSE(F$3,(X178+($K$3/10000))/2,(X177+($K$3/10000))/2))^(2*W177/365.25)</f>
        <v>3.38163854961055E-009</v>
      </c>
      <c r="Z177" s="5" t="n">
        <f aca="false">IF(AND(mthbeg&lt;=A177,mthend&gt;=A177),1,0)</f>
        <v>0</v>
      </c>
      <c r="AA177" s="5" t="n">
        <f aca="false">U177*Z177</f>
        <v>0</v>
      </c>
      <c r="AC177" s="115" t="n">
        <f aca="false">IF(G170=2,F177*(S177-Q177),F177*(Q177-S177))</f>
        <v>0</v>
      </c>
      <c r="AE177" s="116" t="n">
        <f aca="false">IF($G$3=1,F177*(R177-Q177),F177*(Q177-R177))</f>
        <v>0</v>
      </c>
      <c r="AG177" s="116" t="n">
        <f aca="false">AC177+AE177</f>
        <v>0</v>
      </c>
    </row>
    <row r="178" customFormat="false" ht="12" hidden="false" customHeight="true" outlineLevel="0" collapsed="false">
      <c r="A178" s="120" t="n">
        <f aca="false">EDATE(A177,1)</f>
        <v>42401</v>
      </c>
      <c r="B178" s="121" t="e">
        <f aca="false">VLOOKUP(A178,'Inputs-Summary'!$A$32:$E$41,5,FALSE())</f>
        <v>#N/A</v>
      </c>
      <c r="C178" s="122"/>
      <c r="D178" s="123" t="e">
        <f aca="false">B178+C178</f>
        <v>#N/A</v>
      </c>
      <c r="E178" s="111" t="n">
        <f aca="false">IF(Z178=0,0,IF(AND(Z178=1,$H$3=1),D178*U178,IF($H$3=2,D178,"N/A")))</f>
        <v>0</v>
      </c>
      <c r="F178" s="111" t="n">
        <f aca="false">E178*Y178</f>
        <v>0</v>
      </c>
      <c r="G178" s="124" t="n">
        <f aca="false">VLOOKUP($A178,Table,MATCH(G$4,Curves,0))</f>
        <v>3</v>
      </c>
      <c r="H178" s="125" t="n">
        <f aca="false">G178+$H$7</f>
        <v>3</v>
      </c>
      <c r="I178" s="124" t="n">
        <f aca="false">H178</f>
        <v>3</v>
      </c>
      <c r="J178" s="124" t="n">
        <f aca="false">VLOOKUP($A178,Table,MATCH(J$4,Curves,0))</f>
        <v>4</v>
      </c>
      <c r="K178" s="125" t="n">
        <f aca="false">J178+$K$7</f>
        <v>4</v>
      </c>
      <c r="L178" s="126" t="n">
        <f aca="false">K178</f>
        <v>4</v>
      </c>
      <c r="M178" s="124" t="n">
        <f aca="false">VLOOKUP($A178,Table,MATCH(M$4,Curves,0))</f>
        <v>4</v>
      </c>
      <c r="N178" s="125" t="n">
        <f aca="false">M178+$N$7</f>
        <v>4</v>
      </c>
      <c r="O178" s="126" t="n">
        <v>-0.04</v>
      </c>
      <c r="P178" s="114"/>
      <c r="Q178" s="126" t="n">
        <f aca="false">M178+J178+G178</f>
        <v>11</v>
      </c>
      <c r="R178" s="126" t="n">
        <f aca="false">N178+K178+H178</f>
        <v>11</v>
      </c>
      <c r="S178" s="126" t="n">
        <f aca="false">O178+L178+I178</f>
        <v>6.96</v>
      </c>
      <c r="T178" s="127"/>
      <c r="U178" s="5" t="n">
        <f aca="false">A179-A178</f>
        <v>29</v>
      </c>
      <c r="V178" s="128" t="n">
        <f aca="false">CHOOSE(F$3,A179+24,A178)</f>
        <v>42401</v>
      </c>
      <c r="W178" s="5" t="n">
        <f aca="false">V178-C$3</f>
        <v>5170</v>
      </c>
      <c r="X178" s="124" t="n">
        <f aca="false">VLOOKUP($A178,Table,MATCH(X$4,Curves,0))</f>
        <v>2</v>
      </c>
      <c r="Y178" s="129" t="n">
        <f aca="false">1/(1+CHOOSE(F$3,(X179+($K$3/10000))/2,(X178+($K$3/10000))/2))^(2*W178/365.25)</f>
        <v>3.00627235096844E-009</v>
      </c>
      <c r="Z178" s="5" t="n">
        <f aca="false">IF(AND(mthbeg&lt;=A178,mthend&gt;=A178),1,0)</f>
        <v>0</v>
      </c>
      <c r="AA178" s="5" t="n">
        <f aca="false">U178*Z178</f>
        <v>0</v>
      </c>
      <c r="AC178" s="115" t="n">
        <f aca="false">IF(G171=2,F178*(S178-Q178),F178*(Q178-S178))</f>
        <v>0</v>
      </c>
      <c r="AE178" s="116" t="n">
        <f aca="false">IF($G$3=1,F178*(R178-Q178),F178*(Q178-R178))</f>
        <v>0</v>
      </c>
      <c r="AG178" s="116" t="n">
        <f aca="false">AC178+AE178</f>
        <v>0</v>
      </c>
    </row>
    <row r="179" customFormat="false" ht="12" hidden="false" customHeight="true" outlineLevel="0" collapsed="false">
      <c r="A179" s="120" t="n">
        <f aca="false">EDATE(A178,1)</f>
        <v>42430</v>
      </c>
      <c r="B179" s="121" t="e">
        <f aca="false">VLOOKUP(A179,'Inputs-Summary'!$A$32:$E$41,5,FALSE())</f>
        <v>#N/A</v>
      </c>
      <c r="C179" s="122"/>
      <c r="D179" s="123" t="e">
        <f aca="false">B179+C179</f>
        <v>#N/A</v>
      </c>
      <c r="E179" s="111" t="n">
        <f aca="false">IF(Z179=0,0,IF(AND(Z179=1,$H$3=1),D179*U179,IF($H$3=2,D179,"N/A")))</f>
        <v>0</v>
      </c>
      <c r="F179" s="111" t="n">
        <f aca="false">E179*Y179</f>
        <v>0</v>
      </c>
      <c r="G179" s="124" t="n">
        <f aca="false">VLOOKUP($A179,Table,MATCH(G$4,Curves,0))</f>
        <v>3</v>
      </c>
      <c r="H179" s="125" t="n">
        <f aca="false">G179+$H$7</f>
        <v>3</v>
      </c>
      <c r="I179" s="124" t="n">
        <f aca="false">H179</f>
        <v>3</v>
      </c>
      <c r="J179" s="124" t="n">
        <f aca="false">VLOOKUP($A179,Table,MATCH(J$4,Curves,0))</f>
        <v>4</v>
      </c>
      <c r="K179" s="125" t="n">
        <f aca="false">J179+$K$7</f>
        <v>4</v>
      </c>
      <c r="L179" s="126" t="n">
        <f aca="false">K179</f>
        <v>4</v>
      </c>
      <c r="M179" s="124" t="n">
        <f aca="false">VLOOKUP($A179,Table,MATCH(M$4,Curves,0))</f>
        <v>4</v>
      </c>
      <c r="N179" s="125" t="n">
        <f aca="false">M179+$N$7</f>
        <v>4</v>
      </c>
      <c r="O179" s="126" t="n">
        <v>-0.04</v>
      </c>
      <c r="P179" s="114"/>
      <c r="Q179" s="126" t="n">
        <f aca="false">M179+J179+G179</f>
        <v>11</v>
      </c>
      <c r="R179" s="126" t="n">
        <f aca="false">N179+K179+H179</f>
        <v>11</v>
      </c>
      <c r="S179" s="126" t="n">
        <f aca="false">O179+L179+I179</f>
        <v>6.96</v>
      </c>
      <c r="T179" s="127"/>
      <c r="U179" s="5" t="n">
        <f aca="false">A180-A179</f>
        <v>31</v>
      </c>
      <c r="V179" s="128" t="n">
        <f aca="false">CHOOSE(F$3,A180+24,A179)</f>
        <v>42430</v>
      </c>
      <c r="W179" s="5" t="n">
        <f aca="false">V179-C$3</f>
        <v>5199</v>
      </c>
      <c r="X179" s="124" t="n">
        <f aca="false">VLOOKUP($A179,Table,MATCH(X$4,Curves,0))</f>
        <v>2</v>
      </c>
      <c r="Y179" s="129" t="n">
        <f aca="false">1/(1+CHOOSE(F$3,(X180+($K$3/10000))/2,(X179+($K$3/10000))/2))^(2*W179/365.25)</f>
        <v>2.6929367952845E-009</v>
      </c>
      <c r="Z179" s="5" t="n">
        <f aca="false">IF(AND(mthbeg&lt;=A179,mthend&gt;=A179),1,0)</f>
        <v>0</v>
      </c>
      <c r="AA179" s="5" t="n">
        <f aca="false">U179*Z179</f>
        <v>0</v>
      </c>
      <c r="AC179" s="115" t="n">
        <f aca="false">IF(G172=2,F179*(S179-Q179),F179*(Q179-S179))</f>
        <v>0</v>
      </c>
      <c r="AE179" s="116" t="n">
        <f aca="false">IF($G$3=1,F179*(R179-Q179),F179*(Q179-R179))</f>
        <v>0</v>
      </c>
      <c r="AG179" s="116" t="n">
        <f aca="false">AC179+AE179</f>
        <v>0</v>
      </c>
    </row>
    <row r="180" customFormat="false" ht="12" hidden="false" customHeight="true" outlineLevel="0" collapsed="false">
      <c r="A180" s="120" t="n">
        <f aca="false">EDATE(A179,1)</f>
        <v>42461</v>
      </c>
      <c r="B180" s="121" t="e">
        <f aca="false">VLOOKUP(A180,'Inputs-Summary'!$A$32:$E$41,5,FALSE())</f>
        <v>#N/A</v>
      </c>
      <c r="C180" s="122"/>
      <c r="D180" s="123" t="e">
        <f aca="false">B180+C180</f>
        <v>#N/A</v>
      </c>
      <c r="E180" s="111" t="n">
        <f aca="false">IF(Z180=0,0,IF(AND(Z180=1,$H$3=1),D180*U180,IF($H$3=2,D180,"N/A")))</f>
        <v>0</v>
      </c>
      <c r="F180" s="111" t="n">
        <f aca="false">E180*Y180</f>
        <v>0</v>
      </c>
      <c r="G180" s="124" t="n">
        <f aca="false">VLOOKUP($A180,Table,MATCH(G$4,Curves,0))</f>
        <v>3</v>
      </c>
      <c r="H180" s="125" t="n">
        <f aca="false">G180+$H$7</f>
        <v>3</v>
      </c>
      <c r="I180" s="124" t="n">
        <f aca="false">H180</f>
        <v>3</v>
      </c>
      <c r="J180" s="124" t="n">
        <f aca="false">VLOOKUP($A180,Table,MATCH(J$4,Curves,0))</f>
        <v>4</v>
      </c>
      <c r="K180" s="125" t="n">
        <f aca="false">J180+$K$7</f>
        <v>4</v>
      </c>
      <c r="L180" s="126" t="n">
        <f aca="false">K180</f>
        <v>4</v>
      </c>
      <c r="M180" s="124" t="n">
        <f aca="false">VLOOKUP($A180,Table,MATCH(M$4,Curves,0))</f>
        <v>4</v>
      </c>
      <c r="N180" s="125" t="n">
        <f aca="false">M180+$N$7</f>
        <v>4</v>
      </c>
      <c r="O180" s="126" t="n">
        <v>-0.04</v>
      </c>
      <c r="P180" s="114"/>
      <c r="Q180" s="126" t="n">
        <f aca="false">M180+J180+G180</f>
        <v>11</v>
      </c>
      <c r="R180" s="126" t="n">
        <f aca="false">N180+K180+H180</f>
        <v>11</v>
      </c>
      <c r="S180" s="126" t="n">
        <f aca="false">O180+L180+I180</f>
        <v>6.96</v>
      </c>
      <c r="T180" s="127"/>
      <c r="U180" s="5" t="n">
        <f aca="false">A181-A180</f>
        <v>30</v>
      </c>
      <c r="V180" s="128" t="n">
        <f aca="false">CHOOSE(F$3,A181+24,A180)</f>
        <v>42461</v>
      </c>
      <c r="W180" s="5" t="n">
        <f aca="false">V180-C$3</f>
        <v>5230</v>
      </c>
      <c r="X180" s="124" t="n">
        <f aca="false">VLOOKUP($A180,Table,MATCH(X$4,Curves,0))</f>
        <v>2</v>
      </c>
      <c r="Y180" s="129" t="n">
        <f aca="false">1/(1+CHOOSE(F$3,(X181+($K$3/10000))/2,(X180+($K$3/10000))/2))^(2*W180/365.25)</f>
        <v>2.39401737110599E-009</v>
      </c>
      <c r="Z180" s="5" t="n">
        <f aca="false">IF(AND(mthbeg&lt;=A180,mthend&gt;=A180),1,0)</f>
        <v>0</v>
      </c>
      <c r="AA180" s="5" t="n">
        <f aca="false">U180*Z180</f>
        <v>0</v>
      </c>
      <c r="AC180" s="115" t="n">
        <f aca="false">IF(G173=2,F180*(S180-Q180),F180*(Q180-S180))</f>
        <v>0</v>
      </c>
      <c r="AE180" s="116" t="n">
        <f aca="false">IF($G$3=1,F180*(R180-Q180),F180*(Q180-R180))</f>
        <v>0</v>
      </c>
      <c r="AG180" s="116" t="n">
        <f aca="false">AC180+AE180</f>
        <v>0</v>
      </c>
    </row>
    <row r="181" customFormat="false" ht="12" hidden="false" customHeight="true" outlineLevel="0" collapsed="false">
      <c r="A181" s="120" t="n">
        <f aca="false">EDATE(A180,1)</f>
        <v>42491</v>
      </c>
      <c r="B181" s="121" t="e">
        <f aca="false">VLOOKUP(A181,'Inputs-Summary'!$A$32:$E$41,5,FALSE())</f>
        <v>#N/A</v>
      </c>
      <c r="C181" s="122"/>
      <c r="D181" s="123" t="e">
        <f aca="false">B181+C181</f>
        <v>#N/A</v>
      </c>
      <c r="E181" s="111" t="n">
        <f aca="false">IF(Z181=0,0,IF(AND(Z181=1,$H$3=1),D181*U181,IF($H$3=2,D181,"N/A")))</f>
        <v>0</v>
      </c>
      <c r="F181" s="111" t="n">
        <f aca="false">E181*Y181</f>
        <v>0</v>
      </c>
      <c r="G181" s="124" t="n">
        <f aca="false">VLOOKUP($A181,Table,MATCH(G$4,Curves,0))</f>
        <v>3</v>
      </c>
      <c r="H181" s="125" t="n">
        <f aca="false">G181+$H$7</f>
        <v>3</v>
      </c>
      <c r="I181" s="124" t="n">
        <f aca="false">H181</f>
        <v>3</v>
      </c>
      <c r="J181" s="124" t="n">
        <f aca="false">VLOOKUP($A181,Table,MATCH(J$4,Curves,0))</f>
        <v>4</v>
      </c>
      <c r="K181" s="125" t="n">
        <f aca="false">J181+$K$7</f>
        <v>4</v>
      </c>
      <c r="L181" s="126" t="n">
        <f aca="false">K181</f>
        <v>4</v>
      </c>
      <c r="M181" s="124" t="n">
        <f aca="false">VLOOKUP($A181,Table,MATCH(M$4,Curves,0))</f>
        <v>4</v>
      </c>
      <c r="N181" s="125" t="n">
        <f aca="false">M181+$N$7</f>
        <v>4</v>
      </c>
      <c r="O181" s="126" t="n">
        <v>-0.04</v>
      </c>
      <c r="P181" s="114"/>
      <c r="Q181" s="126" t="n">
        <f aca="false">M181+J181+G181</f>
        <v>11</v>
      </c>
      <c r="R181" s="126" t="n">
        <f aca="false">N181+K181+H181</f>
        <v>11</v>
      </c>
      <c r="S181" s="126" t="n">
        <f aca="false">O181+L181+I181</f>
        <v>6.96</v>
      </c>
      <c r="T181" s="127"/>
      <c r="U181" s="5" t="n">
        <f aca="false">A182-A181</f>
        <v>31</v>
      </c>
      <c r="V181" s="128" t="n">
        <f aca="false">CHOOSE(F$3,A182+24,A181)</f>
        <v>42491</v>
      </c>
      <c r="W181" s="5" t="n">
        <f aca="false">V181-C$3</f>
        <v>5260</v>
      </c>
      <c r="X181" s="124" t="n">
        <f aca="false">VLOOKUP($A181,Table,MATCH(X$4,Curves,0))</f>
        <v>2</v>
      </c>
      <c r="Y181" s="129" t="n">
        <f aca="false">1/(1+CHOOSE(F$3,(X182+($K$3/10000))/2,(X181+($K$3/10000))/2))^(2*W181/365.25)</f>
        <v>2.13637154439559E-009</v>
      </c>
      <c r="Z181" s="5" t="n">
        <f aca="false">IF(AND(mthbeg&lt;=A181,mthend&gt;=A181),1,0)</f>
        <v>0</v>
      </c>
      <c r="AA181" s="5" t="n">
        <f aca="false">U181*Z181</f>
        <v>0</v>
      </c>
      <c r="AC181" s="115" t="n">
        <f aca="false">IF(G174=2,F181*(S181-Q181),F181*(Q181-S181))</f>
        <v>0</v>
      </c>
      <c r="AE181" s="116" t="n">
        <f aca="false">IF($G$3=1,F181*(R181-Q181),F181*(Q181-R181))</f>
        <v>0</v>
      </c>
      <c r="AG181" s="116" t="n">
        <f aca="false">AC181+AE181</f>
        <v>0</v>
      </c>
    </row>
    <row r="182" customFormat="false" ht="12" hidden="false" customHeight="true" outlineLevel="0" collapsed="false">
      <c r="A182" s="120" t="n">
        <f aca="false">EDATE(A181,1)</f>
        <v>42522</v>
      </c>
      <c r="B182" s="121" t="e">
        <f aca="false">VLOOKUP(A182,'Inputs-Summary'!$A$32:$E$41,5,FALSE())</f>
        <v>#N/A</v>
      </c>
      <c r="C182" s="122"/>
      <c r="D182" s="123" t="e">
        <f aca="false">B182+C182</f>
        <v>#N/A</v>
      </c>
      <c r="E182" s="111" t="n">
        <f aca="false">IF(Z182=0,0,IF(AND(Z182=1,$H$3=1),D182*U182,IF($H$3=2,D182,"N/A")))</f>
        <v>0</v>
      </c>
      <c r="F182" s="111" t="n">
        <f aca="false">E182*Y182</f>
        <v>0</v>
      </c>
      <c r="G182" s="124" t="n">
        <f aca="false">VLOOKUP($A182,Table,MATCH(G$4,Curves,0))</f>
        <v>3</v>
      </c>
      <c r="H182" s="125" t="n">
        <f aca="false">G182+$H$7</f>
        <v>3</v>
      </c>
      <c r="I182" s="124" t="n">
        <f aca="false">H182</f>
        <v>3</v>
      </c>
      <c r="J182" s="124" t="n">
        <f aca="false">VLOOKUP($A182,Table,MATCH(J$4,Curves,0))</f>
        <v>4</v>
      </c>
      <c r="K182" s="125" t="n">
        <f aca="false">J182+$K$7</f>
        <v>4</v>
      </c>
      <c r="L182" s="126" t="n">
        <f aca="false">K182</f>
        <v>4</v>
      </c>
      <c r="M182" s="124" t="n">
        <f aca="false">VLOOKUP($A182,Table,MATCH(M$4,Curves,0))</f>
        <v>4</v>
      </c>
      <c r="N182" s="125" t="n">
        <f aca="false">M182+$N$7</f>
        <v>4</v>
      </c>
      <c r="O182" s="126" t="n">
        <v>-0.04</v>
      </c>
      <c r="P182" s="114"/>
      <c r="Q182" s="126" t="n">
        <f aca="false">M182+J182+G182</f>
        <v>11</v>
      </c>
      <c r="R182" s="126" t="n">
        <f aca="false">N182+K182+H182</f>
        <v>11</v>
      </c>
      <c r="S182" s="126" t="n">
        <f aca="false">O182+L182+I182</f>
        <v>6.96</v>
      </c>
      <c r="T182" s="127"/>
      <c r="U182" s="5" t="n">
        <f aca="false">A183-A182</f>
        <v>30</v>
      </c>
      <c r="V182" s="128" t="n">
        <f aca="false">CHOOSE(F$3,A183+24,A182)</f>
        <v>42522</v>
      </c>
      <c r="W182" s="5" t="n">
        <f aca="false">V182-C$3</f>
        <v>5291</v>
      </c>
      <c r="X182" s="124" t="n">
        <f aca="false">VLOOKUP($A182,Table,MATCH(X$4,Curves,0))</f>
        <v>2</v>
      </c>
      <c r="Y182" s="129" t="n">
        <f aca="false">1/(1+CHOOSE(F$3,(X183+($K$3/10000))/2,(X182+($K$3/10000))/2))^(2*W182/365.25)</f>
        <v>1.89923157401073E-009</v>
      </c>
      <c r="Z182" s="5" t="n">
        <f aca="false">IF(AND(mthbeg&lt;=A182,mthend&gt;=A182),1,0)</f>
        <v>0</v>
      </c>
      <c r="AA182" s="5" t="n">
        <f aca="false">U182*Z182</f>
        <v>0</v>
      </c>
      <c r="AC182" s="115" t="n">
        <f aca="false">IF(G175=2,F182*(S182-Q182),F182*(Q182-S182))</f>
        <v>0</v>
      </c>
      <c r="AE182" s="116" t="n">
        <f aca="false">IF($G$3=1,F182*(R182-Q182),F182*(Q182-R182))</f>
        <v>0</v>
      </c>
      <c r="AG182" s="116" t="n">
        <f aca="false">AC182+AE182</f>
        <v>0</v>
      </c>
    </row>
    <row r="183" customFormat="false" ht="12" hidden="false" customHeight="true" outlineLevel="0" collapsed="false">
      <c r="A183" s="120" t="n">
        <f aca="false">EDATE(A182,1)</f>
        <v>42552</v>
      </c>
      <c r="B183" s="121" t="e">
        <f aca="false">VLOOKUP(A183,'Inputs-Summary'!$A$32:$E$41,5,FALSE())</f>
        <v>#N/A</v>
      </c>
      <c r="C183" s="122"/>
      <c r="D183" s="123" t="e">
        <f aca="false">B183+C183</f>
        <v>#N/A</v>
      </c>
      <c r="E183" s="111" t="n">
        <f aca="false">IF(Z183=0,0,IF(AND(Z183=1,$H$3=1),D183*U183,IF($H$3=2,D183,"N/A")))</f>
        <v>0</v>
      </c>
      <c r="F183" s="111" t="n">
        <f aca="false">E183*Y183</f>
        <v>0</v>
      </c>
      <c r="G183" s="124" t="n">
        <f aca="false">VLOOKUP($A183,Table,MATCH(G$4,Curves,0))</f>
        <v>3</v>
      </c>
      <c r="H183" s="125" t="n">
        <f aca="false">G183+$H$7</f>
        <v>3</v>
      </c>
      <c r="I183" s="124" t="n">
        <f aca="false">H183</f>
        <v>3</v>
      </c>
      <c r="J183" s="124" t="n">
        <f aca="false">VLOOKUP($A183,Table,MATCH(J$4,Curves,0))</f>
        <v>4</v>
      </c>
      <c r="K183" s="125" t="n">
        <f aca="false">J183+$K$7</f>
        <v>4</v>
      </c>
      <c r="L183" s="126" t="n">
        <f aca="false">K183</f>
        <v>4</v>
      </c>
      <c r="M183" s="124" t="n">
        <f aca="false">VLOOKUP($A183,Table,MATCH(M$4,Curves,0))</f>
        <v>4</v>
      </c>
      <c r="N183" s="125" t="n">
        <f aca="false">M183+$N$7</f>
        <v>4</v>
      </c>
      <c r="O183" s="126" t="n">
        <v>-0.04</v>
      </c>
      <c r="P183" s="114"/>
      <c r="Q183" s="126" t="n">
        <f aca="false">M183+J183+G183</f>
        <v>11</v>
      </c>
      <c r="R183" s="126" t="n">
        <f aca="false">N183+K183+H183</f>
        <v>11</v>
      </c>
      <c r="S183" s="126" t="n">
        <f aca="false">O183+L183+I183</f>
        <v>6.96</v>
      </c>
      <c r="T183" s="127"/>
      <c r="U183" s="5" t="n">
        <f aca="false">A184-A183</f>
        <v>31</v>
      </c>
      <c r="V183" s="128" t="n">
        <f aca="false">CHOOSE(F$3,A184+24,A183)</f>
        <v>42552</v>
      </c>
      <c r="W183" s="5" t="n">
        <f aca="false">V183-C$3</f>
        <v>5321</v>
      </c>
      <c r="X183" s="124" t="n">
        <f aca="false">VLOOKUP($A183,Table,MATCH(X$4,Curves,0))</f>
        <v>2</v>
      </c>
      <c r="Y183" s="129" t="n">
        <f aca="false">1/(1+CHOOSE(F$3,(X184+($K$3/10000))/2,(X183+($K$3/10000))/2))^(2*W183/365.25)</f>
        <v>1.69483494142722E-009</v>
      </c>
      <c r="Z183" s="5" t="n">
        <f aca="false">IF(AND(mthbeg&lt;=A183,mthend&gt;=A183),1,0)</f>
        <v>0</v>
      </c>
      <c r="AA183" s="5" t="n">
        <f aca="false">U183*Z183</f>
        <v>0</v>
      </c>
      <c r="AC183" s="115" t="n">
        <f aca="false">IF(G176=2,F183*(S183-Q183),F183*(Q183-S183))</f>
        <v>0</v>
      </c>
      <c r="AE183" s="116" t="n">
        <f aca="false">IF($G$3=1,F183*(R183-Q183),F183*(Q183-R183))</f>
        <v>0</v>
      </c>
      <c r="AG183" s="116" t="n">
        <f aca="false">AC183+AE183</f>
        <v>0</v>
      </c>
    </row>
    <row r="184" customFormat="false" ht="12" hidden="false" customHeight="true" outlineLevel="0" collapsed="false">
      <c r="A184" s="120" t="n">
        <f aca="false">EDATE(A183,1)</f>
        <v>42583</v>
      </c>
      <c r="B184" s="121" t="e">
        <f aca="false">VLOOKUP(A184,'Inputs-Summary'!$A$32:$E$41,5,FALSE())</f>
        <v>#N/A</v>
      </c>
      <c r="C184" s="122"/>
      <c r="D184" s="123" t="e">
        <f aca="false">B184+C184</f>
        <v>#N/A</v>
      </c>
      <c r="E184" s="111" t="n">
        <f aca="false">IF(Z184=0,0,IF(AND(Z184=1,$H$3=1),D184*U184,IF($H$3=2,D184,"N/A")))</f>
        <v>0</v>
      </c>
      <c r="F184" s="111" t="n">
        <f aca="false">E184*Y184</f>
        <v>0</v>
      </c>
      <c r="G184" s="124" t="n">
        <f aca="false">VLOOKUP($A184,Table,MATCH(G$4,Curves,0))</f>
        <v>3</v>
      </c>
      <c r="H184" s="125" t="n">
        <f aca="false">G184+$H$7</f>
        <v>3</v>
      </c>
      <c r="I184" s="124" t="n">
        <f aca="false">H184</f>
        <v>3</v>
      </c>
      <c r="J184" s="124" t="n">
        <f aca="false">VLOOKUP($A184,Table,MATCH(J$4,Curves,0))</f>
        <v>4</v>
      </c>
      <c r="K184" s="125" t="n">
        <f aca="false">J184+$K$7</f>
        <v>4</v>
      </c>
      <c r="L184" s="126" t="n">
        <f aca="false">K184</f>
        <v>4</v>
      </c>
      <c r="M184" s="124" t="n">
        <f aca="false">VLOOKUP($A184,Table,MATCH(M$4,Curves,0))</f>
        <v>4</v>
      </c>
      <c r="N184" s="125" t="n">
        <f aca="false">M184+$N$7</f>
        <v>4</v>
      </c>
      <c r="O184" s="126" t="n">
        <v>-0.04</v>
      </c>
      <c r="P184" s="114"/>
      <c r="Q184" s="126" t="n">
        <f aca="false">M184+J184+G184</f>
        <v>11</v>
      </c>
      <c r="R184" s="126" t="n">
        <f aca="false">N184+K184+H184</f>
        <v>11</v>
      </c>
      <c r="S184" s="126" t="n">
        <f aca="false">O184+L184+I184</f>
        <v>6.96</v>
      </c>
      <c r="T184" s="127"/>
      <c r="U184" s="5" t="n">
        <f aca="false">A185-A184</f>
        <v>31</v>
      </c>
      <c r="V184" s="128" t="n">
        <f aca="false">CHOOSE(F$3,A185+24,A184)</f>
        <v>42583</v>
      </c>
      <c r="W184" s="5" t="n">
        <f aca="false">V184-C$3</f>
        <v>5352</v>
      </c>
      <c r="X184" s="124" t="n">
        <f aca="false">VLOOKUP($A184,Table,MATCH(X$4,Curves,0))</f>
        <v>2</v>
      </c>
      <c r="Y184" s="129" t="n">
        <f aca="false">1/(1+CHOOSE(F$3,(X185+($K$3/10000))/2,(X184+($K$3/10000))/2))^(2*W184/365.25)</f>
        <v>1.5067060979816E-009</v>
      </c>
      <c r="Z184" s="5" t="n">
        <f aca="false">IF(AND(mthbeg&lt;=A184,mthend&gt;=A184),1,0)</f>
        <v>0</v>
      </c>
      <c r="AA184" s="5" t="n">
        <f aca="false">U184*Z184</f>
        <v>0</v>
      </c>
      <c r="AC184" s="115" t="n">
        <f aca="false">IF(G177=2,F184*(S184-Q184),F184*(Q184-S184))</f>
        <v>0</v>
      </c>
      <c r="AE184" s="116" t="n">
        <f aca="false">IF($G$3=1,F184*(R184-Q184),F184*(Q184-R184))</f>
        <v>0</v>
      </c>
      <c r="AG184" s="116" t="n">
        <f aca="false">AC184+AE184</f>
        <v>0</v>
      </c>
    </row>
    <row r="185" customFormat="false" ht="12" hidden="false" customHeight="true" outlineLevel="0" collapsed="false">
      <c r="A185" s="120" t="n">
        <f aca="false">EDATE(A184,1)</f>
        <v>42614</v>
      </c>
      <c r="B185" s="121" t="e">
        <f aca="false">VLOOKUP(A185,'Inputs-Summary'!$A$32:$E$41,5,FALSE())</f>
        <v>#N/A</v>
      </c>
      <c r="C185" s="122"/>
      <c r="D185" s="123" t="e">
        <f aca="false">B185+C185</f>
        <v>#N/A</v>
      </c>
      <c r="E185" s="111" t="n">
        <f aca="false">IF(Z185=0,0,IF(AND(Z185=1,$H$3=1),D185*U185,IF($H$3=2,D185,"N/A")))</f>
        <v>0</v>
      </c>
      <c r="F185" s="111" t="n">
        <f aca="false">E185*Y185</f>
        <v>0</v>
      </c>
      <c r="G185" s="124" t="n">
        <f aca="false">VLOOKUP($A185,Table,MATCH(G$4,Curves,0))</f>
        <v>3</v>
      </c>
      <c r="H185" s="125" t="n">
        <f aca="false">G185+$H$7</f>
        <v>3</v>
      </c>
      <c r="I185" s="124" t="n">
        <f aca="false">H185</f>
        <v>3</v>
      </c>
      <c r="J185" s="124" t="n">
        <f aca="false">VLOOKUP($A185,Table,MATCH(J$4,Curves,0))</f>
        <v>4</v>
      </c>
      <c r="K185" s="125" t="n">
        <f aca="false">J185+$K$7</f>
        <v>4</v>
      </c>
      <c r="L185" s="126" t="n">
        <f aca="false">K185</f>
        <v>4</v>
      </c>
      <c r="M185" s="124" t="n">
        <f aca="false">VLOOKUP($A185,Table,MATCH(M$4,Curves,0))</f>
        <v>4</v>
      </c>
      <c r="N185" s="125" t="n">
        <f aca="false">M185+$N$7</f>
        <v>4</v>
      </c>
      <c r="O185" s="126" t="n">
        <v>-0.04</v>
      </c>
      <c r="P185" s="114"/>
      <c r="Q185" s="126" t="n">
        <f aca="false">M185+J185+G185</f>
        <v>11</v>
      </c>
      <c r="R185" s="126" t="n">
        <f aca="false">N185+K185+H185</f>
        <v>11</v>
      </c>
      <c r="S185" s="126" t="n">
        <f aca="false">O185+L185+I185</f>
        <v>6.96</v>
      </c>
      <c r="T185" s="127"/>
      <c r="U185" s="5" t="n">
        <f aca="false">A186-A185</f>
        <v>30</v>
      </c>
      <c r="V185" s="128" t="n">
        <f aca="false">CHOOSE(F$3,A186+24,A185)</f>
        <v>42614</v>
      </c>
      <c r="W185" s="5" t="n">
        <f aca="false">V185-C$3</f>
        <v>5383</v>
      </c>
      <c r="X185" s="124" t="n">
        <f aca="false">VLOOKUP($A185,Table,MATCH(X$4,Curves,0))</f>
        <v>2</v>
      </c>
      <c r="Y185" s="129" t="n">
        <f aca="false">1/(1+CHOOSE(F$3,(X186+($K$3/10000))/2,(X185+($K$3/10000))/2))^(2*W185/365.25)</f>
        <v>1.33945979647034E-009</v>
      </c>
      <c r="Z185" s="5" t="n">
        <f aca="false">IF(AND(mthbeg&lt;=A185,mthend&gt;=A185),1,0)</f>
        <v>0</v>
      </c>
      <c r="AA185" s="5" t="n">
        <f aca="false">U185*Z185</f>
        <v>0</v>
      </c>
      <c r="AC185" s="115" t="n">
        <f aca="false">IF(G178=2,F185*(S185-Q185),F185*(Q185-S185))</f>
        <v>0</v>
      </c>
      <c r="AE185" s="116" t="n">
        <f aca="false">IF($G$3=1,F185*(R185-Q185),F185*(Q185-R185))</f>
        <v>0</v>
      </c>
      <c r="AG185" s="116" t="n">
        <f aca="false">AC185+AE185</f>
        <v>0</v>
      </c>
    </row>
    <row r="186" customFormat="false" ht="12" hidden="false" customHeight="true" outlineLevel="0" collapsed="false">
      <c r="A186" s="120" t="n">
        <f aca="false">EDATE(A185,1)</f>
        <v>42644</v>
      </c>
      <c r="B186" s="121" t="e">
        <f aca="false">VLOOKUP(A186,'Inputs-Summary'!$A$32:$E$41,5,FALSE())</f>
        <v>#N/A</v>
      </c>
      <c r="C186" s="122"/>
      <c r="D186" s="123" t="e">
        <f aca="false">B186+C186</f>
        <v>#N/A</v>
      </c>
      <c r="E186" s="111" t="n">
        <f aca="false">IF(Z186=0,0,IF(AND(Z186=1,$H$3=1),D186*U186,IF($H$3=2,D186,"N/A")))</f>
        <v>0</v>
      </c>
      <c r="F186" s="111" t="n">
        <f aca="false">E186*Y186</f>
        <v>0</v>
      </c>
      <c r="G186" s="124" t="n">
        <f aca="false">VLOOKUP($A186,Table,MATCH(G$4,Curves,0))</f>
        <v>3</v>
      </c>
      <c r="H186" s="125" t="n">
        <f aca="false">G186+$H$7</f>
        <v>3</v>
      </c>
      <c r="I186" s="124" t="n">
        <f aca="false">H186</f>
        <v>3</v>
      </c>
      <c r="J186" s="124" t="n">
        <f aca="false">VLOOKUP($A186,Table,MATCH(J$4,Curves,0))</f>
        <v>4</v>
      </c>
      <c r="K186" s="125" t="n">
        <f aca="false">J186+$K$7</f>
        <v>4</v>
      </c>
      <c r="L186" s="126" t="n">
        <f aca="false">K186</f>
        <v>4</v>
      </c>
      <c r="M186" s="124" t="n">
        <f aca="false">VLOOKUP($A186,Table,MATCH(M$4,Curves,0))</f>
        <v>4</v>
      </c>
      <c r="N186" s="125" t="n">
        <f aca="false">M186+$N$7</f>
        <v>4</v>
      </c>
      <c r="O186" s="126" t="n">
        <v>-0.04</v>
      </c>
      <c r="P186" s="114"/>
      <c r="Q186" s="126" t="n">
        <f aca="false">M186+J186+G186</f>
        <v>11</v>
      </c>
      <c r="R186" s="126" t="n">
        <f aca="false">N186+K186+H186</f>
        <v>11</v>
      </c>
      <c r="S186" s="126" t="n">
        <f aca="false">O186+L186+I186</f>
        <v>6.96</v>
      </c>
      <c r="T186" s="127"/>
      <c r="U186" s="5" t="n">
        <f aca="false">A187-A186</f>
        <v>31</v>
      </c>
      <c r="V186" s="128" t="n">
        <f aca="false">CHOOSE(F$3,A187+24,A186)</f>
        <v>42644</v>
      </c>
      <c r="W186" s="5" t="n">
        <f aca="false">V186-C$3</f>
        <v>5413</v>
      </c>
      <c r="X186" s="124" t="n">
        <f aca="false">VLOOKUP($A186,Table,MATCH(X$4,Curves,0))</f>
        <v>2</v>
      </c>
      <c r="Y186" s="129" t="n">
        <f aca="false">1/(1+CHOOSE(F$3,(X187+($K$3/10000))/2,(X186+($K$3/10000))/2))^(2*W186/365.25)</f>
        <v>1.19530619475796E-009</v>
      </c>
      <c r="Z186" s="5" t="n">
        <f aca="false">IF(AND(mthbeg&lt;=A186,mthend&gt;=A186),1,0)</f>
        <v>0</v>
      </c>
      <c r="AA186" s="5" t="n">
        <f aca="false">U186*Z186</f>
        <v>0</v>
      </c>
      <c r="AC186" s="115" t="n">
        <f aca="false">IF(G179=2,F186*(S186-Q186),F186*(Q186-S186))</f>
        <v>0</v>
      </c>
      <c r="AE186" s="116" t="n">
        <f aca="false">IF($G$3=1,F186*(R186-Q186),F186*(Q186-R186))</f>
        <v>0</v>
      </c>
      <c r="AG186" s="116" t="n">
        <f aca="false">AC186+AE186</f>
        <v>0</v>
      </c>
    </row>
    <row r="187" customFormat="false" ht="12" hidden="false" customHeight="true" outlineLevel="0" collapsed="false">
      <c r="A187" s="120" t="n">
        <f aca="false">EDATE(A186,1)</f>
        <v>42675</v>
      </c>
      <c r="B187" s="121" t="e">
        <f aca="false">VLOOKUP(A187,'Inputs-Summary'!$A$32:$E$41,5,FALSE())</f>
        <v>#N/A</v>
      </c>
      <c r="C187" s="122"/>
      <c r="D187" s="123" t="e">
        <f aca="false">B187+C187</f>
        <v>#N/A</v>
      </c>
      <c r="E187" s="111" t="n">
        <f aca="false">IF(Z187=0,0,IF(AND(Z187=1,$H$3=1),D187*U187,IF($H$3=2,D187,"N/A")))</f>
        <v>0</v>
      </c>
      <c r="F187" s="111" t="n">
        <f aca="false">E187*Y187</f>
        <v>0</v>
      </c>
      <c r="G187" s="124" t="n">
        <f aca="false">VLOOKUP($A187,Table,MATCH(G$4,Curves,0))</f>
        <v>3</v>
      </c>
      <c r="H187" s="125" t="n">
        <f aca="false">G187+$H$7</f>
        <v>3</v>
      </c>
      <c r="I187" s="124" t="n">
        <f aca="false">H187</f>
        <v>3</v>
      </c>
      <c r="J187" s="124" t="n">
        <f aca="false">VLOOKUP($A187,Table,MATCH(J$4,Curves,0))</f>
        <v>4</v>
      </c>
      <c r="K187" s="125" t="n">
        <f aca="false">J187+$K$7</f>
        <v>4</v>
      </c>
      <c r="L187" s="126" t="n">
        <f aca="false">K187</f>
        <v>4</v>
      </c>
      <c r="M187" s="124" t="n">
        <f aca="false">VLOOKUP($A187,Table,MATCH(M$4,Curves,0))</f>
        <v>4</v>
      </c>
      <c r="N187" s="125" t="n">
        <f aca="false">M187+$N$7</f>
        <v>4</v>
      </c>
      <c r="O187" s="126" t="n">
        <v>-0.04</v>
      </c>
      <c r="P187" s="114"/>
      <c r="Q187" s="126" t="n">
        <f aca="false">M187+J187+G187</f>
        <v>11</v>
      </c>
      <c r="R187" s="126" t="n">
        <f aca="false">N187+K187+H187</f>
        <v>11</v>
      </c>
      <c r="S187" s="126" t="n">
        <f aca="false">O187+L187+I187</f>
        <v>6.96</v>
      </c>
      <c r="T187" s="127"/>
      <c r="U187" s="5" t="n">
        <f aca="false">A188-A187</f>
        <v>30</v>
      </c>
      <c r="V187" s="128" t="n">
        <f aca="false">CHOOSE(F$3,A188+24,A187)</f>
        <v>42675</v>
      </c>
      <c r="W187" s="5" t="n">
        <f aca="false">V187-C$3</f>
        <v>5444</v>
      </c>
      <c r="X187" s="124" t="n">
        <f aca="false">VLOOKUP($A187,Table,MATCH(X$4,Curves,0))</f>
        <v>2</v>
      </c>
      <c r="Y187" s="129" t="n">
        <f aca="false">1/(1+CHOOSE(F$3,(X188+($K$3/10000))/2,(X187+($K$3/10000))/2))^(2*W187/365.25)</f>
        <v>1.06262568028034E-009</v>
      </c>
      <c r="Z187" s="5" t="n">
        <f aca="false">IF(AND(mthbeg&lt;=A187,mthend&gt;=A187),1,0)</f>
        <v>0</v>
      </c>
      <c r="AA187" s="5" t="n">
        <f aca="false">U187*Z187</f>
        <v>0</v>
      </c>
      <c r="AC187" s="115" t="n">
        <f aca="false">IF(G180=2,F187*(S187-Q187),F187*(Q187-S187))</f>
        <v>0</v>
      </c>
      <c r="AE187" s="116" t="n">
        <f aca="false">IF($G$3=1,F187*(R187-Q187),F187*(Q187-R187))</f>
        <v>0</v>
      </c>
      <c r="AG187" s="116" t="n">
        <f aca="false">AC187+AE187</f>
        <v>0</v>
      </c>
    </row>
    <row r="188" customFormat="false" ht="12" hidden="false" customHeight="true" outlineLevel="0" collapsed="false">
      <c r="A188" s="120" t="n">
        <f aca="false">EDATE(A187,1)</f>
        <v>42705</v>
      </c>
      <c r="B188" s="121" t="e">
        <f aca="false">VLOOKUP(A188,'Inputs-Summary'!$A$32:$E$41,5,FALSE())</f>
        <v>#N/A</v>
      </c>
      <c r="C188" s="122"/>
      <c r="D188" s="123" t="e">
        <f aca="false">B188+C188</f>
        <v>#N/A</v>
      </c>
      <c r="E188" s="111" t="n">
        <f aca="false">IF(Z188=0,0,IF(AND(Z188=1,$H$3=1),D188*U188,IF($H$3=2,D188,"N/A")))</f>
        <v>0</v>
      </c>
      <c r="F188" s="111" t="n">
        <f aca="false">E188*Y188</f>
        <v>0</v>
      </c>
      <c r="G188" s="124" t="n">
        <f aca="false">VLOOKUP($A188,Table,MATCH(G$4,Curves,0))</f>
        <v>3</v>
      </c>
      <c r="H188" s="125" t="n">
        <f aca="false">G188+$H$7</f>
        <v>3</v>
      </c>
      <c r="I188" s="124" t="n">
        <f aca="false">H188</f>
        <v>3</v>
      </c>
      <c r="J188" s="124" t="n">
        <f aca="false">VLOOKUP($A188,Table,MATCH(J$4,Curves,0))</f>
        <v>4</v>
      </c>
      <c r="K188" s="125" t="n">
        <f aca="false">J188+$K$7</f>
        <v>4</v>
      </c>
      <c r="L188" s="126" t="n">
        <f aca="false">K188</f>
        <v>4</v>
      </c>
      <c r="M188" s="124" t="n">
        <f aca="false">VLOOKUP($A188,Table,MATCH(M$4,Curves,0))</f>
        <v>4</v>
      </c>
      <c r="N188" s="125" t="n">
        <f aca="false">M188+$N$7</f>
        <v>4</v>
      </c>
      <c r="O188" s="126" t="n">
        <v>-0.04</v>
      </c>
      <c r="P188" s="114"/>
      <c r="Q188" s="126" t="n">
        <f aca="false">M188+J188+G188</f>
        <v>11</v>
      </c>
      <c r="R188" s="126" t="n">
        <f aca="false">N188+K188+H188</f>
        <v>11</v>
      </c>
      <c r="S188" s="126" t="n">
        <f aca="false">O188+L188+I188</f>
        <v>6.96</v>
      </c>
      <c r="T188" s="127"/>
      <c r="U188" s="5" t="n">
        <f aca="false">A189-A188</f>
        <v>31</v>
      </c>
      <c r="V188" s="128" t="n">
        <f aca="false">CHOOSE(F$3,A189+24,A188)</f>
        <v>42705</v>
      </c>
      <c r="W188" s="5" t="n">
        <f aca="false">V188-C$3</f>
        <v>5474</v>
      </c>
      <c r="X188" s="124" t="n">
        <f aca="false">VLOOKUP($A188,Table,MATCH(X$4,Curves,0))</f>
        <v>2</v>
      </c>
      <c r="Y188" s="129" t="n">
        <f aca="false">1/(1+CHOOSE(F$3,(X189+($K$3/10000))/2,(X188+($K$3/10000))/2))^(2*W188/365.25)</f>
        <v>9.48265160100388E-010</v>
      </c>
      <c r="Z188" s="5" t="n">
        <f aca="false">IF(AND(mthbeg&lt;=A188,mthend&gt;=A188),1,0)</f>
        <v>0</v>
      </c>
      <c r="AA188" s="5" t="n">
        <f aca="false">U188*Z188</f>
        <v>0</v>
      </c>
      <c r="AC188" s="115" t="n">
        <f aca="false">IF(G181=2,F188*(S188-Q188),F188*(Q188-S188))</f>
        <v>0</v>
      </c>
      <c r="AE188" s="116" t="n">
        <f aca="false">IF($G$3=1,F188*(R188-Q188),F188*(Q188-R188))</f>
        <v>0</v>
      </c>
      <c r="AG188" s="116" t="n">
        <f aca="false">AC188+AE188</f>
        <v>0</v>
      </c>
    </row>
    <row r="189" customFormat="false" ht="12" hidden="false" customHeight="true" outlineLevel="0" collapsed="false">
      <c r="A189" s="120" t="n">
        <f aca="false">EDATE(A188,1)</f>
        <v>42736</v>
      </c>
      <c r="B189" s="121" t="e">
        <f aca="false">VLOOKUP(A189,'Inputs-Summary'!$A$32:$E$41,5,FALSE())</f>
        <v>#N/A</v>
      </c>
      <c r="C189" s="122"/>
      <c r="D189" s="123" t="e">
        <f aca="false">B189+C189</f>
        <v>#N/A</v>
      </c>
      <c r="E189" s="111" t="n">
        <f aca="false">IF(Z189=0,0,IF(AND(Z189=1,$H$3=1),D189*U189,IF($H$3=2,D189,"N/A")))</f>
        <v>0</v>
      </c>
      <c r="F189" s="111" t="n">
        <f aca="false">E189*Y189</f>
        <v>0</v>
      </c>
      <c r="G189" s="124" t="n">
        <f aca="false">VLOOKUP($A189,Table,MATCH(G$4,Curves,0))</f>
        <v>3</v>
      </c>
      <c r="H189" s="125" t="n">
        <f aca="false">G189+$H$7</f>
        <v>3</v>
      </c>
      <c r="I189" s="124" t="n">
        <f aca="false">H189</f>
        <v>3</v>
      </c>
      <c r="J189" s="124" t="n">
        <f aca="false">VLOOKUP($A189,Table,MATCH(J$4,Curves,0))</f>
        <v>4</v>
      </c>
      <c r="K189" s="125" t="n">
        <f aca="false">J189+$K$7</f>
        <v>4</v>
      </c>
      <c r="L189" s="126" t="n">
        <f aca="false">K189</f>
        <v>4</v>
      </c>
      <c r="M189" s="124" t="n">
        <f aca="false">VLOOKUP($A189,Table,MATCH(M$4,Curves,0))</f>
        <v>4</v>
      </c>
      <c r="N189" s="125" t="n">
        <f aca="false">M189+$N$7</f>
        <v>4</v>
      </c>
      <c r="O189" s="126" t="n">
        <v>-0.04</v>
      </c>
      <c r="P189" s="114"/>
      <c r="Q189" s="126" t="n">
        <f aca="false">M189+J189+G189</f>
        <v>11</v>
      </c>
      <c r="R189" s="126" t="n">
        <f aca="false">N189+K189+H189</f>
        <v>11</v>
      </c>
      <c r="S189" s="126" t="n">
        <f aca="false">O189+L189+I189</f>
        <v>6.96</v>
      </c>
      <c r="T189" s="127"/>
      <c r="U189" s="5" t="n">
        <f aca="false">A190-A189</f>
        <v>31</v>
      </c>
      <c r="V189" s="128" t="n">
        <f aca="false">CHOOSE(F$3,A190+24,A189)</f>
        <v>42736</v>
      </c>
      <c r="W189" s="5" t="n">
        <f aca="false">V189-C$3</f>
        <v>5505</v>
      </c>
      <c r="X189" s="124" t="n">
        <f aca="false">VLOOKUP($A189,Table,MATCH(X$4,Curves,0))</f>
        <v>2</v>
      </c>
      <c r="Y189" s="129" t="n">
        <f aca="false">1/(1+CHOOSE(F$3,(X190+($K$3/10000))/2,(X189+($K$3/10000))/2))^(2*W189/365.25)</f>
        <v>8.43006516034885E-010</v>
      </c>
      <c r="Z189" s="5" t="n">
        <f aca="false">IF(AND(mthbeg&lt;=A189,mthend&gt;=A189),1,0)</f>
        <v>0</v>
      </c>
      <c r="AA189" s="5" t="n">
        <f aca="false">U189*Z189</f>
        <v>0</v>
      </c>
      <c r="AC189" s="115" t="n">
        <f aca="false">IF(G182=2,F189*(S189-Q189),F189*(Q189-S189))</f>
        <v>0</v>
      </c>
      <c r="AE189" s="116" t="n">
        <f aca="false">IF($G$3=1,F189*(R189-Q189),F189*(Q189-R189))</f>
        <v>0</v>
      </c>
      <c r="AG189" s="116" t="n">
        <f aca="false">AC189+AE189</f>
        <v>0</v>
      </c>
    </row>
    <row r="190" customFormat="false" ht="12" hidden="false" customHeight="true" outlineLevel="0" collapsed="false">
      <c r="A190" s="120" t="n">
        <f aca="false">EDATE(A189,1)</f>
        <v>42767</v>
      </c>
      <c r="B190" s="121" t="e">
        <f aca="false">VLOOKUP(A190,'Inputs-Summary'!$A$32:$E$41,5,FALSE())</f>
        <v>#N/A</v>
      </c>
      <c r="C190" s="122"/>
      <c r="D190" s="123" t="e">
        <f aca="false">B190+C190</f>
        <v>#N/A</v>
      </c>
      <c r="E190" s="111" t="n">
        <f aca="false">IF(Z190=0,0,IF(AND(Z190=1,$H$3=1),D190*U190,IF($H$3=2,D190,"N/A")))</f>
        <v>0</v>
      </c>
      <c r="F190" s="111" t="n">
        <f aca="false">E190*Y190</f>
        <v>0</v>
      </c>
      <c r="G190" s="124" t="n">
        <f aca="false">VLOOKUP($A190,Table,MATCH(G$4,Curves,0))</f>
        <v>3</v>
      </c>
      <c r="H190" s="125" t="n">
        <f aca="false">G190+$H$7</f>
        <v>3</v>
      </c>
      <c r="I190" s="124" t="n">
        <f aca="false">H190</f>
        <v>3</v>
      </c>
      <c r="J190" s="124" t="n">
        <f aca="false">VLOOKUP($A190,Table,MATCH(J$4,Curves,0))</f>
        <v>4</v>
      </c>
      <c r="K190" s="125" t="n">
        <f aca="false">J190+$K$7</f>
        <v>4</v>
      </c>
      <c r="L190" s="126" t="n">
        <f aca="false">K190</f>
        <v>4</v>
      </c>
      <c r="M190" s="124" t="n">
        <f aca="false">VLOOKUP($A190,Table,MATCH(M$4,Curves,0))</f>
        <v>4</v>
      </c>
      <c r="N190" s="125" t="n">
        <f aca="false">M190+$N$7</f>
        <v>4</v>
      </c>
      <c r="O190" s="126" t="n">
        <v>-0.04</v>
      </c>
      <c r="P190" s="114"/>
      <c r="Q190" s="126" t="n">
        <f aca="false">M190+J190+G190</f>
        <v>11</v>
      </c>
      <c r="R190" s="126" t="n">
        <f aca="false">N190+K190+H190</f>
        <v>11</v>
      </c>
      <c r="S190" s="126" t="n">
        <f aca="false">O190+L190+I190</f>
        <v>6.96</v>
      </c>
      <c r="T190" s="127"/>
      <c r="U190" s="5" t="n">
        <f aca="false">A191-A190</f>
        <v>28</v>
      </c>
      <c r="V190" s="128" t="n">
        <f aca="false">CHOOSE(F$3,A191+24,A190)</f>
        <v>42767</v>
      </c>
      <c r="W190" s="5" t="n">
        <f aca="false">V190-C$3</f>
        <v>5536</v>
      </c>
      <c r="X190" s="124" t="n">
        <f aca="false">VLOOKUP($A190,Table,MATCH(X$4,Curves,0))</f>
        <v>2</v>
      </c>
      <c r="Y190" s="129" t="n">
        <f aca="false">1/(1+CHOOSE(F$3,(X191+($K$3/10000))/2,(X190+($K$3/10000))/2))^(2*W190/365.25)</f>
        <v>7.49431715915874E-010</v>
      </c>
      <c r="Z190" s="5" t="n">
        <f aca="false">IF(AND(mthbeg&lt;=A190,mthend&gt;=A190),1,0)</f>
        <v>0</v>
      </c>
      <c r="AA190" s="5" t="n">
        <f aca="false">U190*Z190</f>
        <v>0</v>
      </c>
      <c r="AC190" s="115" t="n">
        <f aca="false">IF(G183=2,F190*(S190-Q190),F190*(Q190-S190))</f>
        <v>0</v>
      </c>
      <c r="AE190" s="116" t="n">
        <f aca="false">IF($G$3=1,F190*(R190-Q190),F190*(Q190-R190))</f>
        <v>0</v>
      </c>
      <c r="AG190" s="116" t="n">
        <f aca="false">AC190+AE190</f>
        <v>0</v>
      </c>
    </row>
    <row r="191" customFormat="false" ht="12" hidden="false" customHeight="true" outlineLevel="0" collapsed="false">
      <c r="A191" s="120" t="n">
        <f aca="false">EDATE(A190,1)</f>
        <v>42795</v>
      </c>
      <c r="B191" s="121" t="e">
        <f aca="false">VLOOKUP(A191,'Inputs-Summary'!$A$32:$E$41,5,FALSE())</f>
        <v>#N/A</v>
      </c>
      <c r="C191" s="122"/>
      <c r="D191" s="123" t="e">
        <f aca="false">B191+C191</f>
        <v>#N/A</v>
      </c>
      <c r="E191" s="111" t="n">
        <f aca="false">IF(Z191=0,0,IF(AND(Z191=1,$H$3=1),D191*U191,IF($H$3=2,D191,"N/A")))</f>
        <v>0</v>
      </c>
      <c r="F191" s="111" t="n">
        <f aca="false">E191*Y191</f>
        <v>0</v>
      </c>
      <c r="G191" s="124" t="n">
        <f aca="false">VLOOKUP($A191,Table,MATCH(G$4,Curves,0))</f>
        <v>3</v>
      </c>
      <c r="H191" s="125" t="n">
        <f aca="false">G191+$H$7</f>
        <v>3</v>
      </c>
      <c r="I191" s="124" t="n">
        <f aca="false">H191</f>
        <v>3</v>
      </c>
      <c r="J191" s="124" t="n">
        <f aca="false">VLOOKUP($A191,Table,MATCH(J$4,Curves,0))</f>
        <v>4</v>
      </c>
      <c r="K191" s="125" t="n">
        <f aca="false">J191+$K$7</f>
        <v>4</v>
      </c>
      <c r="L191" s="126" t="n">
        <f aca="false">K191</f>
        <v>4</v>
      </c>
      <c r="M191" s="124" t="n">
        <f aca="false">VLOOKUP($A191,Table,MATCH(M$4,Curves,0))</f>
        <v>4</v>
      </c>
      <c r="N191" s="125" t="n">
        <f aca="false">M191+$N$7</f>
        <v>4</v>
      </c>
      <c r="O191" s="126" t="n">
        <v>-0.04</v>
      </c>
      <c r="P191" s="114"/>
      <c r="Q191" s="126" t="n">
        <f aca="false">M191+J191+G191</f>
        <v>11</v>
      </c>
      <c r="R191" s="126" t="n">
        <f aca="false">N191+K191+H191</f>
        <v>11</v>
      </c>
      <c r="S191" s="126" t="n">
        <f aca="false">O191+L191+I191</f>
        <v>6.96</v>
      </c>
      <c r="T191" s="127"/>
      <c r="U191" s="5" t="n">
        <f aca="false">A192-A191</f>
        <v>31</v>
      </c>
      <c r="V191" s="128" t="n">
        <f aca="false">CHOOSE(F$3,A192+24,A191)</f>
        <v>42795</v>
      </c>
      <c r="W191" s="5" t="n">
        <f aca="false">V191-C$3</f>
        <v>5564</v>
      </c>
      <c r="X191" s="124" t="n">
        <f aca="false">VLOOKUP($A191,Table,MATCH(X$4,Curves,0))</f>
        <v>2</v>
      </c>
      <c r="Y191" s="129" t="n">
        <f aca="false">1/(1+CHOOSE(F$3,(X192+($K$3/10000))/2,(X191+($K$3/10000))/2))^(2*W191/365.25)</f>
        <v>6.73873311553957E-010</v>
      </c>
      <c r="Z191" s="5" t="n">
        <f aca="false">IF(AND(mthbeg&lt;=A191,mthend&gt;=A191),1,0)</f>
        <v>0</v>
      </c>
      <c r="AA191" s="5" t="n">
        <f aca="false">U191*Z191</f>
        <v>0</v>
      </c>
      <c r="AC191" s="115" t="n">
        <f aca="false">IF(G184=2,F191*(S191-Q191),F191*(Q191-S191))</f>
        <v>0</v>
      </c>
      <c r="AE191" s="116" t="n">
        <f aca="false">IF($G$3=1,F191*(R191-Q191),F191*(Q191-R191))</f>
        <v>0</v>
      </c>
      <c r="AG191" s="116" t="n">
        <f aca="false">AC191+AE191</f>
        <v>0</v>
      </c>
    </row>
    <row r="192" customFormat="false" ht="12" hidden="false" customHeight="true" outlineLevel="0" collapsed="false">
      <c r="A192" s="120" t="n">
        <f aca="false">EDATE(A191,1)</f>
        <v>42826</v>
      </c>
      <c r="B192" s="121" t="e">
        <f aca="false">VLOOKUP(A192,'Inputs-Summary'!$A$32:$E$41,5,FALSE())</f>
        <v>#N/A</v>
      </c>
      <c r="C192" s="122"/>
      <c r="D192" s="123" t="e">
        <f aca="false">B192+C192</f>
        <v>#N/A</v>
      </c>
      <c r="E192" s="111" t="n">
        <f aca="false">IF(Z192=0,0,IF(AND(Z192=1,$H$3=1),D192*U192,IF($H$3=2,D192,"N/A")))</f>
        <v>0</v>
      </c>
      <c r="F192" s="111" t="n">
        <f aca="false">E192*Y192</f>
        <v>0</v>
      </c>
      <c r="G192" s="124" t="n">
        <f aca="false">VLOOKUP($A192,Table,MATCH(G$4,Curves,0))</f>
        <v>3</v>
      </c>
      <c r="H192" s="125" t="n">
        <f aca="false">G192+$H$7</f>
        <v>3</v>
      </c>
      <c r="I192" s="124" t="n">
        <f aca="false">H192</f>
        <v>3</v>
      </c>
      <c r="J192" s="124" t="n">
        <f aca="false">VLOOKUP($A192,Table,MATCH(J$4,Curves,0))</f>
        <v>4</v>
      </c>
      <c r="K192" s="125" t="n">
        <f aca="false">J192+$K$7</f>
        <v>4</v>
      </c>
      <c r="L192" s="126" t="n">
        <f aca="false">K192</f>
        <v>4</v>
      </c>
      <c r="M192" s="124" t="n">
        <f aca="false">VLOOKUP($A192,Table,MATCH(M$4,Curves,0))</f>
        <v>4</v>
      </c>
      <c r="N192" s="125" t="n">
        <f aca="false">M192+$N$7</f>
        <v>4</v>
      </c>
      <c r="O192" s="126" t="n">
        <v>-0.04</v>
      </c>
      <c r="P192" s="114"/>
      <c r="Q192" s="126" t="n">
        <f aca="false">M192+J192+G192</f>
        <v>11</v>
      </c>
      <c r="R192" s="126" t="n">
        <f aca="false">N192+K192+H192</f>
        <v>11</v>
      </c>
      <c r="S192" s="126" t="n">
        <f aca="false">O192+L192+I192</f>
        <v>6.96</v>
      </c>
      <c r="T192" s="127"/>
      <c r="U192" s="5" t="n">
        <f aca="false">A193-A192</f>
        <v>30</v>
      </c>
      <c r="V192" s="128" t="n">
        <f aca="false">CHOOSE(F$3,A193+24,A192)</f>
        <v>42826</v>
      </c>
      <c r="W192" s="5" t="n">
        <f aca="false">V192-C$3</f>
        <v>5595</v>
      </c>
      <c r="X192" s="124" t="n">
        <f aca="false">VLOOKUP($A192,Table,MATCH(X$4,Curves,0))</f>
        <v>2</v>
      </c>
      <c r="Y192" s="129" t="n">
        <f aca="false">1/(1+CHOOSE(F$3,(X193+($K$3/10000))/2,(X192+($K$3/10000))/2))^(2*W192/365.25)</f>
        <v>5.99072513179596E-010</v>
      </c>
      <c r="Z192" s="5" t="n">
        <f aca="false">IF(AND(mthbeg&lt;=A192,mthend&gt;=A192),1,0)</f>
        <v>0</v>
      </c>
      <c r="AA192" s="5" t="n">
        <f aca="false">U192*Z192</f>
        <v>0</v>
      </c>
      <c r="AC192" s="115" t="n">
        <f aca="false">IF(G185=2,F192*(S192-Q192),F192*(Q192-S192))</f>
        <v>0</v>
      </c>
      <c r="AE192" s="116" t="n">
        <f aca="false">IF($G$3=1,F192*(R192-Q192),F192*(Q192-R192))</f>
        <v>0</v>
      </c>
      <c r="AG192" s="116" t="n">
        <f aca="false">AC192+AE192</f>
        <v>0</v>
      </c>
    </row>
    <row r="193" customFormat="false" ht="12" hidden="false" customHeight="true" outlineLevel="0" collapsed="false">
      <c r="A193" s="120" t="n">
        <f aca="false">EDATE(A192,1)</f>
        <v>42856</v>
      </c>
      <c r="B193" s="121" t="e">
        <f aca="false">VLOOKUP(A193,'Inputs-Summary'!$A$32:$E$41,5,FALSE())</f>
        <v>#N/A</v>
      </c>
      <c r="C193" s="122"/>
      <c r="D193" s="123" t="e">
        <f aca="false">B193+C193</f>
        <v>#N/A</v>
      </c>
      <c r="E193" s="111" t="n">
        <f aca="false">IF(Z193=0,0,IF(AND(Z193=1,$H$3=1),D193*U193,IF($H$3=2,D193,"N/A")))</f>
        <v>0</v>
      </c>
      <c r="F193" s="111" t="n">
        <f aca="false">E193*Y193</f>
        <v>0</v>
      </c>
      <c r="G193" s="124" t="n">
        <f aca="false">VLOOKUP($A193,Table,MATCH(G$4,Curves,0))</f>
        <v>3</v>
      </c>
      <c r="H193" s="125" t="n">
        <f aca="false">G193+$H$7</f>
        <v>3</v>
      </c>
      <c r="I193" s="124" t="n">
        <f aca="false">H193</f>
        <v>3</v>
      </c>
      <c r="J193" s="124" t="n">
        <f aca="false">VLOOKUP($A193,Table,MATCH(J$4,Curves,0))</f>
        <v>4</v>
      </c>
      <c r="K193" s="125" t="n">
        <f aca="false">J193+$K$7</f>
        <v>4</v>
      </c>
      <c r="L193" s="126" t="n">
        <f aca="false">K193</f>
        <v>4</v>
      </c>
      <c r="M193" s="124" t="n">
        <f aca="false">VLOOKUP($A193,Table,MATCH(M$4,Curves,0))</f>
        <v>4</v>
      </c>
      <c r="N193" s="125" t="n">
        <f aca="false">M193+$N$7</f>
        <v>4</v>
      </c>
      <c r="O193" s="126" t="n">
        <v>-0.04</v>
      </c>
      <c r="P193" s="114"/>
      <c r="Q193" s="126" t="n">
        <f aca="false">M193+J193+G193</f>
        <v>11</v>
      </c>
      <c r="R193" s="126" t="n">
        <f aca="false">N193+K193+H193</f>
        <v>11</v>
      </c>
      <c r="S193" s="126" t="n">
        <f aca="false">O193+L193+I193</f>
        <v>6.96</v>
      </c>
      <c r="T193" s="127"/>
      <c r="U193" s="5" t="n">
        <f aca="false">A194-A193</f>
        <v>31</v>
      </c>
      <c r="V193" s="128" t="n">
        <f aca="false">CHOOSE(F$3,A194+24,A193)</f>
        <v>42856</v>
      </c>
      <c r="W193" s="5" t="n">
        <f aca="false">V193-C$3</f>
        <v>5625</v>
      </c>
      <c r="X193" s="124" t="n">
        <f aca="false">VLOOKUP($A193,Table,MATCH(X$4,Curves,0))</f>
        <v>2</v>
      </c>
      <c r="Y193" s="129" t="n">
        <f aca="false">1/(1+CHOOSE(F$3,(X194+($K$3/10000))/2,(X193+($K$3/10000))/2))^(2*W193/365.25)</f>
        <v>5.3459990960516E-010</v>
      </c>
      <c r="Z193" s="5" t="n">
        <f aca="false">IF(AND(mthbeg&lt;=A193,mthend&gt;=A193),1,0)</f>
        <v>0</v>
      </c>
      <c r="AA193" s="5" t="n">
        <f aca="false">U193*Z193</f>
        <v>0</v>
      </c>
      <c r="AC193" s="115" t="n">
        <f aca="false">IF(G186=2,F193*(S193-Q193),F193*(Q193-S193))</f>
        <v>0</v>
      </c>
      <c r="AE193" s="116" t="n">
        <f aca="false">IF($G$3=1,F193*(R193-Q193),F193*(Q193-R193))</f>
        <v>0</v>
      </c>
      <c r="AG193" s="116" t="n">
        <f aca="false">AC193+AE193</f>
        <v>0</v>
      </c>
    </row>
    <row r="194" customFormat="false" ht="12" hidden="false" customHeight="true" outlineLevel="0" collapsed="false">
      <c r="A194" s="120" t="n">
        <f aca="false">EDATE(A193,1)</f>
        <v>42887</v>
      </c>
      <c r="B194" s="121" t="e">
        <f aca="false">VLOOKUP(A194,'Inputs-Summary'!$A$32:$E$41,5,FALSE())</f>
        <v>#N/A</v>
      </c>
      <c r="C194" s="122"/>
      <c r="D194" s="123" t="e">
        <f aca="false">B194+C194</f>
        <v>#N/A</v>
      </c>
      <c r="E194" s="111" t="n">
        <f aca="false">IF(Z194=0,0,IF(AND(Z194=1,$H$3=1),D194*U194,IF($H$3=2,D194,"N/A")))</f>
        <v>0</v>
      </c>
      <c r="F194" s="111" t="n">
        <f aca="false">E194*Y194</f>
        <v>0</v>
      </c>
      <c r="G194" s="124" t="n">
        <f aca="false">VLOOKUP($A194,Table,MATCH(G$4,Curves,0))</f>
        <v>3</v>
      </c>
      <c r="H194" s="125" t="n">
        <f aca="false">G194+$H$7</f>
        <v>3</v>
      </c>
      <c r="I194" s="124" t="n">
        <f aca="false">H194</f>
        <v>3</v>
      </c>
      <c r="J194" s="124" t="n">
        <f aca="false">VLOOKUP($A194,Table,MATCH(J$4,Curves,0))</f>
        <v>4</v>
      </c>
      <c r="K194" s="125" t="n">
        <f aca="false">J194+$K$7</f>
        <v>4</v>
      </c>
      <c r="L194" s="126" t="n">
        <f aca="false">K194</f>
        <v>4</v>
      </c>
      <c r="M194" s="124" t="n">
        <f aca="false">VLOOKUP($A194,Table,MATCH(M$4,Curves,0))</f>
        <v>4</v>
      </c>
      <c r="N194" s="125" t="n">
        <f aca="false">M194+$N$7</f>
        <v>4</v>
      </c>
      <c r="O194" s="126" t="n">
        <v>-0.04</v>
      </c>
      <c r="P194" s="114"/>
      <c r="Q194" s="126" t="n">
        <f aca="false">M194+J194+G194</f>
        <v>11</v>
      </c>
      <c r="R194" s="126" t="n">
        <f aca="false">N194+K194+H194</f>
        <v>11</v>
      </c>
      <c r="S194" s="126" t="n">
        <f aca="false">O194+L194+I194</f>
        <v>6.96</v>
      </c>
      <c r="T194" s="127"/>
      <c r="U194" s="5" t="n">
        <f aca="false">A195-A194</f>
        <v>30</v>
      </c>
      <c r="V194" s="128" t="n">
        <f aca="false">CHOOSE(F$3,A195+24,A194)</f>
        <v>42887</v>
      </c>
      <c r="W194" s="5" t="n">
        <f aca="false">V194-C$3</f>
        <v>5656</v>
      </c>
      <c r="X194" s="124" t="n">
        <f aca="false">VLOOKUP($A194,Table,MATCH(X$4,Curves,0))</f>
        <v>2</v>
      </c>
      <c r="Y194" s="129" t="n">
        <f aca="false">1/(1+CHOOSE(F$3,(X195+($K$3/10000))/2,(X194+($K$3/10000))/2))^(2*W194/365.25)</f>
        <v>4.75258636752088E-010</v>
      </c>
      <c r="Z194" s="5" t="n">
        <f aca="false">IF(AND(mthbeg&lt;=A194,mthend&gt;=A194),1,0)</f>
        <v>0</v>
      </c>
      <c r="AA194" s="5" t="n">
        <f aca="false">U194*Z194</f>
        <v>0</v>
      </c>
      <c r="AC194" s="115" t="n">
        <f aca="false">IF(G187=2,F194*(S194-Q194),F194*(Q194-S194))</f>
        <v>0</v>
      </c>
      <c r="AE194" s="116" t="n">
        <f aca="false">IF($G$3=1,F194*(R194-Q194),F194*(Q194-R194))</f>
        <v>0</v>
      </c>
      <c r="AG194" s="116" t="n">
        <f aca="false">AC194+AE194</f>
        <v>0</v>
      </c>
    </row>
    <row r="195" customFormat="false" ht="12" hidden="false" customHeight="true" outlineLevel="0" collapsed="false">
      <c r="A195" s="120" t="n">
        <f aca="false">EDATE(A194,1)</f>
        <v>42917</v>
      </c>
      <c r="B195" s="121" t="e">
        <f aca="false">VLOOKUP(A195,'Inputs-Summary'!$A$32:$E$41,5,FALSE())</f>
        <v>#N/A</v>
      </c>
      <c r="C195" s="122"/>
      <c r="D195" s="123" t="e">
        <f aca="false">B195+C195</f>
        <v>#N/A</v>
      </c>
      <c r="E195" s="111" t="n">
        <f aca="false">IF(Z195=0,0,IF(AND(Z195=1,$H$3=1),D195*U195,IF($H$3=2,D195,"N/A")))</f>
        <v>0</v>
      </c>
      <c r="F195" s="111" t="n">
        <f aca="false">E195*Y195</f>
        <v>0</v>
      </c>
      <c r="G195" s="124" t="n">
        <f aca="false">VLOOKUP($A195,Table,MATCH(G$4,Curves,0))</f>
        <v>3</v>
      </c>
      <c r="H195" s="125" t="n">
        <f aca="false">G195+$H$7</f>
        <v>3</v>
      </c>
      <c r="I195" s="124" t="n">
        <f aca="false">H195</f>
        <v>3</v>
      </c>
      <c r="J195" s="124" t="n">
        <f aca="false">VLOOKUP($A195,Table,MATCH(J$4,Curves,0))</f>
        <v>4</v>
      </c>
      <c r="K195" s="125" t="n">
        <f aca="false">J195+$K$7</f>
        <v>4</v>
      </c>
      <c r="L195" s="126" t="n">
        <f aca="false">K195</f>
        <v>4</v>
      </c>
      <c r="M195" s="124" t="n">
        <f aca="false">VLOOKUP($A195,Table,MATCH(M$4,Curves,0))</f>
        <v>4</v>
      </c>
      <c r="N195" s="125" t="n">
        <f aca="false">M195+$N$7</f>
        <v>4</v>
      </c>
      <c r="O195" s="126" t="n">
        <v>-0.04</v>
      </c>
      <c r="P195" s="114"/>
      <c r="Q195" s="126" t="n">
        <f aca="false">M195+J195+G195</f>
        <v>11</v>
      </c>
      <c r="R195" s="126" t="n">
        <f aca="false">N195+K195+H195</f>
        <v>11</v>
      </c>
      <c r="S195" s="126" t="n">
        <f aca="false">O195+L195+I195</f>
        <v>6.96</v>
      </c>
      <c r="T195" s="127"/>
      <c r="U195" s="5" t="n">
        <f aca="false">A196-A195</f>
        <v>31</v>
      </c>
      <c r="V195" s="128" t="n">
        <f aca="false">CHOOSE(F$3,A196+24,A195)</f>
        <v>42917</v>
      </c>
      <c r="W195" s="5" t="n">
        <f aca="false">V195-C$3</f>
        <v>5686</v>
      </c>
      <c r="X195" s="124" t="n">
        <f aca="false">VLOOKUP($A195,Table,MATCH(X$4,Curves,0))</f>
        <v>2</v>
      </c>
      <c r="Y195" s="129" t="n">
        <f aca="false">1/(1+CHOOSE(F$3,(X196+($K$3/10000))/2,(X195+($K$3/10000))/2))^(2*W195/365.25)</f>
        <v>4.24110969301922E-010</v>
      </c>
      <c r="Z195" s="5" t="n">
        <f aca="false">IF(AND(mthbeg&lt;=A195,mthend&gt;=A195),1,0)</f>
        <v>0</v>
      </c>
      <c r="AA195" s="5" t="n">
        <f aca="false">U195*Z195</f>
        <v>0</v>
      </c>
      <c r="AC195" s="115" t="n">
        <f aca="false">IF(G188=2,F195*(S195-Q195),F195*(Q195-S195))</f>
        <v>0</v>
      </c>
      <c r="AE195" s="116" t="n">
        <f aca="false">IF($G$3=1,F195*(R195-Q195),F195*(Q195-R195))</f>
        <v>0</v>
      </c>
      <c r="AG195" s="116" t="n">
        <f aca="false">AC195+AE195</f>
        <v>0</v>
      </c>
    </row>
    <row r="196" customFormat="false" ht="12" hidden="false" customHeight="true" outlineLevel="0" collapsed="false">
      <c r="A196" s="120" t="n">
        <f aca="false">EDATE(A195,1)</f>
        <v>42948</v>
      </c>
      <c r="B196" s="121" t="e">
        <f aca="false">VLOOKUP(A196,'Inputs-Summary'!$A$32:$E$41,5,FALSE())</f>
        <v>#N/A</v>
      </c>
      <c r="C196" s="122"/>
      <c r="D196" s="123" t="e">
        <f aca="false">B196+C196</f>
        <v>#N/A</v>
      </c>
      <c r="E196" s="111" t="n">
        <f aca="false">IF(Z196=0,0,IF(AND(Z196=1,$H$3=1),D196*U196,IF($H$3=2,D196,"N/A")))</f>
        <v>0</v>
      </c>
      <c r="F196" s="111" t="n">
        <f aca="false">E196*Y196</f>
        <v>0</v>
      </c>
      <c r="G196" s="124" t="n">
        <f aca="false">VLOOKUP($A196,Table,MATCH(G$4,Curves,0))</f>
        <v>3</v>
      </c>
      <c r="H196" s="125" t="n">
        <f aca="false">G196+$H$7</f>
        <v>3</v>
      </c>
      <c r="I196" s="124" t="n">
        <f aca="false">H196</f>
        <v>3</v>
      </c>
      <c r="J196" s="124" t="n">
        <f aca="false">VLOOKUP($A196,Table,MATCH(J$4,Curves,0))</f>
        <v>4</v>
      </c>
      <c r="K196" s="125" t="n">
        <f aca="false">J196+$K$7</f>
        <v>4</v>
      </c>
      <c r="L196" s="126" t="n">
        <f aca="false">K196</f>
        <v>4</v>
      </c>
      <c r="M196" s="124" t="n">
        <f aca="false">VLOOKUP($A196,Table,MATCH(M$4,Curves,0))</f>
        <v>4</v>
      </c>
      <c r="N196" s="125" t="n">
        <f aca="false">M196+$N$7</f>
        <v>4</v>
      </c>
      <c r="O196" s="126" t="n">
        <v>-0.04</v>
      </c>
      <c r="P196" s="114"/>
      <c r="Q196" s="126" t="n">
        <f aca="false">M196+J196+G196</f>
        <v>11</v>
      </c>
      <c r="R196" s="126" t="n">
        <f aca="false">N196+K196+H196</f>
        <v>11</v>
      </c>
      <c r="S196" s="126" t="n">
        <f aca="false">O196+L196+I196</f>
        <v>6.96</v>
      </c>
      <c r="T196" s="127"/>
      <c r="U196" s="5" t="n">
        <f aca="false">A197-A196</f>
        <v>31</v>
      </c>
      <c r="V196" s="128" t="n">
        <f aca="false">CHOOSE(F$3,A197+24,A196)</f>
        <v>42948</v>
      </c>
      <c r="W196" s="5" t="n">
        <f aca="false">V196-C$3</f>
        <v>5717</v>
      </c>
      <c r="X196" s="124" t="n">
        <f aca="false">VLOOKUP($A196,Table,MATCH(X$4,Curves,0))</f>
        <v>2</v>
      </c>
      <c r="Y196" s="129" t="n">
        <f aca="false">1/(1+CHOOSE(F$3,(X197+($K$3/10000))/2,(X196+($K$3/10000))/2))^(2*W196/365.25)</f>
        <v>3.77034109958803E-010</v>
      </c>
      <c r="Z196" s="5" t="n">
        <f aca="false">IF(AND(mthbeg&lt;=A196,mthend&gt;=A196),1,0)</f>
        <v>0</v>
      </c>
      <c r="AA196" s="5" t="n">
        <f aca="false">U196*Z196</f>
        <v>0</v>
      </c>
      <c r="AC196" s="115" t="n">
        <f aca="false">IF(G189=2,F196*(S196-Q196),F196*(Q196-S196))</f>
        <v>0</v>
      </c>
      <c r="AE196" s="116" t="n">
        <f aca="false">IF($G$3=1,F196*(R196-Q196),F196*(Q196-R196))</f>
        <v>0</v>
      </c>
      <c r="AG196" s="116" t="n">
        <f aca="false">AC196+AE196</f>
        <v>0</v>
      </c>
    </row>
    <row r="197" customFormat="false" ht="12" hidden="false" customHeight="true" outlineLevel="0" collapsed="false">
      <c r="A197" s="120" t="n">
        <f aca="false">EDATE(A196,1)</f>
        <v>42979</v>
      </c>
      <c r="B197" s="121" t="e">
        <f aca="false">VLOOKUP(A197,'Inputs-Summary'!$A$32:$E$41,5,FALSE())</f>
        <v>#N/A</v>
      </c>
      <c r="C197" s="122"/>
      <c r="D197" s="123" t="e">
        <f aca="false">B197+C197</f>
        <v>#N/A</v>
      </c>
      <c r="E197" s="111" t="n">
        <f aca="false">IF(Z197=0,0,IF(AND(Z197=1,$H$3=1),D197*U197,IF($H$3=2,D197,"N/A")))</f>
        <v>0</v>
      </c>
      <c r="F197" s="111" t="n">
        <f aca="false">E197*Y197</f>
        <v>0</v>
      </c>
      <c r="G197" s="124" t="n">
        <f aca="false">VLOOKUP($A197,Table,MATCH(G$4,Curves,0))</f>
        <v>3</v>
      </c>
      <c r="H197" s="125" t="n">
        <f aca="false">G197+$H$7</f>
        <v>3</v>
      </c>
      <c r="I197" s="124" t="n">
        <f aca="false">H197</f>
        <v>3</v>
      </c>
      <c r="J197" s="124" t="n">
        <f aca="false">VLOOKUP($A197,Table,MATCH(J$4,Curves,0))</f>
        <v>4</v>
      </c>
      <c r="K197" s="125" t="n">
        <f aca="false">J197+$K$7</f>
        <v>4</v>
      </c>
      <c r="L197" s="126" t="n">
        <f aca="false">K197</f>
        <v>4</v>
      </c>
      <c r="M197" s="124" t="n">
        <f aca="false">VLOOKUP($A197,Table,MATCH(M$4,Curves,0))</f>
        <v>4</v>
      </c>
      <c r="N197" s="125" t="n">
        <f aca="false">M197+$N$7</f>
        <v>4</v>
      </c>
      <c r="O197" s="126" t="n">
        <v>-0.04</v>
      </c>
      <c r="P197" s="114"/>
      <c r="Q197" s="126" t="n">
        <f aca="false">M197+J197+G197</f>
        <v>11</v>
      </c>
      <c r="R197" s="126" t="n">
        <f aca="false">N197+K197+H197</f>
        <v>11</v>
      </c>
      <c r="S197" s="126" t="n">
        <f aca="false">O197+L197+I197</f>
        <v>6.96</v>
      </c>
      <c r="T197" s="127"/>
      <c r="U197" s="5" t="n">
        <f aca="false">A198-A197</f>
        <v>30</v>
      </c>
      <c r="V197" s="128" t="n">
        <f aca="false">CHOOSE(F$3,A198+24,A197)</f>
        <v>42979</v>
      </c>
      <c r="W197" s="5" t="n">
        <f aca="false">V197-C$3</f>
        <v>5748</v>
      </c>
      <c r="X197" s="124" t="n">
        <f aca="false">VLOOKUP($A197,Table,MATCH(X$4,Curves,0))</f>
        <v>2</v>
      </c>
      <c r="Y197" s="129" t="n">
        <f aca="false">1/(1+CHOOSE(F$3,(X198+($K$3/10000))/2,(X197+($K$3/10000))/2))^(2*W197/365.25)</f>
        <v>3.35182842137779E-010</v>
      </c>
      <c r="Z197" s="5" t="n">
        <f aca="false">IF(AND(mthbeg&lt;=A197,mthend&gt;=A197),1,0)</f>
        <v>0</v>
      </c>
      <c r="AA197" s="5" t="n">
        <f aca="false">U197*Z197</f>
        <v>0</v>
      </c>
      <c r="AC197" s="115" t="n">
        <f aca="false">IF(G190=2,F197*(S197-Q197),F197*(Q197-S197))</f>
        <v>0</v>
      </c>
      <c r="AE197" s="116" t="n">
        <f aca="false">IF($G$3=1,F197*(R197-Q197),F197*(Q197-R197))</f>
        <v>0</v>
      </c>
      <c r="AG197" s="116" t="n">
        <f aca="false">AC197+AE197</f>
        <v>0</v>
      </c>
    </row>
    <row r="198" customFormat="false" ht="12" hidden="false" customHeight="true" outlineLevel="0" collapsed="false">
      <c r="A198" s="120" t="n">
        <f aca="false">EDATE(A197,1)</f>
        <v>43009</v>
      </c>
      <c r="B198" s="121" t="e">
        <f aca="false">VLOOKUP(A198,'Inputs-Summary'!$A$32:$E$41,5,FALSE())</f>
        <v>#N/A</v>
      </c>
      <c r="C198" s="122"/>
      <c r="D198" s="123" t="e">
        <f aca="false">B198+C198</f>
        <v>#N/A</v>
      </c>
      <c r="E198" s="111" t="n">
        <f aca="false">IF(Z198=0,0,IF(AND(Z198=1,$H$3=1),D198*U198,IF($H$3=2,D198,"N/A")))</f>
        <v>0</v>
      </c>
      <c r="F198" s="111" t="n">
        <f aca="false">E198*Y198</f>
        <v>0</v>
      </c>
      <c r="G198" s="124" t="n">
        <f aca="false">VLOOKUP($A198,Table,MATCH(G$4,Curves,0))</f>
        <v>3</v>
      </c>
      <c r="H198" s="125" t="n">
        <f aca="false">G198+$H$7</f>
        <v>3</v>
      </c>
      <c r="I198" s="124" t="n">
        <f aca="false">H198</f>
        <v>3</v>
      </c>
      <c r="J198" s="124" t="n">
        <f aca="false">VLOOKUP($A198,Table,MATCH(J$4,Curves,0))</f>
        <v>4</v>
      </c>
      <c r="K198" s="125" t="n">
        <f aca="false">J198+$K$7</f>
        <v>4</v>
      </c>
      <c r="L198" s="126" t="n">
        <f aca="false">K198</f>
        <v>4</v>
      </c>
      <c r="M198" s="124" t="n">
        <f aca="false">VLOOKUP($A198,Table,MATCH(M$4,Curves,0))</f>
        <v>4</v>
      </c>
      <c r="N198" s="125" t="n">
        <f aca="false">M198+$N$7</f>
        <v>4</v>
      </c>
      <c r="O198" s="126" t="n">
        <v>-0.04</v>
      </c>
      <c r="P198" s="114"/>
      <c r="Q198" s="126" t="n">
        <f aca="false">M198+J198+G198</f>
        <v>11</v>
      </c>
      <c r="R198" s="126" t="n">
        <f aca="false">N198+K198+H198</f>
        <v>11</v>
      </c>
      <c r="S198" s="126" t="n">
        <f aca="false">O198+L198+I198</f>
        <v>6.96</v>
      </c>
      <c r="T198" s="127"/>
      <c r="U198" s="5" t="n">
        <f aca="false">A199-A198</f>
        <v>31</v>
      </c>
      <c r="V198" s="128" t="n">
        <f aca="false">CHOOSE(F$3,A199+24,A198)</f>
        <v>43009</v>
      </c>
      <c r="W198" s="5" t="n">
        <f aca="false">V198-C$3</f>
        <v>5778</v>
      </c>
      <c r="X198" s="124" t="n">
        <f aca="false">VLOOKUP($A198,Table,MATCH(X$4,Curves,0))</f>
        <v>2</v>
      </c>
      <c r="Y198" s="129" t="n">
        <f aca="false">1/(1+CHOOSE(F$3,(X199+($K$3/10000))/2,(X198+($K$3/10000))/2))^(2*W198/365.25)</f>
        <v>2.99110229840136E-010</v>
      </c>
      <c r="Z198" s="5" t="n">
        <f aca="false">IF(AND(mthbeg&lt;=A198,mthend&gt;=A198),1,0)</f>
        <v>0</v>
      </c>
      <c r="AA198" s="5" t="n">
        <f aca="false">U198*Z198</f>
        <v>0</v>
      </c>
      <c r="AC198" s="115" t="n">
        <f aca="false">IF(G191=2,F198*(S198-Q198),F198*(Q198-S198))</f>
        <v>0</v>
      </c>
      <c r="AE198" s="116" t="n">
        <f aca="false">IF($G$3=1,F198*(R198-Q198),F198*(Q198-R198))</f>
        <v>0</v>
      </c>
      <c r="AG198" s="116" t="n">
        <f aca="false">AC198+AE198</f>
        <v>0</v>
      </c>
    </row>
    <row r="199" customFormat="false" ht="12" hidden="false" customHeight="true" outlineLevel="0" collapsed="false">
      <c r="A199" s="120" t="n">
        <f aca="false">EDATE(A198,1)</f>
        <v>43040</v>
      </c>
      <c r="B199" s="121" t="e">
        <f aca="false">VLOOKUP(A199,'Inputs-Summary'!$A$32:$E$41,5,FALSE())</f>
        <v>#N/A</v>
      </c>
      <c r="C199" s="122"/>
      <c r="D199" s="123" t="e">
        <f aca="false">B199+C199</f>
        <v>#N/A</v>
      </c>
      <c r="E199" s="111" t="n">
        <f aca="false">IF(Z199=0,0,IF(AND(Z199=1,$H$3=1),D199*U199,IF($H$3=2,D199,"N/A")))</f>
        <v>0</v>
      </c>
      <c r="F199" s="111" t="n">
        <f aca="false">E199*Y199</f>
        <v>0</v>
      </c>
      <c r="G199" s="124" t="n">
        <f aca="false">VLOOKUP($A199,Table,MATCH(G$4,Curves,0))</f>
        <v>3</v>
      </c>
      <c r="H199" s="125" t="n">
        <f aca="false">G199+$H$7</f>
        <v>3</v>
      </c>
      <c r="I199" s="124" t="n">
        <f aca="false">H199</f>
        <v>3</v>
      </c>
      <c r="J199" s="124" t="n">
        <f aca="false">VLOOKUP($A199,Table,MATCH(J$4,Curves,0))</f>
        <v>4</v>
      </c>
      <c r="K199" s="125" t="n">
        <f aca="false">J199+$K$7</f>
        <v>4</v>
      </c>
      <c r="L199" s="126" t="n">
        <f aca="false">K199</f>
        <v>4</v>
      </c>
      <c r="M199" s="124" t="n">
        <f aca="false">VLOOKUP($A199,Table,MATCH(M$4,Curves,0))</f>
        <v>4</v>
      </c>
      <c r="N199" s="125" t="n">
        <f aca="false">M199+$N$7</f>
        <v>4</v>
      </c>
      <c r="O199" s="126" t="n">
        <v>-0.04</v>
      </c>
      <c r="P199" s="114"/>
      <c r="Q199" s="126" t="n">
        <f aca="false">M199+J199+G199</f>
        <v>11</v>
      </c>
      <c r="R199" s="126" t="n">
        <f aca="false">N199+K199+H199</f>
        <v>11</v>
      </c>
      <c r="S199" s="126" t="n">
        <f aca="false">O199+L199+I199</f>
        <v>6.96</v>
      </c>
      <c r="T199" s="127"/>
      <c r="U199" s="5" t="n">
        <f aca="false">A200-A199</f>
        <v>30</v>
      </c>
      <c r="V199" s="128" t="n">
        <f aca="false">CHOOSE(F$3,A200+24,A199)</f>
        <v>43040</v>
      </c>
      <c r="W199" s="5" t="n">
        <f aca="false">V199-C$3</f>
        <v>5809</v>
      </c>
      <c r="X199" s="124" t="n">
        <f aca="false">VLOOKUP($A199,Table,MATCH(X$4,Curves,0))</f>
        <v>2</v>
      </c>
      <c r="Y199" s="129" t="n">
        <f aca="false">1/(1+CHOOSE(F$3,(X200+($K$3/10000))/2,(X199+($K$3/10000))/2))^(2*W199/365.25)</f>
        <v>2.65908612250642E-010</v>
      </c>
      <c r="Z199" s="5" t="n">
        <f aca="false">IF(AND(mthbeg&lt;=A199,mthend&gt;=A199),1,0)</f>
        <v>0</v>
      </c>
      <c r="AA199" s="5" t="n">
        <f aca="false">U199*Z199</f>
        <v>0</v>
      </c>
      <c r="AC199" s="115" t="n">
        <f aca="false">IF(G192=2,F199*(S199-Q199),F199*(Q199-S199))</f>
        <v>0</v>
      </c>
      <c r="AE199" s="116" t="n">
        <f aca="false">IF($G$3=1,F199*(R199-Q199),F199*(Q199-R199))</f>
        <v>0</v>
      </c>
      <c r="AG199" s="116" t="n">
        <f aca="false">AC199+AE199</f>
        <v>0</v>
      </c>
    </row>
    <row r="200" customFormat="false" ht="12" hidden="false" customHeight="true" outlineLevel="0" collapsed="false">
      <c r="A200" s="120" t="n">
        <f aca="false">EDATE(A199,1)</f>
        <v>43070</v>
      </c>
      <c r="B200" s="121" t="e">
        <f aca="false">VLOOKUP(A200,'Inputs-Summary'!$A$32:$E$41,5,FALSE())</f>
        <v>#N/A</v>
      </c>
      <c r="C200" s="122"/>
      <c r="D200" s="123" t="e">
        <f aca="false">B200+C200</f>
        <v>#N/A</v>
      </c>
      <c r="E200" s="111" t="n">
        <f aca="false">IF(Z200=0,0,IF(AND(Z200=1,$H$3=1),D200*U200,IF($H$3=2,D200,"N/A")))</f>
        <v>0</v>
      </c>
      <c r="F200" s="111" t="n">
        <f aca="false">E200*Y200</f>
        <v>0</v>
      </c>
      <c r="G200" s="124" t="n">
        <f aca="false">VLOOKUP($A200,Table,MATCH(G$4,Curves,0))</f>
        <v>3</v>
      </c>
      <c r="H200" s="125" t="n">
        <f aca="false">G200+$H$7</f>
        <v>3</v>
      </c>
      <c r="I200" s="124" t="n">
        <f aca="false">H200</f>
        <v>3</v>
      </c>
      <c r="J200" s="124" t="n">
        <f aca="false">VLOOKUP($A200,Table,MATCH(J$4,Curves,0))</f>
        <v>4</v>
      </c>
      <c r="K200" s="125" t="n">
        <f aca="false">J200+$K$7</f>
        <v>4</v>
      </c>
      <c r="L200" s="126" t="n">
        <f aca="false">K200</f>
        <v>4</v>
      </c>
      <c r="M200" s="124" t="n">
        <f aca="false">VLOOKUP($A200,Table,MATCH(M$4,Curves,0))</f>
        <v>4</v>
      </c>
      <c r="N200" s="125" t="n">
        <f aca="false">M200+$N$7</f>
        <v>4</v>
      </c>
      <c r="O200" s="126" t="n">
        <v>-0.04</v>
      </c>
      <c r="P200" s="114"/>
      <c r="Q200" s="126" t="n">
        <f aca="false">M200+J200+G200</f>
        <v>11</v>
      </c>
      <c r="R200" s="126" t="n">
        <f aca="false">N200+K200+H200</f>
        <v>11</v>
      </c>
      <c r="S200" s="126" t="n">
        <f aca="false">O200+L200+I200</f>
        <v>6.96</v>
      </c>
      <c r="T200" s="127"/>
      <c r="U200" s="5" t="n">
        <f aca="false">A201-A200</f>
        <v>31</v>
      </c>
      <c r="V200" s="128" t="n">
        <f aca="false">CHOOSE(F$3,A201+24,A200)</f>
        <v>43070</v>
      </c>
      <c r="W200" s="5" t="n">
        <f aca="false">V200-C$3</f>
        <v>5839</v>
      </c>
      <c r="X200" s="124" t="n">
        <f aca="false">VLOOKUP($A200,Table,MATCH(X$4,Curves,0))</f>
        <v>2</v>
      </c>
      <c r="Y200" s="129" t="n">
        <f aca="false">1/(1+CHOOSE(F$3,(X201+($K$3/10000))/2,(X200+($K$3/10000))/2))^(2*W200/365.25)</f>
        <v>2.37291341106498E-010</v>
      </c>
      <c r="Z200" s="5" t="n">
        <f aca="false">IF(AND(mthbeg&lt;=A200,mthend&gt;=A200),1,0)</f>
        <v>0</v>
      </c>
      <c r="AA200" s="5" t="n">
        <f aca="false">U200*Z200</f>
        <v>0</v>
      </c>
      <c r="AC200" s="115" t="n">
        <f aca="false">IF(G193=2,F200*(S200-Q200),F200*(Q200-S200))</f>
        <v>0</v>
      </c>
      <c r="AE200" s="116" t="n">
        <f aca="false">IF($G$3=1,F200*(R200-Q200),F200*(Q200-R200))</f>
        <v>0</v>
      </c>
      <c r="AG200" s="116" t="n">
        <f aca="false">AC200+AE200</f>
        <v>0</v>
      </c>
    </row>
    <row r="201" customFormat="false" ht="12" hidden="false" customHeight="true" outlineLevel="0" collapsed="false">
      <c r="A201" s="120" t="n">
        <f aca="false">EDATE(A200,1)</f>
        <v>43101</v>
      </c>
      <c r="B201" s="121" t="e">
        <f aca="false">VLOOKUP(A201,'Inputs-Summary'!$A$32:$E$41,5,FALSE())</f>
        <v>#N/A</v>
      </c>
      <c r="C201" s="122"/>
      <c r="D201" s="123" t="e">
        <f aca="false">B201+C201</f>
        <v>#N/A</v>
      </c>
      <c r="E201" s="111" t="n">
        <f aca="false">IF(Z201=0,0,IF(AND(Z201=1,$H$3=1),D201*U201,IF($H$3=2,D201,"N/A")))</f>
        <v>0</v>
      </c>
      <c r="F201" s="111" t="n">
        <f aca="false">E201*Y201</f>
        <v>0</v>
      </c>
      <c r="G201" s="124" t="n">
        <f aca="false">VLOOKUP($A201,Table,MATCH(G$4,Curves,0))</f>
        <v>3</v>
      </c>
      <c r="H201" s="125" t="n">
        <f aca="false">G201+$H$7</f>
        <v>3</v>
      </c>
      <c r="I201" s="124" t="n">
        <f aca="false">H201</f>
        <v>3</v>
      </c>
      <c r="J201" s="124" t="n">
        <f aca="false">VLOOKUP($A201,Table,MATCH(J$4,Curves,0))</f>
        <v>4</v>
      </c>
      <c r="K201" s="125" t="n">
        <f aca="false">J201+$K$7</f>
        <v>4</v>
      </c>
      <c r="L201" s="126" t="n">
        <f aca="false">K201</f>
        <v>4</v>
      </c>
      <c r="M201" s="124" t="n">
        <f aca="false">VLOOKUP($A201,Table,MATCH(M$4,Curves,0))</f>
        <v>4</v>
      </c>
      <c r="N201" s="125" t="n">
        <f aca="false">M201+$N$7</f>
        <v>4</v>
      </c>
      <c r="O201" s="126" t="n">
        <v>-0.04</v>
      </c>
      <c r="P201" s="114"/>
      <c r="Q201" s="126" t="n">
        <f aca="false">M201+J201+G201</f>
        <v>11</v>
      </c>
      <c r="R201" s="126" t="n">
        <f aca="false">N201+K201+H201</f>
        <v>11</v>
      </c>
      <c r="S201" s="126" t="n">
        <f aca="false">O201+L201+I201</f>
        <v>6.96</v>
      </c>
      <c r="T201" s="127"/>
      <c r="U201" s="5" t="n">
        <f aca="false">A202-A201</f>
        <v>31</v>
      </c>
      <c r="V201" s="128" t="n">
        <f aca="false">CHOOSE(F$3,A202+24,A201)</f>
        <v>43101</v>
      </c>
      <c r="W201" s="5" t="n">
        <f aca="false">V201-C$3</f>
        <v>5870</v>
      </c>
      <c r="X201" s="124" t="n">
        <f aca="false">VLOOKUP($A201,Table,MATCH(X$4,Curves,0))</f>
        <v>2</v>
      </c>
      <c r="Y201" s="129" t="n">
        <f aca="false">1/(1+CHOOSE(F$3,(X202+($K$3/10000))/2,(X201+($K$3/10000))/2))^(2*W201/365.25)</f>
        <v>2.10951699132611E-010</v>
      </c>
      <c r="Z201" s="5" t="n">
        <f aca="false">IF(AND(mthbeg&lt;=A201,mthend&gt;=A201),1,0)</f>
        <v>0</v>
      </c>
      <c r="AA201" s="5" t="n">
        <f aca="false">U201*Z201</f>
        <v>0</v>
      </c>
      <c r="AC201" s="115" t="n">
        <f aca="false">IF(G194=2,F201*(S201-Q201),F201*(Q201-S201))</f>
        <v>0</v>
      </c>
      <c r="AE201" s="116" t="n">
        <f aca="false">IF($G$3=1,F201*(R201-Q201),F201*(Q201-R201))</f>
        <v>0</v>
      </c>
      <c r="AG201" s="116" t="n">
        <f aca="false">AC201+AE201</f>
        <v>0</v>
      </c>
    </row>
    <row r="202" customFormat="false" ht="12" hidden="false" customHeight="true" outlineLevel="0" collapsed="false">
      <c r="A202" s="120" t="n">
        <f aca="false">EDATE(A201,1)</f>
        <v>43132</v>
      </c>
      <c r="B202" s="121" t="e">
        <f aca="false">VLOOKUP(A202,'Inputs-Summary'!$A$32:$E$41,5,FALSE())</f>
        <v>#N/A</v>
      </c>
      <c r="C202" s="122"/>
      <c r="D202" s="123" t="e">
        <f aca="false">B202+C202</f>
        <v>#N/A</v>
      </c>
      <c r="E202" s="111" t="n">
        <f aca="false">IF(Z202=0,0,IF(AND(Z202=1,$H$3=1),D202*U202,IF($H$3=2,D202,"N/A")))</f>
        <v>0</v>
      </c>
      <c r="F202" s="111" t="n">
        <f aca="false">E202*Y202</f>
        <v>0</v>
      </c>
      <c r="G202" s="124" t="n">
        <f aca="false">VLOOKUP($A202,Table,MATCH(G$4,Curves,0))</f>
        <v>3</v>
      </c>
      <c r="H202" s="125" t="n">
        <f aca="false">G202+$H$7</f>
        <v>3</v>
      </c>
      <c r="I202" s="124" t="n">
        <f aca="false">H202</f>
        <v>3</v>
      </c>
      <c r="J202" s="124" t="n">
        <f aca="false">VLOOKUP($A202,Table,MATCH(J$4,Curves,0))</f>
        <v>4</v>
      </c>
      <c r="K202" s="125" t="n">
        <f aca="false">J202+$K$7</f>
        <v>4</v>
      </c>
      <c r="L202" s="126" t="n">
        <f aca="false">K202</f>
        <v>4</v>
      </c>
      <c r="M202" s="124" t="n">
        <f aca="false">VLOOKUP($A202,Table,MATCH(M$4,Curves,0))</f>
        <v>4</v>
      </c>
      <c r="N202" s="125" t="n">
        <f aca="false">M202+$N$7</f>
        <v>4</v>
      </c>
      <c r="O202" s="126" t="n">
        <v>-0.04</v>
      </c>
      <c r="P202" s="114"/>
      <c r="Q202" s="126" t="n">
        <f aca="false">M202+J202+G202</f>
        <v>11</v>
      </c>
      <c r="R202" s="126" t="n">
        <f aca="false">N202+K202+H202</f>
        <v>11</v>
      </c>
      <c r="S202" s="126" t="n">
        <f aca="false">O202+L202+I202</f>
        <v>6.96</v>
      </c>
      <c r="T202" s="127"/>
      <c r="U202" s="5" t="n">
        <f aca="false">A203-A202</f>
        <v>28</v>
      </c>
      <c r="V202" s="128" t="n">
        <f aca="false">CHOOSE(F$3,A203+24,A202)</f>
        <v>43132</v>
      </c>
      <c r="W202" s="5" t="n">
        <f aca="false">V202-C$3</f>
        <v>5901</v>
      </c>
      <c r="X202" s="124" t="n">
        <f aca="false">VLOOKUP($A202,Table,MATCH(X$4,Curves,0))</f>
        <v>2</v>
      </c>
      <c r="Y202" s="129" t="n">
        <f aca="false">1/(1+CHOOSE(F$3,(X203+($K$3/10000))/2,(X202+($K$3/10000))/2))^(2*W202/365.25)</f>
        <v>1.87535791063541E-010</v>
      </c>
      <c r="Z202" s="5" t="n">
        <f aca="false">IF(AND(mthbeg&lt;=A202,mthend&gt;=A202),1,0)</f>
        <v>0</v>
      </c>
      <c r="AA202" s="5" t="n">
        <f aca="false">U202*Z202</f>
        <v>0</v>
      </c>
      <c r="AC202" s="115" t="n">
        <f aca="false">IF(G195=2,F202*(S202-Q202),F202*(Q202-S202))</f>
        <v>0</v>
      </c>
      <c r="AE202" s="116" t="n">
        <f aca="false">IF($G$3=1,F202*(R202-Q202),F202*(Q202-R202))</f>
        <v>0</v>
      </c>
      <c r="AG202" s="116" t="n">
        <f aca="false">AC202+AE202</f>
        <v>0</v>
      </c>
    </row>
    <row r="203" customFormat="false" ht="12" hidden="false" customHeight="true" outlineLevel="0" collapsed="false">
      <c r="A203" s="120" t="n">
        <f aca="false">EDATE(A202,1)</f>
        <v>43160</v>
      </c>
      <c r="B203" s="121" t="e">
        <f aca="false">VLOOKUP(A203,'Inputs-Summary'!$A$32:$E$41,5,FALSE())</f>
        <v>#N/A</v>
      </c>
      <c r="C203" s="122"/>
      <c r="D203" s="123" t="e">
        <f aca="false">B203+C203</f>
        <v>#N/A</v>
      </c>
      <c r="E203" s="111" t="n">
        <f aca="false">IF(Z203=0,0,IF(AND(Z203=1,$H$3=1),D203*U203,IF($H$3=2,D203,"N/A")))</f>
        <v>0</v>
      </c>
      <c r="F203" s="111" t="n">
        <f aca="false">E203*Y203</f>
        <v>0</v>
      </c>
      <c r="G203" s="124" t="n">
        <f aca="false">VLOOKUP($A203,Table,MATCH(G$4,Curves,0))</f>
        <v>3</v>
      </c>
      <c r="H203" s="125" t="n">
        <f aca="false">G203+$H$7</f>
        <v>3</v>
      </c>
      <c r="I203" s="124" t="n">
        <f aca="false">H203</f>
        <v>3</v>
      </c>
      <c r="J203" s="124" t="n">
        <f aca="false">VLOOKUP($A203,Table,MATCH(J$4,Curves,0))</f>
        <v>4</v>
      </c>
      <c r="K203" s="125" t="n">
        <f aca="false">J203+$K$7</f>
        <v>4</v>
      </c>
      <c r="L203" s="126" t="n">
        <f aca="false">K203</f>
        <v>4</v>
      </c>
      <c r="M203" s="124" t="n">
        <f aca="false">VLOOKUP($A203,Table,MATCH(M$4,Curves,0))</f>
        <v>4</v>
      </c>
      <c r="N203" s="125" t="n">
        <f aca="false">M203+$N$7</f>
        <v>4</v>
      </c>
      <c r="O203" s="126" t="n">
        <v>-0.04</v>
      </c>
      <c r="P203" s="114"/>
      <c r="Q203" s="126" t="n">
        <f aca="false">M203+J203+G203</f>
        <v>11</v>
      </c>
      <c r="R203" s="126" t="n">
        <f aca="false">N203+K203+H203</f>
        <v>11</v>
      </c>
      <c r="S203" s="126" t="n">
        <f aca="false">O203+L203+I203</f>
        <v>6.96</v>
      </c>
      <c r="T203" s="127"/>
      <c r="U203" s="5" t="n">
        <f aca="false">A204-A203</f>
        <v>31</v>
      </c>
      <c r="V203" s="128" t="n">
        <f aca="false">CHOOSE(F$3,A204+24,A203)</f>
        <v>43160</v>
      </c>
      <c r="W203" s="5" t="n">
        <f aca="false">V203-C$3</f>
        <v>5929</v>
      </c>
      <c r="X203" s="124" t="n">
        <f aca="false">VLOOKUP($A203,Table,MATCH(X$4,Curves,0))</f>
        <v>2</v>
      </c>
      <c r="Y203" s="129" t="n">
        <f aca="false">1/(1+CHOOSE(F$3,(X204+($K$3/10000))/2,(X203+($K$3/10000))/2))^(2*W203/365.25)</f>
        <v>1.68628257751858E-010</v>
      </c>
      <c r="Z203" s="5" t="n">
        <f aca="false">IF(AND(mthbeg&lt;=A203,mthend&gt;=A203),1,0)</f>
        <v>0</v>
      </c>
      <c r="AA203" s="5" t="n">
        <f aca="false">U203*Z203</f>
        <v>0</v>
      </c>
      <c r="AC203" s="115" t="n">
        <f aca="false">IF(G196=2,F203*(S203-Q203),F203*(Q203-S203))</f>
        <v>0</v>
      </c>
      <c r="AE203" s="116" t="n">
        <f aca="false">IF($G$3=1,F203*(R203-Q203),F203*(Q203-R203))</f>
        <v>0</v>
      </c>
      <c r="AG203" s="116" t="n">
        <f aca="false">AC203+AE203</f>
        <v>0</v>
      </c>
    </row>
    <row r="204" customFormat="false" ht="12" hidden="false" customHeight="true" outlineLevel="0" collapsed="false">
      <c r="A204" s="120" t="n">
        <f aca="false">EDATE(A203,1)</f>
        <v>43191</v>
      </c>
      <c r="B204" s="121" t="e">
        <f aca="false">VLOOKUP(A204,'Inputs-Summary'!$A$32:$E$41,5,FALSE())</f>
        <v>#N/A</v>
      </c>
      <c r="C204" s="122"/>
      <c r="D204" s="123" t="e">
        <f aca="false">B204+C204</f>
        <v>#N/A</v>
      </c>
      <c r="E204" s="111" t="n">
        <f aca="false">IF(Z204=0,0,IF(AND(Z204=1,$H$3=1),D204*U204,IF($H$3=2,D204,"N/A")))</f>
        <v>0</v>
      </c>
      <c r="F204" s="111" t="n">
        <f aca="false">E204*Y204</f>
        <v>0</v>
      </c>
      <c r="G204" s="124" t="n">
        <f aca="false">VLOOKUP($A204,Table,MATCH(G$4,Curves,0))</f>
        <v>3</v>
      </c>
      <c r="H204" s="125" t="n">
        <f aca="false">G204+$H$7</f>
        <v>3</v>
      </c>
      <c r="I204" s="124" t="n">
        <f aca="false">H204</f>
        <v>3</v>
      </c>
      <c r="J204" s="124" t="n">
        <f aca="false">VLOOKUP($A204,Table,MATCH(J$4,Curves,0))</f>
        <v>4</v>
      </c>
      <c r="K204" s="125" t="n">
        <f aca="false">J204+$K$7</f>
        <v>4</v>
      </c>
      <c r="L204" s="126" t="n">
        <f aca="false">K204</f>
        <v>4</v>
      </c>
      <c r="M204" s="124" t="n">
        <f aca="false">VLOOKUP($A204,Table,MATCH(M$4,Curves,0))</f>
        <v>4</v>
      </c>
      <c r="N204" s="125" t="n">
        <f aca="false">M204+$N$7</f>
        <v>4</v>
      </c>
      <c r="O204" s="126" t="n">
        <v>-0.04</v>
      </c>
      <c r="P204" s="114"/>
      <c r="Q204" s="126" t="n">
        <f aca="false">M204+J204+G204</f>
        <v>11</v>
      </c>
      <c r="R204" s="126" t="n">
        <f aca="false">N204+K204+H204</f>
        <v>11</v>
      </c>
      <c r="S204" s="126" t="n">
        <f aca="false">O204+L204+I204</f>
        <v>6.96</v>
      </c>
      <c r="T204" s="127"/>
      <c r="U204" s="5" t="n">
        <f aca="false">A205-A204</f>
        <v>30</v>
      </c>
      <c r="V204" s="128" t="n">
        <f aca="false">CHOOSE(F$3,A205+24,A204)</f>
        <v>43191</v>
      </c>
      <c r="W204" s="5" t="n">
        <f aca="false">V204-C$3</f>
        <v>5960</v>
      </c>
      <c r="X204" s="124" t="n">
        <f aca="false">VLOOKUP($A204,Table,MATCH(X$4,Curves,0))</f>
        <v>2</v>
      </c>
      <c r="Y204" s="129" t="n">
        <f aca="false">1/(1+CHOOSE(F$3,(X205+($K$3/10000))/2,(X204+($K$3/10000))/2))^(2*W204/365.25)</f>
        <v>1.49910305739143E-010</v>
      </c>
      <c r="Z204" s="5" t="n">
        <f aca="false">IF(AND(mthbeg&lt;=A204,mthend&gt;=A204),1,0)</f>
        <v>0</v>
      </c>
      <c r="AA204" s="5" t="n">
        <f aca="false">U204*Z204</f>
        <v>0</v>
      </c>
      <c r="AC204" s="115" t="n">
        <f aca="false">IF(G197=2,F204*(S204-Q204),F204*(Q204-S204))</f>
        <v>0</v>
      </c>
      <c r="AE204" s="116" t="n">
        <f aca="false">IF($G$3=1,F204*(R204-Q204),F204*(Q204-R204))</f>
        <v>0</v>
      </c>
      <c r="AG204" s="116" t="n">
        <f aca="false">AC204+AE204</f>
        <v>0</v>
      </c>
    </row>
    <row r="205" customFormat="false" ht="12" hidden="false" customHeight="true" outlineLevel="0" collapsed="false">
      <c r="A205" s="120" t="n">
        <f aca="false">EDATE(A204,1)</f>
        <v>43221</v>
      </c>
      <c r="B205" s="121" t="e">
        <f aca="false">VLOOKUP(A205,'Inputs-Summary'!$A$32:$E$41,5,FALSE())</f>
        <v>#N/A</v>
      </c>
      <c r="C205" s="122"/>
      <c r="D205" s="123" t="e">
        <f aca="false">B205+C205</f>
        <v>#N/A</v>
      </c>
      <c r="E205" s="111" t="n">
        <f aca="false">IF(Z205=0,0,IF(AND(Z205=1,$H$3=1),D205*U205,IF($H$3=2,D205,"N/A")))</f>
        <v>0</v>
      </c>
      <c r="F205" s="111" t="n">
        <f aca="false">E205*Y205</f>
        <v>0</v>
      </c>
      <c r="G205" s="124" t="n">
        <f aca="false">VLOOKUP($A205,Table,MATCH(G$4,Curves,0))</f>
        <v>3</v>
      </c>
      <c r="H205" s="125" t="n">
        <f aca="false">G205+$H$7</f>
        <v>3</v>
      </c>
      <c r="I205" s="124" t="n">
        <f aca="false">H205</f>
        <v>3</v>
      </c>
      <c r="J205" s="124" t="n">
        <f aca="false">VLOOKUP($A205,Table,MATCH(J$4,Curves,0))</f>
        <v>4</v>
      </c>
      <c r="K205" s="125" t="n">
        <f aca="false">J205+$K$7</f>
        <v>4</v>
      </c>
      <c r="L205" s="126" t="n">
        <f aca="false">K205</f>
        <v>4</v>
      </c>
      <c r="M205" s="124" t="n">
        <f aca="false">VLOOKUP($A205,Table,MATCH(M$4,Curves,0))</f>
        <v>4</v>
      </c>
      <c r="N205" s="125" t="n">
        <f aca="false">M205+$N$7</f>
        <v>4</v>
      </c>
      <c r="O205" s="126" t="n">
        <v>-0.04</v>
      </c>
      <c r="P205" s="114"/>
      <c r="Q205" s="126" t="n">
        <f aca="false">M205+J205+G205</f>
        <v>11</v>
      </c>
      <c r="R205" s="126" t="n">
        <f aca="false">N205+K205+H205</f>
        <v>11</v>
      </c>
      <c r="S205" s="126" t="n">
        <f aca="false">O205+L205+I205</f>
        <v>6.96</v>
      </c>
      <c r="T205" s="127"/>
      <c r="U205" s="5" t="n">
        <f aca="false">A206-A205</f>
        <v>31</v>
      </c>
      <c r="V205" s="128" t="n">
        <f aca="false">CHOOSE(F$3,A206+24,A205)</f>
        <v>43221</v>
      </c>
      <c r="W205" s="5" t="n">
        <f aca="false">V205-C$3</f>
        <v>5990</v>
      </c>
      <c r="X205" s="124" t="n">
        <f aca="false">VLOOKUP($A205,Table,MATCH(X$4,Curves,0))</f>
        <v>2</v>
      </c>
      <c r="Y205" s="129" t="n">
        <f aca="false">1/(1+CHOOSE(F$3,(X206+($K$3/10000))/2,(X205+($K$3/10000))/2))^(2*W205/365.25)</f>
        <v>1.33776853609376E-010</v>
      </c>
      <c r="Z205" s="5" t="n">
        <f aca="false">IF(AND(mthbeg&lt;=A205,mthend&gt;=A205),1,0)</f>
        <v>0</v>
      </c>
      <c r="AA205" s="5" t="n">
        <f aca="false">U205*Z205</f>
        <v>0</v>
      </c>
      <c r="AC205" s="115" t="n">
        <f aca="false">IF(G198=2,F205*(S205-Q205),F205*(Q205-S205))</f>
        <v>0</v>
      </c>
      <c r="AE205" s="116" t="n">
        <f aca="false">IF($G$3=1,F205*(R205-Q205),F205*(Q205-R205))</f>
        <v>0</v>
      </c>
      <c r="AG205" s="116" t="n">
        <f aca="false">AC205+AE205</f>
        <v>0</v>
      </c>
    </row>
    <row r="206" customFormat="false" ht="12" hidden="false" customHeight="true" outlineLevel="0" collapsed="false">
      <c r="A206" s="120" t="n">
        <f aca="false">EDATE(A205,1)</f>
        <v>43252</v>
      </c>
      <c r="B206" s="121" t="e">
        <f aca="false">VLOOKUP(A206,'Inputs-Summary'!$A$32:$E$41,5,FALSE())</f>
        <v>#N/A</v>
      </c>
      <c r="C206" s="122"/>
      <c r="D206" s="123" t="e">
        <f aca="false">B206+C206</f>
        <v>#N/A</v>
      </c>
      <c r="E206" s="111" t="n">
        <f aca="false">IF(Z206=0,0,IF(AND(Z206=1,$H$3=1),D206*U206,IF($H$3=2,D206,"N/A")))</f>
        <v>0</v>
      </c>
      <c r="F206" s="111" t="n">
        <f aca="false">E206*Y206</f>
        <v>0</v>
      </c>
      <c r="G206" s="124" t="n">
        <f aca="false">VLOOKUP($A206,Table,MATCH(G$4,Curves,0))</f>
        <v>3</v>
      </c>
      <c r="H206" s="125" t="n">
        <f aca="false">G206+$H$7</f>
        <v>3</v>
      </c>
      <c r="I206" s="124" t="n">
        <f aca="false">H206</f>
        <v>3</v>
      </c>
      <c r="J206" s="124" t="n">
        <f aca="false">VLOOKUP($A206,Table,MATCH(J$4,Curves,0))</f>
        <v>4</v>
      </c>
      <c r="K206" s="125" t="n">
        <f aca="false">J206+$K$7</f>
        <v>4</v>
      </c>
      <c r="L206" s="126" t="n">
        <f aca="false">K206</f>
        <v>4</v>
      </c>
      <c r="M206" s="124" t="n">
        <f aca="false">VLOOKUP($A206,Table,MATCH(M$4,Curves,0))</f>
        <v>4</v>
      </c>
      <c r="N206" s="125" t="n">
        <f aca="false">M206+$N$7</f>
        <v>4</v>
      </c>
      <c r="O206" s="126" t="n">
        <v>-0.04</v>
      </c>
      <c r="P206" s="114"/>
      <c r="Q206" s="126" t="n">
        <f aca="false">M206+J206+G206</f>
        <v>11</v>
      </c>
      <c r="R206" s="126" t="n">
        <f aca="false">N206+K206+H206</f>
        <v>11</v>
      </c>
      <c r="S206" s="126" t="n">
        <f aca="false">O206+L206+I206</f>
        <v>6.96</v>
      </c>
      <c r="T206" s="127"/>
      <c r="U206" s="5" t="n">
        <f aca="false">A207-A206</f>
        <v>30</v>
      </c>
      <c r="V206" s="128" t="n">
        <f aca="false">CHOOSE(F$3,A207+24,A206)</f>
        <v>43252</v>
      </c>
      <c r="W206" s="5" t="n">
        <f aca="false">V206-C$3</f>
        <v>6021</v>
      </c>
      <c r="X206" s="124" t="n">
        <f aca="false">VLOOKUP($A206,Table,MATCH(X$4,Curves,0))</f>
        <v>2</v>
      </c>
      <c r="Y206" s="129" t="n">
        <f aca="false">1/(1+CHOOSE(F$3,(X207+($K$3/10000))/2,(X206+($K$3/10000))/2))^(2*W206/365.25)</f>
        <v>1.18927451974941E-010</v>
      </c>
      <c r="Z206" s="5" t="n">
        <f aca="false">IF(AND(mthbeg&lt;=A206,mthend&gt;=A206),1,0)</f>
        <v>0</v>
      </c>
      <c r="AA206" s="5" t="n">
        <f aca="false">U206*Z206</f>
        <v>0</v>
      </c>
      <c r="AC206" s="115" t="n">
        <f aca="false">IF(G199=2,F206*(S206-Q206),F206*(Q206-S206))</f>
        <v>0</v>
      </c>
      <c r="AE206" s="116" t="n">
        <f aca="false">IF($G$3=1,F206*(R206-Q206),F206*(Q206-R206))</f>
        <v>0</v>
      </c>
      <c r="AG206" s="116" t="n">
        <f aca="false">AC206+AE206</f>
        <v>0</v>
      </c>
    </row>
    <row r="207" customFormat="false" ht="12" hidden="false" customHeight="true" outlineLevel="0" collapsed="false">
      <c r="A207" s="120" t="n">
        <f aca="false">EDATE(A206,1)</f>
        <v>43282</v>
      </c>
      <c r="B207" s="121" t="e">
        <f aca="false">VLOOKUP(A207,'Inputs-Summary'!$A$32:$E$41,5,FALSE())</f>
        <v>#N/A</v>
      </c>
      <c r="C207" s="122"/>
      <c r="D207" s="123" t="e">
        <f aca="false">B207+C207</f>
        <v>#N/A</v>
      </c>
      <c r="E207" s="111" t="n">
        <f aca="false">IF(Z207=0,0,IF(AND(Z207=1,$H$3=1),D207*U207,IF($H$3=2,D207,"N/A")))</f>
        <v>0</v>
      </c>
      <c r="F207" s="111" t="n">
        <f aca="false">E207*Y207</f>
        <v>0</v>
      </c>
      <c r="G207" s="124" t="n">
        <f aca="false">VLOOKUP($A207,Table,MATCH(G$4,Curves,0))</f>
        <v>3</v>
      </c>
      <c r="H207" s="125" t="n">
        <f aca="false">G207+$H$7</f>
        <v>3</v>
      </c>
      <c r="I207" s="124" t="n">
        <f aca="false">H207</f>
        <v>3</v>
      </c>
      <c r="J207" s="124" t="n">
        <f aca="false">VLOOKUP($A207,Table,MATCH(J$4,Curves,0))</f>
        <v>4</v>
      </c>
      <c r="K207" s="125" t="n">
        <f aca="false">J207+$K$7</f>
        <v>4</v>
      </c>
      <c r="L207" s="126" t="n">
        <f aca="false">K207</f>
        <v>4</v>
      </c>
      <c r="M207" s="124" t="n">
        <f aca="false">VLOOKUP($A207,Table,MATCH(M$4,Curves,0))</f>
        <v>4</v>
      </c>
      <c r="N207" s="125" t="n">
        <f aca="false">M207+$N$7</f>
        <v>4</v>
      </c>
      <c r="O207" s="126" t="n">
        <v>-0.04</v>
      </c>
      <c r="P207" s="114"/>
      <c r="Q207" s="126" t="n">
        <f aca="false">M207+J207+G207</f>
        <v>11</v>
      </c>
      <c r="R207" s="126" t="n">
        <f aca="false">N207+K207+H207</f>
        <v>11</v>
      </c>
      <c r="S207" s="126" t="n">
        <f aca="false">O207+L207+I207</f>
        <v>6.96</v>
      </c>
      <c r="T207" s="127"/>
      <c r="U207" s="5" t="n">
        <f aca="false">A208-A207</f>
        <v>31</v>
      </c>
      <c r="V207" s="128" t="n">
        <f aca="false">CHOOSE(F$3,A208+24,A207)</f>
        <v>43282</v>
      </c>
      <c r="W207" s="5" t="n">
        <f aca="false">V207-C$3</f>
        <v>6051</v>
      </c>
      <c r="X207" s="124" t="n">
        <f aca="false">VLOOKUP($A207,Table,MATCH(X$4,Curves,0))</f>
        <v>2</v>
      </c>
      <c r="Y207" s="129" t="n">
        <f aca="false">1/(1+CHOOSE(F$3,(X208+($K$3/10000))/2,(X207+($K$3/10000))/2))^(2*W207/365.25)</f>
        <v>1.06128396273649E-010</v>
      </c>
      <c r="Z207" s="5" t="n">
        <f aca="false">IF(AND(mthbeg&lt;=A207,mthend&gt;=A207),1,0)</f>
        <v>0</v>
      </c>
      <c r="AA207" s="5" t="n">
        <f aca="false">U207*Z207</f>
        <v>0</v>
      </c>
      <c r="AC207" s="115" t="n">
        <f aca="false">IF(G200=2,F207*(S207-Q207),F207*(Q207-S207))</f>
        <v>0</v>
      </c>
      <c r="AE207" s="116" t="n">
        <f aca="false">IF($G$3=1,F207*(R207-Q207),F207*(Q207-R207))</f>
        <v>0</v>
      </c>
      <c r="AG207" s="116" t="n">
        <f aca="false">AC207+AE207</f>
        <v>0</v>
      </c>
    </row>
    <row r="208" customFormat="false" ht="12" hidden="false" customHeight="true" outlineLevel="0" collapsed="false">
      <c r="A208" s="120" t="n">
        <f aca="false">EDATE(A207,1)</f>
        <v>43313</v>
      </c>
      <c r="B208" s="121" t="e">
        <f aca="false">VLOOKUP(A208,'Inputs-Summary'!$A$32:$E$41,5,FALSE())</f>
        <v>#N/A</v>
      </c>
      <c r="C208" s="122"/>
      <c r="D208" s="123" t="e">
        <f aca="false">B208+C208</f>
        <v>#N/A</v>
      </c>
      <c r="E208" s="111" t="n">
        <f aca="false">IF(Z208=0,0,IF(AND(Z208=1,$H$3=1),D208*U208,IF($H$3=2,D208,"N/A")))</f>
        <v>0</v>
      </c>
      <c r="F208" s="111" t="n">
        <f aca="false">E208*Y208</f>
        <v>0</v>
      </c>
      <c r="G208" s="124" t="n">
        <f aca="false">VLOOKUP($A208,Table,MATCH(G$4,Curves,0))</f>
        <v>3</v>
      </c>
      <c r="H208" s="125" t="n">
        <f aca="false">G208+$H$7</f>
        <v>3</v>
      </c>
      <c r="I208" s="124" t="n">
        <f aca="false">H208</f>
        <v>3</v>
      </c>
      <c r="J208" s="124" t="n">
        <f aca="false">VLOOKUP($A208,Table,MATCH(J$4,Curves,0))</f>
        <v>4</v>
      </c>
      <c r="K208" s="125" t="n">
        <f aca="false">J208+$K$7</f>
        <v>4</v>
      </c>
      <c r="L208" s="126" t="n">
        <f aca="false">K208</f>
        <v>4</v>
      </c>
      <c r="M208" s="124" t="n">
        <f aca="false">VLOOKUP($A208,Table,MATCH(M$4,Curves,0))</f>
        <v>4</v>
      </c>
      <c r="N208" s="125" t="n">
        <f aca="false">M208+$N$7</f>
        <v>4</v>
      </c>
      <c r="O208" s="126" t="n">
        <v>-0.04</v>
      </c>
      <c r="P208" s="114"/>
      <c r="Q208" s="126" t="n">
        <f aca="false">M208+J208+G208</f>
        <v>11</v>
      </c>
      <c r="R208" s="126" t="n">
        <f aca="false">N208+K208+H208</f>
        <v>11</v>
      </c>
      <c r="S208" s="126" t="n">
        <f aca="false">O208+L208+I208</f>
        <v>6.96</v>
      </c>
      <c r="T208" s="127"/>
      <c r="U208" s="5" t="n">
        <f aca="false">A209-A208</f>
        <v>31</v>
      </c>
      <c r="V208" s="128" t="n">
        <f aca="false">CHOOSE(F$3,A209+24,A208)</f>
        <v>43313</v>
      </c>
      <c r="W208" s="5" t="n">
        <f aca="false">V208-C$3</f>
        <v>6082</v>
      </c>
      <c r="X208" s="124" t="n">
        <f aca="false">VLOOKUP($A208,Table,MATCH(X$4,Curves,0))</f>
        <v>2</v>
      </c>
      <c r="Y208" s="129" t="n">
        <f aca="false">1/(1+CHOOSE(F$3,(X209+($K$3/10000))/2,(X208+($K$3/10000))/2))^(2*W208/365.25)</f>
        <v>9.43480087210496E-011</v>
      </c>
      <c r="Z208" s="5" t="n">
        <f aca="false">IF(AND(mthbeg&lt;=A208,mthend&gt;=A208),1,0)</f>
        <v>0</v>
      </c>
      <c r="AA208" s="5" t="n">
        <f aca="false">U208*Z208</f>
        <v>0</v>
      </c>
      <c r="AC208" s="115" t="n">
        <f aca="false">IF(G201=2,F208*(S208-Q208),F208*(Q208-S208))</f>
        <v>0</v>
      </c>
      <c r="AE208" s="116" t="n">
        <f aca="false">IF($G$3=1,F208*(R208-Q208),F208*(Q208-R208))</f>
        <v>0</v>
      </c>
      <c r="AG208" s="116" t="n">
        <f aca="false">AC208+AE208</f>
        <v>0</v>
      </c>
    </row>
    <row r="209" customFormat="false" ht="12" hidden="false" customHeight="true" outlineLevel="0" collapsed="false">
      <c r="A209" s="120" t="n">
        <f aca="false">EDATE(A208,1)</f>
        <v>43344</v>
      </c>
      <c r="B209" s="121" t="e">
        <f aca="false">VLOOKUP(A209,'Inputs-Summary'!$A$32:$E$41,5,FALSE())</f>
        <v>#N/A</v>
      </c>
      <c r="C209" s="122"/>
      <c r="D209" s="123" t="e">
        <f aca="false">B209+C209</f>
        <v>#N/A</v>
      </c>
      <c r="E209" s="111" t="n">
        <f aca="false">IF(Z209=0,0,IF(AND(Z209=1,$H$3=1),D209*U209,IF($H$3=2,D209,"N/A")))</f>
        <v>0</v>
      </c>
      <c r="F209" s="111" t="n">
        <f aca="false">E209*Y209</f>
        <v>0</v>
      </c>
      <c r="G209" s="124" t="n">
        <f aca="false">VLOOKUP($A209,Table,MATCH(G$4,Curves,0))</f>
        <v>3</v>
      </c>
      <c r="H209" s="125" t="n">
        <f aca="false">G209+$H$7</f>
        <v>3</v>
      </c>
      <c r="I209" s="124" t="n">
        <f aca="false">H209</f>
        <v>3</v>
      </c>
      <c r="J209" s="124" t="n">
        <f aca="false">VLOOKUP($A209,Table,MATCH(J$4,Curves,0))</f>
        <v>4</v>
      </c>
      <c r="K209" s="125" t="n">
        <f aca="false">J209+$K$7</f>
        <v>4</v>
      </c>
      <c r="L209" s="126" t="n">
        <f aca="false">K209</f>
        <v>4</v>
      </c>
      <c r="M209" s="124" t="n">
        <f aca="false">VLOOKUP($A209,Table,MATCH(M$4,Curves,0))</f>
        <v>4</v>
      </c>
      <c r="N209" s="125" t="n">
        <f aca="false">M209+$N$7</f>
        <v>4</v>
      </c>
      <c r="O209" s="126" t="n">
        <v>-0.04</v>
      </c>
      <c r="P209" s="114"/>
      <c r="Q209" s="126" t="n">
        <f aca="false">M209+J209+G209</f>
        <v>11</v>
      </c>
      <c r="R209" s="126" t="n">
        <f aca="false">N209+K209+H209</f>
        <v>11</v>
      </c>
      <c r="S209" s="126" t="n">
        <f aca="false">O209+L209+I209</f>
        <v>6.96</v>
      </c>
      <c r="T209" s="127"/>
      <c r="U209" s="5" t="n">
        <f aca="false">A210-A209</f>
        <v>30</v>
      </c>
      <c r="V209" s="128" t="n">
        <f aca="false">CHOOSE(F$3,A210+24,A209)</f>
        <v>43344</v>
      </c>
      <c r="W209" s="5" t="n">
        <f aca="false">V209-C$3</f>
        <v>6113</v>
      </c>
      <c r="X209" s="124" t="n">
        <f aca="false">VLOOKUP($A209,Table,MATCH(X$4,Curves,0))</f>
        <v>2</v>
      </c>
      <c r="Y209" s="129" t="n">
        <f aca="false">1/(1+CHOOSE(F$3,(X210+($K$3/10000))/2,(X209+($K$3/10000))/2))^(2*W209/365.25)</f>
        <v>8.38752592348125E-011</v>
      </c>
      <c r="Z209" s="5" t="n">
        <f aca="false">IF(AND(mthbeg&lt;=A209,mthend&gt;=A209),1,0)</f>
        <v>0</v>
      </c>
      <c r="AA209" s="5" t="n">
        <f aca="false">U209*Z209</f>
        <v>0</v>
      </c>
      <c r="AC209" s="115" t="n">
        <f aca="false">IF(G202=2,F209*(S209-Q209),F209*(Q209-S209))</f>
        <v>0</v>
      </c>
      <c r="AE209" s="116" t="n">
        <f aca="false">IF($G$3=1,F209*(R209-Q209),F209*(Q209-R209))</f>
        <v>0</v>
      </c>
      <c r="AG209" s="116" t="n">
        <f aca="false">AC209+AE209</f>
        <v>0</v>
      </c>
    </row>
    <row r="210" customFormat="false" ht="12" hidden="false" customHeight="true" outlineLevel="0" collapsed="false">
      <c r="A210" s="120" t="n">
        <f aca="false">EDATE(A209,1)</f>
        <v>43374</v>
      </c>
      <c r="B210" s="121" t="e">
        <f aca="false">VLOOKUP(A210,'Inputs-Summary'!$A$32:$E$41,5,FALSE())</f>
        <v>#N/A</v>
      </c>
      <c r="C210" s="122"/>
      <c r="D210" s="123" t="e">
        <f aca="false">B210+C210</f>
        <v>#N/A</v>
      </c>
      <c r="E210" s="111" t="n">
        <f aca="false">IF(Z210=0,0,IF(AND(Z210=1,$H$3=1),D210*U210,IF($H$3=2,D210,"N/A")))</f>
        <v>0</v>
      </c>
      <c r="F210" s="111" t="n">
        <f aca="false">E210*Y210</f>
        <v>0</v>
      </c>
      <c r="G210" s="124" t="n">
        <f aca="false">VLOOKUP($A210,Table,MATCH(G$4,Curves,0))</f>
        <v>3</v>
      </c>
      <c r="H210" s="125" t="n">
        <f aca="false">G210+$H$7</f>
        <v>3</v>
      </c>
      <c r="I210" s="124" t="n">
        <f aca="false">H210</f>
        <v>3</v>
      </c>
      <c r="J210" s="124" t="n">
        <f aca="false">VLOOKUP($A210,Table,MATCH(J$4,Curves,0))</f>
        <v>4</v>
      </c>
      <c r="K210" s="125" t="n">
        <f aca="false">J210+$K$7</f>
        <v>4</v>
      </c>
      <c r="L210" s="126" t="n">
        <f aca="false">K210</f>
        <v>4</v>
      </c>
      <c r="M210" s="124" t="n">
        <f aca="false">VLOOKUP($A210,Table,MATCH(M$4,Curves,0))</f>
        <v>4</v>
      </c>
      <c r="N210" s="125" t="n">
        <f aca="false">M210+$N$7</f>
        <v>4</v>
      </c>
      <c r="O210" s="126" t="n">
        <v>-0.04</v>
      </c>
      <c r="P210" s="114"/>
      <c r="Q210" s="126" t="n">
        <f aca="false">M210+J210+G210</f>
        <v>11</v>
      </c>
      <c r="R210" s="126" t="n">
        <f aca="false">N210+K210+H210</f>
        <v>11</v>
      </c>
      <c r="S210" s="126" t="n">
        <f aca="false">O210+L210+I210</f>
        <v>6.96</v>
      </c>
      <c r="T210" s="127"/>
      <c r="U210" s="5" t="n">
        <f aca="false">A211-A210</f>
        <v>31</v>
      </c>
      <c r="V210" s="128" t="n">
        <f aca="false">CHOOSE(F$3,A211+24,A210)</f>
        <v>43374</v>
      </c>
      <c r="W210" s="5" t="n">
        <f aca="false">V210-C$3</f>
        <v>6143</v>
      </c>
      <c r="X210" s="124" t="n">
        <f aca="false">VLOOKUP($A210,Table,MATCH(X$4,Curves,0))</f>
        <v>2</v>
      </c>
      <c r="Y210" s="129" t="n">
        <f aca="false">1/(1+CHOOSE(F$3,(X211+($K$3/10000))/2,(X210+($K$3/10000))/2))^(2*W210/365.25)</f>
        <v>7.48485450735368E-011</v>
      </c>
      <c r="Z210" s="5" t="n">
        <f aca="false">IF(AND(mthbeg&lt;=A210,mthend&gt;=A210),1,0)</f>
        <v>0</v>
      </c>
      <c r="AA210" s="5" t="n">
        <f aca="false">U210*Z210</f>
        <v>0</v>
      </c>
      <c r="AC210" s="115" t="n">
        <f aca="false">IF(G203=2,F210*(S210-Q210),F210*(Q210-S210))</f>
        <v>0</v>
      </c>
      <c r="AE210" s="116" t="n">
        <f aca="false">IF($G$3=1,F210*(R210-Q210),F210*(Q210-R210))</f>
        <v>0</v>
      </c>
      <c r="AG210" s="116" t="n">
        <f aca="false">AC210+AE210</f>
        <v>0</v>
      </c>
    </row>
    <row r="211" customFormat="false" ht="12" hidden="false" customHeight="true" outlineLevel="0" collapsed="false">
      <c r="A211" s="120" t="n">
        <f aca="false">EDATE(A210,1)</f>
        <v>43405</v>
      </c>
      <c r="B211" s="121" t="e">
        <f aca="false">VLOOKUP(A211,'Inputs-Summary'!$A$32:$E$41,5,FALSE())</f>
        <v>#N/A</v>
      </c>
      <c r="C211" s="122"/>
      <c r="D211" s="123" t="e">
        <f aca="false">B211+C211</f>
        <v>#N/A</v>
      </c>
      <c r="E211" s="111" t="n">
        <f aca="false">IF(Z211=0,0,IF(AND(Z211=1,$H$3=1),D211*U211,IF($H$3=2,D211,"N/A")))</f>
        <v>0</v>
      </c>
      <c r="F211" s="111" t="n">
        <f aca="false">E211*Y211</f>
        <v>0</v>
      </c>
      <c r="G211" s="124" t="n">
        <f aca="false">VLOOKUP($A211,Table,MATCH(G$4,Curves,0))</f>
        <v>3</v>
      </c>
      <c r="H211" s="125" t="n">
        <f aca="false">G211+$H$7</f>
        <v>3</v>
      </c>
      <c r="I211" s="124" t="n">
        <f aca="false">H211</f>
        <v>3</v>
      </c>
      <c r="J211" s="124" t="n">
        <f aca="false">VLOOKUP($A211,Table,MATCH(J$4,Curves,0))</f>
        <v>4</v>
      </c>
      <c r="K211" s="125" t="n">
        <f aca="false">J211+$K$7</f>
        <v>4</v>
      </c>
      <c r="L211" s="126" t="n">
        <f aca="false">K211</f>
        <v>4</v>
      </c>
      <c r="M211" s="124" t="n">
        <f aca="false">VLOOKUP($A211,Table,MATCH(M$4,Curves,0))</f>
        <v>4</v>
      </c>
      <c r="N211" s="125" t="n">
        <f aca="false">M211+$N$7</f>
        <v>4</v>
      </c>
      <c r="O211" s="126" t="n">
        <v>-0.04</v>
      </c>
      <c r="P211" s="114"/>
      <c r="Q211" s="126" t="n">
        <f aca="false">M211+J211+G211</f>
        <v>11</v>
      </c>
      <c r="R211" s="126" t="n">
        <f aca="false">N211+K211+H211</f>
        <v>11</v>
      </c>
      <c r="S211" s="126" t="n">
        <f aca="false">O211+L211+I211</f>
        <v>6.96</v>
      </c>
      <c r="T211" s="127"/>
      <c r="U211" s="5" t="n">
        <f aca="false">A212-A211</f>
        <v>30</v>
      </c>
      <c r="V211" s="128" t="n">
        <f aca="false">CHOOSE(F$3,A212+24,A211)</f>
        <v>43405</v>
      </c>
      <c r="W211" s="5" t="n">
        <f aca="false">V211-C$3</f>
        <v>6174</v>
      </c>
      <c r="X211" s="124" t="n">
        <f aca="false">VLOOKUP($A211,Table,MATCH(X$4,Curves,0))</f>
        <v>2</v>
      </c>
      <c r="Y211" s="129" t="n">
        <f aca="false">1/(1+CHOOSE(F$3,(X212+($K$3/10000))/2,(X211+($K$3/10000))/2))^(2*W211/365.25)</f>
        <v>6.65402609603863E-011</v>
      </c>
      <c r="Z211" s="5" t="n">
        <f aca="false">IF(AND(mthbeg&lt;=A211,mthend&gt;=A211),1,0)</f>
        <v>0</v>
      </c>
      <c r="AA211" s="5" t="n">
        <f aca="false">U211*Z211</f>
        <v>0</v>
      </c>
      <c r="AC211" s="115" t="n">
        <f aca="false">IF(G204=2,F211*(S211-Q211),F211*(Q211-S211))</f>
        <v>0</v>
      </c>
      <c r="AE211" s="116" t="n">
        <f aca="false">IF($G$3=1,F211*(R211-Q211),F211*(Q211-R211))</f>
        <v>0</v>
      </c>
      <c r="AG211" s="116" t="n">
        <f aca="false">AC211+AE211</f>
        <v>0</v>
      </c>
    </row>
    <row r="212" customFormat="false" ht="12" hidden="false" customHeight="true" outlineLevel="0" collapsed="false">
      <c r="A212" s="120" t="n">
        <f aca="false">EDATE(A211,1)</f>
        <v>43435</v>
      </c>
      <c r="B212" s="121" t="e">
        <f aca="false">VLOOKUP(A212,'Inputs-Summary'!$A$32:$E$41,5,FALSE())</f>
        <v>#N/A</v>
      </c>
      <c r="C212" s="122"/>
      <c r="D212" s="123" t="e">
        <f aca="false">B212+C212</f>
        <v>#N/A</v>
      </c>
      <c r="E212" s="111" t="n">
        <f aca="false">IF(Z212=0,0,IF(AND(Z212=1,$H$3=1),D212*U212,IF($H$3=2,D212,"N/A")))</f>
        <v>0</v>
      </c>
      <c r="F212" s="111" t="n">
        <f aca="false">E212*Y212</f>
        <v>0</v>
      </c>
      <c r="G212" s="124" t="n">
        <f aca="false">VLOOKUP($A212,Table,MATCH(G$4,Curves,0))</f>
        <v>3</v>
      </c>
      <c r="H212" s="125" t="n">
        <f aca="false">G212+$H$7</f>
        <v>3</v>
      </c>
      <c r="I212" s="124" t="n">
        <f aca="false">H212</f>
        <v>3</v>
      </c>
      <c r="J212" s="124" t="n">
        <f aca="false">VLOOKUP($A212,Table,MATCH(J$4,Curves,0))</f>
        <v>4</v>
      </c>
      <c r="K212" s="125" t="n">
        <f aca="false">J212+$K$7</f>
        <v>4</v>
      </c>
      <c r="L212" s="126" t="n">
        <f aca="false">K212</f>
        <v>4</v>
      </c>
      <c r="M212" s="124" t="n">
        <f aca="false">VLOOKUP($A212,Table,MATCH(M$4,Curves,0))</f>
        <v>4</v>
      </c>
      <c r="N212" s="125" t="n">
        <f aca="false">M212+$N$7</f>
        <v>4</v>
      </c>
      <c r="O212" s="126" t="n">
        <v>-0.04</v>
      </c>
      <c r="P212" s="114"/>
      <c r="Q212" s="126" t="n">
        <f aca="false">M212+J212+G212</f>
        <v>11</v>
      </c>
      <c r="R212" s="126" t="n">
        <f aca="false">N212+K212+H212</f>
        <v>11</v>
      </c>
      <c r="S212" s="126" t="n">
        <f aca="false">O212+L212+I212</f>
        <v>6.96</v>
      </c>
      <c r="T212" s="127"/>
      <c r="U212" s="5" t="n">
        <f aca="false">A213-A212</f>
        <v>31</v>
      </c>
      <c r="V212" s="128" t="n">
        <f aca="false">CHOOSE(F$3,A213+24,A212)</f>
        <v>43435</v>
      </c>
      <c r="W212" s="5" t="n">
        <f aca="false">V212-C$3</f>
        <v>6204</v>
      </c>
      <c r="X212" s="124" t="n">
        <f aca="false">VLOOKUP($A212,Table,MATCH(X$4,Curves,0))</f>
        <v>2</v>
      </c>
      <c r="Y212" s="129" t="n">
        <f aca="false">1/(1+CHOOSE(F$3,(X213+($K$3/10000))/2,(X212+($K$3/10000))/2))^(2*W212/365.25)</f>
        <v>5.93791514581843E-011</v>
      </c>
      <c r="Z212" s="5" t="n">
        <f aca="false">IF(AND(mthbeg&lt;=A212,mthend&gt;=A212),1,0)</f>
        <v>0</v>
      </c>
      <c r="AA212" s="5" t="n">
        <f aca="false">U212*Z212</f>
        <v>0</v>
      </c>
      <c r="AC212" s="115" t="n">
        <f aca="false">IF(G205=2,F212*(S212-Q212),F212*(Q212-S212))</f>
        <v>0</v>
      </c>
      <c r="AE212" s="116" t="n">
        <f aca="false">IF($G$3=1,F212*(R212-Q212),F212*(Q212-R212))</f>
        <v>0</v>
      </c>
      <c r="AG212" s="116" t="n">
        <f aca="false">AC212+AE212</f>
        <v>0</v>
      </c>
    </row>
    <row r="213" customFormat="false" ht="12" hidden="false" customHeight="true" outlineLevel="0" collapsed="false">
      <c r="A213" s="120" t="n">
        <f aca="false">EDATE(A212,1)</f>
        <v>43466</v>
      </c>
      <c r="B213" s="121" t="e">
        <f aca="false">VLOOKUP(A213,'Inputs-Summary'!$A$32:$E$41,5,FALSE())</f>
        <v>#N/A</v>
      </c>
      <c r="C213" s="122"/>
      <c r="D213" s="123" t="e">
        <f aca="false">B213+C213</f>
        <v>#N/A</v>
      </c>
      <c r="E213" s="111" t="n">
        <f aca="false">IF(Z213=0,0,IF(AND(Z213=1,$H$3=1),D213*U213,IF($H$3=2,D213,"N/A")))</f>
        <v>0</v>
      </c>
      <c r="F213" s="111" t="n">
        <f aca="false">E213*Y213</f>
        <v>0</v>
      </c>
      <c r="G213" s="124" t="n">
        <f aca="false">VLOOKUP($A213,Table,MATCH(G$4,Curves,0))</f>
        <v>3</v>
      </c>
      <c r="H213" s="125" t="n">
        <f aca="false">G213+$H$7</f>
        <v>3</v>
      </c>
      <c r="I213" s="124" t="n">
        <f aca="false">H213</f>
        <v>3</v>
      </c>
      <c r="J213" s="124" t="n">
        <f aca="false">VLOOKUP($A213,Table,MATCH(J$4,Curves,0))</f>
        <v>4</v>
      </c>
      <c r="K213" s="125" t="n">
        <f aca="false">J213+$K$7</f>
        <v>4</v>
      </c>
      <c r="L213" s="126" t="n">
        <f aca="false">K213</f>
        <v>4</v>
      </c>
      <c r="M213" s="124" t="n">
        <f aca="false">VLOOKUP($A213,Table,MATCH(M$4,Curves,0))</f>
        <v>4</v>
      </c>
      <c r="N213" s="125" t="n">
        <f aca="false">M213+$N$7</f>
        <v>4</v>
      </c>
      <c r="O213" s="126" t="n">
        <v>-0.04</v>
      </c>
      <c r="P213" s="114"/>
      <c r="Q213" s="126" t="n">
        <f aca="false">M213+J213+G213</f>
        <v>11</v>
      </c>
      <c r="R213" s="126" t="n">
        <f aca="false">N213+K213+H213</f>
        <v>11</v>
      </c>
      <c r="S213" s="126" t="n">
        <f aca="false">O213+L213+I213</f>
        <v>6.96</v>
      </c>
      <c r="T213" s="127"/>
      <c r="U213" s="5" t="n">
        <f aca="false">A214-A213</f>
        <v>31</v>
      </c>
      <c r="V213" s="128" t="n">
        <f aca="false">CHOOSE(F$3,A214+24,A213)</f>
        <v>43466</v>
      </c>
      <c r="W213" s="5" t="n">
        <f aca="false">V213-C$3</f>
        <v>6235</v>
      </c>
      <c r="X213" s="124" t="n">
        <f aca="false">VLOOKUP($A213,Table,MATCH(X$4,Curves,0))</f>
        <v>2</v>
      </c>
      <c r="Y213" s="129" t="n">
        <f aca="false">1/(1+CHOOSE(F$3,(X214+($K$3/10000))/2,(X213+($K$3/10000))/2))^(2*W213/365.25)</f>
        <v>5.27879897966224E-011</v>
      </c>
      <c r="Z213" s="5" t="n">
        <f aca="false">IF(AND(mthbeg&lt;=A213,mthend&gt;=A213),1,0)</f>
        <v>0</v>
      </c>
      <c r="AA213" s="5" t="n">
        <f aca="false">U213*Z213</f>
        <v>0</v>
      </c>
      <c r="AC213" s="115" t="n">
        <f aca="false">IF(G206=2,F213*(S213-Q213),F213*(Q213-S213))</f>
        <v>0</v>
      </c>
      <c r="AE213" s="116" t="n">
        <f aca="false">IF($G$3=1,F213*(R213-Q213),F213*(Q213-R213))</f>
        <v>0</v>
      </c>
      <c r="AG213" s="116" t="n">
        <f aca="false">AC213+AE213</f>
        <v>0</v>
      </c>
    </row>
    <row r="214" customFormat="false" ht="12" hidden="false" customHeight="true" outlineLevel="0" collapsed="false">
      <c r="A214" s="120" t="n">
        <f aca="false">EDATE(A213,1)</f>
        <v>43497</v>
      </c>
      <c r="B214" s="121" t="e">
        <f aca="false">VLOOKUP(A214,'Inputs-Summary'!$A$32:$E$41,5,FALSE())</f>
        <v>#N/A</v>
      </c>
      <c r="C214" s="122"/>
      <c r="D214" s="123" t="e">
        <f aca="false">B214+C214</f>
        <v>#N/A</v>
      </c>
      <c r="E214" s="111" t="n">
        <f aca="false">IF(Z214=0,0,IF(AND(Z214=1,$H$3=1),D214*U214,IF($H$3=2,D214,"N/A")))</f>
        <v>0</v>
      </c>
      <c r="F214" s="111" t="n">
        <f aca="false">E214*Y214</f>
        <v>0</v>
      </c>
      <c r="G214" s="124" t="n">
        <f aca="false">VLOOKUP($A214,Table,MATCH(G$4,Curves,0))</f>
        <v>3</v>
      </c>
      <c r="H214" s="125" t="n">
        <f aca="false">G214+$H$7</f>
        <v>3</v>
      </c>
      <c r="I214" s="124" t="n">
        <f aca="false">H214</f>
        <v>3</v>
      </c>
      <c r="J214" s="124" t="n">
        <f aca="false">VLOOKUP($A214,Table,MATCH(J$4,Curves,0))</f>
        <v>4</v>
      </c>
      <c r="K214" s="125" t="n">
        <f aca="false">J214+$K$7</f>
        <v>4</v>
      </c>
      <c r="L214" s="126" t="n">
        <f aca="false">K214</f>
        <v>4</v>
      </c>
      <c r="M214" s="124" t="n">
        <f aca="false">VLOOKUP($A214,Table,MATCH(M$4,Curves,0))</f>
        <v>4</v>
      </c>
      <c r="N214" s="125" t="n">
        <f aca="false">M214+$N$7</f>
        <v>4</v>
      </c>
      <c r="O214" s="126" t="n">
        <v>-0.04</v>
      </c>
      <c r="P214" s="114"/>
      <c r="Q214" s="126" t="n">
        <f aca="false">M214+J214+G214</f>
        <v>11</v>
      </c>
      <c r="R214" s="126" t="n">
        <f aca="false">N214+K214+H214</f>
        <v>11</v>
      </c>
      <c r="S214" s="126" t="n">
        <f aca="false">O214+L214+I214</f>
        <v>6.96</v>
      </c>
      <c r="T214" s="127"/>
      <c r="U214" s="5" t="n">
        <f aca="false">A215-A214</f>
        <v>28</v>
      </c>
      <c r="V214" s="128" t="n">
        <f aca="false">CHOOSE(F$3,A215+24,A214)</f>
        <v>43497</v>
      </c>
      <c r="W214" s="5" t="n">
        <f aca="false">V214-C$3</f>
        <v>6266</v>
      </c>
      <c r="X214" s="124" t="n">
        <f aca="false">VLOOKUP($A214,Table,MATCH(X$4,Curves,0))</f>
        <v>2</v>
      </c>
      <c r="Y214" s="129" t="n">
        <f aca="false">1/(1+CHOOSE(F$3,(X215+($K$3/10000))/2,(X214+($K$3/10000))/2))^(2*W214/365.25)</f>
        <v>4.69284554989077E-011</v>
      </c>
      <c r="Z214" s="5" t="n">
        <f aca="false">IF(AND(mthbeg&lt;=A214,mthend&gt;=A214),1,0)</f>
        <v>0</v>
      </c>
      <c r="AA214" s="5" t="n">
        <f aca="false">U214*Z214</f>
        <v>0</v>
      </c>
      <c r="AC214" s="115" t="n">
        <f aca="false">IF(G207=2,F214*(S214-Q214),F214*(Q214-S214))</f>
        <v>0</v>
      </c>
      <c r="AE214" s="116" t="n">
        <f aca="false">IF($G$3=1,F214*(R214-Q214),F214*(Q214-R214))</f>
        <v>0</v>
      </c>
      <c r="AG214" s="116" t="n">
        <f aca="false">AC214+AE214</f>
        <v>0</v>
      </c>
    </row>
    <row r="215" customFormat="false" ht="12" hidden="false" customHeight="true" outlineLevel="0" collapsed="false">
      <c r="A215" s="120" t="n">
        <f aca="false">EDATE(A214,1)</f>
        <v>43525</v>
      </c>
      <c r="B215" s="121" t="e">
        <f aca="false">VLOOKUP(A215,'Inputs-Summary'!$A$32:$E$41,5,FALSE())</f>
        <v>#N/A</v>
      </c>
      <c r="C215" s="122"/>
      <c r="D215" s="123" t="e">
        <f aca="false">B215+C215</f>
        <v>#N/A</v>
      </c>
      <c r="E215" s="111" t="n">
        <f aca="false">IF(Z215=0,0,IF(AND(Z215=1,$H$3=1),D215*U215,IF($H$3=2,D215,"N/A")))</f>
        <v>0</v>
      </c>
      <c r="F215" s="111" t="n">
        <f aca="false">E215*Y215</f>
        <v>0</v>
      </c>
      <c r="G215" s="124" t="n">
        <f aca="false">VLOOKUP($A215,Table,MATCH(G$4,Curves,0))</f>
        <v>3</v>
      </c>
      <c r="H215" s="125" t="n">
        <f aca="false">G215+$H$7</f>
        <v>3</v>
      </c>
      <c r="I215" s="124" t="n">
        <f aca="false">H215</f>
        <v>3</v>
      </c>
      <c r="J215" s="124" t="n">
        <f aca="false">VLOOKUP($A215,Table,MATCH(J$4,Curves,0))</f>
        <v>4</v>
      </c>
      <c r="K215" s="125" t="n">
        <f aca="false">J215+$K$7</f>
        <v>4</v>
      </c>
      <c r="L215" s="126" t="n">
        <f aca="false">K215</f>
        <v>4</v>
      </c>
      <c r="M215" s="124" t="n">
        <f aca="false">VLOOKUP($A215,Table,MATCH(M$4,Curves,0))</f>
        <v>4</v>
      </c>
      <c r="N215" s="125" t="n">
        <f aca="false">M215+$N$7</f>
        <v>4</v>
      </c>
      <c r="O215" s="126" t="n">
        <v>-0.04</v>
      </c>
      <c r="P215" s="114"/>
      <c r="Q215" s="126" t="n">
        <f aca="false">M215+J215+G215</f>
        <v>11</v>
      </c>
      <c r="R215" s="126" t="n">
        <f aca="false">N215+K215+H215</f>
        <v>11</v>
      </c>
      <c r="S215" s="126" t="n">
        <f aca="false">O215+L215+I215</f>
        <v>6.96</v>
      </c>
      <c r="T215" s="127"/>
      <c r="U215" s="5" t="n">
        <f aca="false">A216-A215</f>
        <v>31</v>
      </c>
      <c r="V215" s="128" t="n">
        <f aca="false">CHOOSE(F$3,A216+24,A215)</f>
        <v>43525</v>
      </c>
      <c r="W215" s="5" t="n">
        <f aca="false">V215-C$3</f>
        <v>6294</v>
      </c>
      <c r="X215" s="124" t="n">
        <f aca="false">VLOOKUP($A215,Table,MATCH(X$4,Curves,0))</f>
        <v>2</v>
      </c>
      <c r="Y215" s="129" t="n">
        <f aca="false">1/(1+CHOOSE(F$3,(X216+($K$3/10000))/2,(X215+($K$3/10000))/2))^(2*W215/365.25)</f>
        <v>4.2197084859845E-011</v>
      </c>
      <c r="Z215" s="5" t="n">
        <f aca="false">IF(AND(mthbeg&lt;=A215,mthend&gt;=A215),1,0)</f>
        <v>0</v>
      </c>
      <c r="AA215" s="5" t="n">
        <f aca="false">U215*Z215</f>
        <v>0</v>
      </c>
      <c r="AC215" s="115" t="n">
        <f aca="false">IF(G208=2,F215*(S215-Q215),F215*(Q215-S215))</f>
        <v>0</v>
      </c>
      <c r="AE215" s="116" t="n">
        <f aca="false">IF($G$3=1,F215*(R215-Q215),F215*(Q215-R215))</f>
        <v>0</v>
      </c>
      <c r="AG215" s="116" t="n">
        <f aca="false">AC215+AE215</f>
        <v>0</v>
      </c>
    </row>
    <row r="216" customFormat="false" ht="12" hidden="false" customHeight="true" outlineLevel="0" collapsed="false">
      <c r="A216" s="120" t="n">
        <f aca="false">EDATE(A215,1)</f>
        <v>43556</v>
      </c>
      <c r="B216" s="121" t="e">
        <f aca="false">VLOOKUP(A216,'Inputs-Summary'!$A$32:$E$41,5,FALSE())</f>
        <v>#N/A</v>
      </c>
      <c r="C216" s="122"/>
      <c r="D216" s="123" t="e">
        <f aca="false">B216+C216</f>
        <v>#N/A</v>
      </c>
      <c r="E216" s="111" t="n">
        <f aca="false">IF(Z216=0,0,IF(AND(Z216=1,$H$3=1),D216*U216,IF($H$3=2,D216,"N/A")))</f>
        <v>0</v>
      </c>
      <c r="F216" s="111" t="n">
        <f aca="false">E216*Y216</f>
        <v>0</v>
      </c>
      <c r="G216" s="124" t="n">
        <f aca="false">VLOOKUP($A216,Table,MATCH(G$4,Curves,0))</f>
        <v>3</v>
      </c>
      <c r="H216" s="125" t="n">
        <f aca="false">G216+$H$7</f>
        <v>3</v>
      </c>
      <c r="I216" s="124" t="n">
        <f aca="false">H216</f>
        <v>3</v>
      </c>
      <c r="J216" s="124" t="n">
        <f aca="false">VLOOKUP($A216,Table,MATCH(J$4,Curves,0))</f>
        <v>4</v>
      </c>
      <c r="K216" s="125" t="n">
        <f aca="false">J216+$K$7</f>
        <v>4</v>
      </c>
      <c r="L216" s="126" t="n">
        <f aca="false">K216</f>
        <v>4</v>
      </c>
      <c r="M216" s="124" t="n">
        <f aca="false">VLOOKUP($A216,Table,MATCH(M$4,Curves,0))</f>
        <v>4</v>
      </c>
      <c r="N216" s="125" t="n">
        <f aca="false">M216+$N$7</f>
        <v>4</v>
      </c>
      <c r="O216" s="126" t="n">
        <v>-0.04</v>
      </c>
      <c r="P216" s="114"/>
      <c r="Q216" s="126" t="n">
        <f aca="false">M216+J216+G216</f>
        <v>11</v>
      </c>
      <c r="R216" s="126" t="n">
        <f aca="false">N216+K216+H216</f>
        <v>11</v>
      </c>
      <c r="S216" s="126" t="n">
        <f aca="false">O216+L216+I216</f>
        <v>6.96</v>
      </c>
      <c r="T216" s="127"/>
      <c r="U216" s="5" t="n">
        <f aca="false">A217-A216</f>
        <v>30</v>
      </c>
      <c r="V216" s="128" t="n">
        <f aca="false">CHOOSE(F$3,A217+24,A216)</f>
        <v>43556</v>
      </c>
      <c r="W216" s="5" t="n">
        <f aca="false">V216-C$3</f>
        <v>6325</v>
      </c>
      <c r="X216" s="124" t="n">
        <f aca="false">VLOOKUP($A216,Table,MATCH(X$4,Curves,0))</f>
        <v>2</v>
      </c>
      <c r="Y216" s="129" t="n">
        <f aca="false">1/(1+CHOOSE(F$3,(X217+($K$3/10000))/2,(X216+($K$3/10000))/2))^(2*W216/365.25)</f>
        <v>3.75131545387162E-011</v>
      </c>
      <c r="Z216" s="5" t="n">
        <f aca="false">IF(AND(mthbeg&lt;=A216,mthend&gt;=A216),1,0)</f>
        <v>0</v>
      </c>
      <c r="AA216" s="5" t="n">
        <f aca="false">U216*Z216</f>
        <v>0</v>
      </c>
      <c r="AC216" s="115" t="n">
        <f aca="false">IF(G209=2,F216*(S216-Q216),F216*(Q216-S216))</f>
        <v>0</v>
      </c>
      <c r="AE216" s="116" t="n">
        <f aca="false">IF($G$3=1,F216*(R216-Q216),F216*(Q216-R216))</f>
        <v>0</v>
      </c>
      <c r="AG216" s="116" t="n">
        <f aca="false">AC216+AE216</f>
        <v>0</v>
      </c>
    </row>
    <row r="217" customFormat="false" ht="12" hidden="false" customHeight="true" outlineLevel="0" collapsed="false">
      <c r="A217" s="120" t="n">
        <f aca="false">EDATE(A216,1)</f>
        <v>43586</v>
      </c>
      <c r="B217" s="121" t="e">
        <f aca="false">VLOOKUP(A217,'Inputs-Summary'!$A$32:$E$41,5,FALSE())</f>
        <v>#N/A</v>
      </c>
      <c r="C217" s="122"/>
      <c r="D217" s="123" t="e">
        <f aca="false">B217+C217</f>
        <v>#N/A</v>
      </c>
      <c r="E217" s="111" t="n">
        <f aca="false">IF(Z217=0,0,IF(AND(Z217=1,$H$3=1),D217*U217,IF($H$3=2,D217,"N/A")))</f>
        <v>0</v>
      </c>
      <c r="F217" s="111" t="n">
        <f aca="false">E217*Y217</f>
        <v>0</v>
      </c>
      <c r="G217" s="124" t="n">
        <f aca="false">VLOOKUP($A217,Table,MATCH(G$4,Curves,0))</f>
        <v>3</v>
      </c>
      <c r="H217" s="125" t="n">
        <f aca="false">G217+$H$7</f>
        <v>3</v>
      </c>
      <c r="I217" s="124" t="n">
        <f aca="false">H217</f>
        <v>3</v>
      </c>
      <c r="J217" s="124" t="n">
        <f aca="false">VLOOKUP($A217,Table,MATCH(J$4,Curves,0))</f>
        <v>4</v>
      </c>
      <c r="K217" s="125" t="n">
        <f aca="false">J217+$K$7</f>
        <v>4</v>
      </c>
      <c r="L217" s="126" t="n">
        <f aca="false">K217</f>
        <v>4</v>
      </c>
      <c r="M217" s="124" t="n">
        <f aca="false">VLOOKUP($A217,Table,MATCH(M$4,Curves,0))</f>
        <v>4</v>
      </c>
      <c r="N217" s="125" t="n">
        <f aca="false">M217+$N$7</f>
        <v>4</v>
      </c>
      <c r="O217" s="126" t="n">
        <v>-0.04</v>
      </c>
      <c r="P217" s="114"/>
      <c r="Q217" s="126" t="n">
        <f aca="false">M217+J217+G217</f>
        <v>11</v>
      </c>
      <c r="R217" s="126" t="n">
        <f aca="false">N217+K217+H217</f>
        <v>11</v>
      </c>
      <c r="S217" s="126" t="n">
        <f aca="false">O217+L217+I217</f>
        <v>6.96</v>
      </c>
      <c r="T217" s="127"/>
      <c r="U217" s="5" t="n">
        <f aca="false">A218-A217</f>
        <v>31</v>
      </c>
      <c r="V217" s="128" t="n">
        <f aca="false">CHOOSE(F$3,A218+24,A217)</f>
        <v>43586</v>
      </c>
      <c r="W217" s="5" t="n">
        <f aca="false">V217-C$3</f>
        <v>6355</v>
      </c>
      <c r="X217" s="124" t="n">
        <f aca="false">VLOOKUP($A217,Table,MATCH(X$4,Curves,0))</f>
        <v>2</v>
      </c>
      <c r="Y217" s="129" t="n">
        <f aca="false">1/(1+CHOOSE(F$3,(X218+($K$3/10000))/2,(X217+($K$3/10000))/2))^(2*W217/365.25)</f>
        <v>3.34759625658036E-011</v>
      </c>
      <c r="Z217" s="5" t="n">
        <f aca="false">IF(AND(mthbeg&lt;=A217,mthend&gt;=A217),1,0)</f>
        <v>0</v>
      </c>
      <c r="AA217" s="5" t="n">
        <f aca="false">U217*Z217</f>
        <v>0</v>
      </c>
      <c r="AC217" s="115" t="n">
        <f aca="false">IF(G210=2,F217*(S217-Q217),F217*(Q217-S217))</f>
        <v>0</v>
      </c>
      <c r="AE217" s="116" t="n">
        <f aca="false">IF($G$3=1,F217*(R217-Q217),F217*(Q217-R217))</f>
        <v>0</v>
      </c>
      <c r="AG217" s="116" t="n">
        <f aca="false">AC217+AE217</f>
        <v>0</v>
      </c>
    </row>
    <row r="218" customFormat="false" ht="12" hidden="false" customHeight="true" outlineLevel="0" collapsed="false">
      <c r="A218" s="120" t="n">
        <f aca="false">EDATE(A217,1)</f>
        <v>43617</v>
      </c>
      <c r="B218" s="121" t="e">
        <f aca="false">VLOOKUP(A218,'Inputs-Summary'!$A$32:$E$41,5,FALSE())</f>
        <v>#N/A</v>
      </c>
      <c r="C218" s="122"/>
      <c r="D218" s="123" t="e">
        <f aca="false">B218+C218</f>
        <v>#N/A</v>
      </c>
      <c r="E218" s="111" t="n">
        <f aca="false">IF(Z218=0,0,IF(AND(Z218=1,$H$3=1),D218*U218,IF($H$3=2,D218,"N/A")))</f>
        <v>0</v>
      </c>
      <c r="F218" s="111" t="n">
        <f aca="false">E218*Y218</f>
        <v>0</v>
      </c>
      <c r="G218" s="124" t="n">
        <f aca="false">VLOOKUP($A218,Table,MATCH(G$4,Curves,0))</f>
        <v>3</v>
      </c>
      <c r="H218" s="125" t="n">
        <f aca="false">G218+$H$7</f>
        <v>3</v>
      </c>
      <c r="I218" s="124" t="n">
        <f aca="false">H218</f>
        <v>3</v>
      </c>
      <c r="J218" s="124" t="n">
        <f aca="false">VLOOKUP($A218,Table,MATCH(J$4,Curves,0))</f>
        <v>4</v>
      </c>
      <c r="K218" s="125" t="n">
        <f aca="false">J218+$K$7</f>
        <v>4</v>
      </c>
      <c r="L218" s="126" t="n">
        <f aca="false">K218</f>
        <v>4</v>
      </c>
      <c r="M218" s="124" t="n">
        <f aca="false">VLOOKUP($A218,Table,MATCH(M$4,Curves,0))</f>
        <v>4</v>
      </c>
      <c r="N218" s="125" t="n">
        <f aca="false">M218+$N$7</f>
        <v>4</v>
      </c>
      <c r="O218" s="126" t="n">
        <v>-0.04</v>
      </c>
      <c r="P218" s="114"/>
      <c r="Q218" s="126" t="n">
        <f aca="false">M218+J218+G218</f>
        <v>11</v>
      </c>
      <c r="R218" s="126" t="n">
        <f aca="false">N218+K218+H218</f>
        <v>11</v>
      </c>
      <c r="S218" s="126" t="n">
        <f aca="false">O218+L218+I218</f>
        <v>6.96</v>
      </c>
      <c r="T218" s="127"/>
      <c r="U218" s="5" t="n">
        <f aca="false">A219-A218</f>
        <v>30</v>
      </c>
      <c r="V218" s="128" t="n">
        <f aca="false">CHOOSE(F$3,A219+24,A218)</f>
        <v>43617</v>
      </c>
      <c r="W218" s="5" t="n">
        <f aca="false">V218-C$3</f>
        <v>6386</v>
      </c>
      <c r="X218" s="124" t="n">
        <f aca="false">VLOOKUP($A218,Table,MATCH(X$4,Curves,0))</f>
        <v>2</v>
      </c>
      <c r="Y218" s="129" t="n">
        <f aca="false">1/(1+CHOOSE(F$3,(X219+($K$3/10000))/2,(X218+($K$3/10000))/2))^(2*W218/365.25)</f>
        <v>2.97600879594951E-011</v>
      </c>
      <c r="Z218" s="5" t="n">
        <f aca="false">IF(AND(mthbeg&lt;=A218,mthend&gt;=A218),1,0)</f>
        <v>0</v>
      </c>
      <c r="AA218" s="5" t="n">
        <f aca="false">U218*Z218</f>
        <v>0</v>
      </c>
      <c r="AC218" s="115" t="n">
        <f aca="false">IF(G211=2,F218*(S218-Q218),F218*(Q218-S218))</f>
        <v>0</v>
      </c>
      <c r="AE218" s="116" t="n">
        <f aca="false">IF($G$3=1,F218*(R218-Q218),F218*(Q218-R218))</f>
        <v>0</v>
      </c>
      <c r="AG218" s="116" t="n">
        <f aca="false">AC218+AE218</f>
        <v>0</v>
      </c>
    </row>
    <row r="219" customFormat="false" ht="12" hidden="false" customHeight="true" outlineLevel="0" collapsed="false">
      <c r="A219" s="120" t="n">
        <f aca="false">EDATE(A218,1)</f>
        <v>43647</v>
      </c>
      <c r="B219" s="121" t="e">
        <f aca="false">VLOOKUP(A219,'Inputs-Summary'!$A$32:$E$41,5,FALSE())</f>
        <v>#N/A</v>
      </c>
      <c r="C219" s="122"/>
      <c r="D219" s="123" t="e">
        <f aca="false">B219+C219</f>
        <v>#N/A</v>
      </c>
      <c r="E219" s="111" t="n">
        <f aca="false">IF(Z219=0,0,IF(AND(Z219=1,$H$3=1),D219*U219,IF($H$3=2,D219,"N/A")))</f>
        <v>0</v>
      </c>
      <c r="F219" s="111" t="n">
        <f aca="false">E219*Y219</f>
        <v>0</v>
      </c>
      <c r="G219" s="124" t="n">
        <f aca="false">VLOOKUP($A219,Table,MATCH(G$4,Curves,0))</f>
        <v>3</v>
      </c>
      <c r="H219" s="125" t="n">
        <f aca="false">G219+$H$7</f>
        <v>3</v>
      </c>
      <c r="I219" s="124" t="n">
        <f aca="false">H219</f>
        <v>3</v>
      </c>
      <c r="J219" s="124" t="n">
        <f aca="false">VLOOKUP($A219,Table,MATCH(J$4,Curves,0))</f>
        <v>4</v>
      </c>
      <c r="K219" s="125" t="n">
        <f aca="false">J219+$K$7</f>
        <v>4</v>
      </c>
      <c r="L219" s="126" t="n">
        <f aca="false">K219</f>
        <v>4</v>
      </c>
      <c r="M219" s="124" t="n">
        <f aca="false">VLOOKUP($A219,Table,MATCH(M$4,Curves,0))</f>
        <v>4</v>
      </c>
      <c r="N219" s="125" t="n">
        <f aca="false">M219+$N$7</f>
        <v>4</v>
      </c>
      <c r="O219" s="126" t="n">
        <v>-0.04</v>
      </c>
      <c r="P219" s="114"/>
      <c r="Q219" s="126" t="n">
        <f aca="false">M219+J219+G219</f>
        <v>11</v>
      </c>
      <c r="R219" s="126" t="n">
        <f aca="false">N219+K219+H219</f>
        <v>11</v>
      </c>
      <c r="S219" s="126" t="n">
        <f aca="false">O219+L219+I219</f>
        <v>6.96</v>
      </c>
      <c r="T219" s="127"/>
      <c r="U219" s="5" t="n">
        <f aca="false">A220-A219</f>
        <v>31</v>
      </c>
      <c r="V219" s="128" t="n">
        <f aca="false">CHOOSE(F$3,A220+24,A219)</f>
        <v>43647</v>
      </c>
      <c r="W219" s="5" t="n">
        <f aca="false">V219-C$3</f>
        <v>6416</v>
      </c>
      <c r="X219" s="124" t="n">
        <f aca="false">VLOOKUP($A219,Table,MATCH(X$4,Curves,0))</f>
        <v>2</v>
      </c>
      <c r="Y219" s="129" t="n">
        <f aca="false">1/(1+CHOOSE(F$3,(X220+($K$3/10000))/2,(X219+($K$3/10000))/2))^(2*W219/365.25)</f>
        <v>2.65572864435831E-011</v>
      </c>
      <c r="Z219" s="5" t="n">
        <f aca="false">IF(AND(mthbeg&lt;=A219,mthend&gt;=A219),1,0)</f>
        <v>0</v>
      </c>
      <c r="AA219" s="5" t="n">
        <f aca="false">U219*Z219</f>
        <v>0</v>
      </c>
      <c r="AC219" s="115" t="n">
        <f aca="false">IF(G212=2,F219*(S219-Q219),F219*(Q219-S219))</f>
        <v>0</v>
      </c>
      <c r="AE219" s="116" t="n">
        <f aca="false">IF($G$3=1,F219*(R219-Q219),F219*(Q219-R219))</f>
        <v>0</v>
      </c>
      <c r="AG219" s="116" t="n">
        <f aca="false">AC219+AE219</f>
        <v>0</v>
      </c>
    </row>
    <row r="220" customFormat="false" ht="12" hidden="false" customHeight="true" outlineLevel="0" collapsed="false">
      <c r="A220" s="120" t="n">
        <f aca="false">EDATE(A219,1)</f>
        <v>43678</v>
      </c>
      <c r="B220" s="121" t="e">
        <f aca="false">VLOOKUP(A220,'Inputs-Summary'!$A$32:$E$41,5,FALSE())</f>
        <v>#N/A</v>
      </c>
      <c r="C220" s="122"/>
      <c r="D220" s="123" t="e">
        <f aca="false">B220+C220</f>
        <v>#N/A</v>
      </c>
      <c r="E220" s="111" t="n">
        <f aca="false">IF(Z220=0,0,IF(AND(Z220=1,$H$3=1),D220*U220,IF($H$3=2,D220,"N/A")))</f>
        <v>0</v>
      </c>
      <c r="F220" s="111" t="n">
        <f aca="false">E220*Y220</f>
        <v>0</v>
      </c>
      <c r="G220" s="124" t="n">
        <f aca="false">VLOOKUP($A220,Table,MATCH(G$4,Curves,0))</f>
        <v>3</v>
      </c>
      <c r="H220" s="125" t="n">
        <f aca="false">G220+$H$7</f>
        <v>3</v>
      </c>
      <c r="I220" s="124" t="n">
        <f aca="false">H220</f>
        <v>3</v>
      </c>
      <c r="J220" s="124" t="n">
        <f aca="false">VLOOKUP($A220,Table,MATCH(J$4,Curves,0))</f>
        <v>4</v>
      </c>
      <c r="K220" s="125" t="n">
        <f aca="false">J220+$K$7</f>
        <v>4</v>
      </c>
      <c r="L220" s="126" t="n">
        <f aca="false">K220</f>
        <v>4</v>
      </c>
      <c r="M220" s="124" t="n">
        <f aca="false">VLOOKUP($A220,Table,MATCH(M$4,Curves,0))</f>
        <v>4</v>
      </c>
      <c r="N220" s="125" t="n">
        <f aca="false">M220+$N$7</f>
        <v>4</v>
      </c>
      <c r="O220" s="126" t="n">
        <v>-0.04</v>
      </c>
      <c r="P220" s="114"/>
      <c r="Q220" s="126" t="n">
        <f aca="false">M220+J220+G220</f>
        <v>11</v>
      </c>
      <c r="R220" s="126" t="n">
        <f aca="false">N220+K220+H220</f>
        <v>11</v>
      </c>
      <c r="S220" s="126" t="n">
        <f aca="false">O220+L220+I220</f>
        <v>6.96</v>
      </c>
      <c r="T220" s="127"/>
      <c r="U220" s="5" t="n">
        <f aca="false">A221-A220</f>
        <v>31</v>
      </c>
      <c r="V220" s="128" t="n">
        <f aca="false">CHOOSE(F$3,A221+24,A220)</f>
        <v>43678</v>
      </c>
      <c r="W220" s="5" t="n">
        <f aca="false">V220-C$3</f>
        <v>6447</v>
      </c>
      <c r="X220" s="124" t="n">
        <f aca="false">VLOOKUP($A220,Table,MATCH(X$4,Curves,0))</f>
        <v>2</v>
      </c>
      <c r="Y220" s="129" t="n">
        <f aca="false">1/(1+CHOOSE(F$3,(X221+($K$3/10000))/2,(X220+($K$3/10000))/2))^(2*W220/365.25)</f>
        <v>2.36093937246154E-011</v>
      </c>
      <c r="Z220" s="5" t="n">
        <f aca="false">IF(AND(mthbeg&lt;=A220,mthend&gt;=A220),1,0)</f>
        <v>0</v>
      </c>
      <c r="AA220" s="5" t="n">
        <f aca="false">U220*Z220</f>
        <v>0</v>
      </c>
      <c r="AC220" s="115" t="n">
        <f aca="false">IF(G213=2,F220*(S220-Q220),F220*(Q220-S220))</f>
        <v>0</v>
      </c>
      <c r="AE220" s="116" t="n">
        <f aca="false">IF($G$3=1,F220*(R220-Q220),F220*(Q220-R220))</f>
        <v>0</v>
      </c>
      <c r="AG220" s="116" t="n">
        <f aca="false">AC220+AE220</f>
        <v>0</v>
      </c>
    </row>
    <row r="221" customFormat="false" ht="12" hidden="false" customHeight="true" outlineLevel="0" collapsed="false">
      <c r="A221" s="120" t="n">
        <f aca="false">EDATE(A220,1)</f>
        <v>43709</v>
      </c>
      <c r="B221" s="121" t="e">
        <f aca="false">VLOOKUP(A221,'Inputs-Summary'!$A$32:$E$41,5,FALSE())</f>
        <v>#N/A</v>
      </c>
      <c r="C221" s="122"/>
      <c r="D221" s="123" t="e">
        <f aca="false">B221+C221</f>
        <v>#N/A</v>
      </c>
      <c r="E221" s="111" t="n">
        <f aca="false">IF(Z221=0,0,IF(AND(Z221=1,$H$3=1),D221*U221,IF($H$3=2,D221,"N/A")))</f>
        <v>0</v>
      </c>
      <c r="F221" s="111" t="n">
        <f aca="false">E221*Y221</f>
        <v>0</v>
      </c>
      <c r="G221" s="124" t="n">
        <f aca="false">VLOOKUP($A221,Table,MATCH(G$4,Curves,0))</f>
        <v>3</v>
      </c>
      <c r="H221" s="125" t="n">
        <f aca="false">G221+$H$7</f>
        <v>3</v>
      </c>
      <c r="I221" s="124" t="n">
        <f aca="false">H221</f>
        <v>3</v>
      </c>
      <c r="J221" s="124" t="n">
        <f aca="false">VLOOKUP($A221,Table,MATCH(J$4,Curves,0))</f>
        <v>4</v>
      </c>
      <c r="K221" s="125" t="n">
        <f aca="false">J221+$K$7</f>
        <v>4</v>
      </c>
      <c r="L221" s="126" t="n">
        <f aca="false">K221</f>
        <v>4</v>
      </c>
      <c r="M221" s="124" t="n">
        <f aca="false">VLOOKUP($A221,Table,MATCH(M$4,Curves,0))</f>
        <v>4</v>
      </c>
      <c r="N221" s="125" t="n">
        <f aca="false">M221+$N$7</f>
        <v>4</v>
      </c>
      <c r="O221" s="126" t="n">
        <v>-0.04</v>
      </c>
      <c r="P221" s="114"/>
      <c r="Q221" s="126" t="n">
        <f aca="false">M221+J221+G221</f>
        <v>11</v>
      </c>
      <c r="R221" s="126" t="n">
        <f aca="false">N221+K221+H221</f>
        <v>11</v>
      </c>
      <c r="S221" s="126" t="n">
        <f aca="false">O221+L221+I221</f>
        <v>6.96</v>
      </c>
      <c r="T221" s="127"/>
      <c r="U221" s="5" t="n">
        <f aca="false">A222-A221</f>
        <v>30</v>
      </c>
      <c r="V221" s="128" t="n">
        <f aca="false">CHOOSE(F$3,A222+24,A221)</f>
        <v>43709</v>
      </c>
      <c r="W221" s="5" t="n">
        <f aca="false">V221-C$3</f>
        <v>6478</v>
      </c>
      <c r="X221" s="124" t="n">
        <f aca="false">VLOOKUP($A221,Table,MATCH(X$4,Curves,0))</f>
        <v>2</v>
      </c>
      <c r="Y221" s="129" t="n">
        <f aca="false">1/(1+CHOOSE(F$3,(X222+($K$3/10000))/2,(X221+($K$3/10000))/2))^(2*W221/365.25)</f>
        <v>2.09887208630304E-011</v>
      </c>
      <c r="Z221" s="5" t="n">
        <f aca="false">IF(AND(mthbeg&lt;=A221,mthend&gt;=A221),1,0)</f>
        <v>0</v>
      </c>
      <c r="AA221" s="5" t="n">
        <f aca="false">U221*Z221</f>
        <v>0</v>
      </c>
      <c r="AC221" s="115" t="n">
        <f aca="false">IF(G214=2,F221*(S221-Q221),F221*(Q221-S221))</f>
        <v>0</v>
      </c>
      <c r="AE221" s="116" t="n">
        <f aca="false">IF($G$3=1,F221*(R221-Q221),F221*(Q221-R221))</f>
        <v>0</v>
      </c>
      <c r="AG221" s="116" t="n">
        <f aca="false">AC221+AE221</f>
        <v>0</v>
      </c>
    </row>
    <row r="222" customFormat="false" ht="12" hidden="false" customHeight="true" outlineLevel="0" collapsed="false">
      <c r="A222" s="120" t="n">
        <f aca="false">EDATE(A221,1)</f>
        <v>43739</v>
      </c>
      <c r="B222" s="121" t="e">
        <f aca="false">VLOOKUP(A222,'Inputs-Summary'!$A$32:$E$41,5,FALSE())</f>
        <v>#N/A</v>
      </c>
      <c r="C222" s="122"/>
      <c r="D222" s="123" t="e">
        <f aca="false">B222+C222</f>
        <v>#N/A</v>
      </c>
      <c r="E222" s="111" t="n">
        <f aca="false">IF(Z222=0,0,IF(AND(Z222=1,$H$3=1),D222*U222,IF($H$3=2,D222,"N/A")))</f>
        <v>0</v>
      </c>
      <c r="F222" s="111" t="n">
        <f aca="false">E222*Y222</f>
        <v>0</v>
      </c>
      <c r="G222" s="124" t="n">
        <f aca="false">VLOOKUP($A222,Table,MATCH(G$4,Curves,0))</f>
        <v>3</v>
      </c>
      <c r="H222" s="125" t="n">
        <f aca="false">G222+$H$7</f>
        <v>3</v>
      </c>
      <c r="I222" s="124" t="n">
        <f aca="false">H222</f>
        <v>3</v>
      </c>
      <c r="J222" s="124" t="n">
        <f aca="false">VLOOKUP($A222,Table,MATCH(J$4,Curves,0))</f>
        <v>4</v>
      </c>
      <c r="K222" s="125" t="n">
        <f aca="false">J222+$K$7</f>
        <v>4</v>
      </c>
      <c r="L222" s="126" t="n">
        <f aca="false">K222</f>
        <v>4</v>
      </c>
      <c r="M222" s="124" t="n">
        <f aca="false">VLOOKUP($A222,Table,MATCH(M$4,Curves,0))</f>
        <v>4</v>
      </c>
      <c r="N222" s="125" t="n">
        <f aca="false">M222+$N$7</f>
        <v>4</v>
      </c>
      <c r="O222" s="126" t="n">
        <v>-0.04</v>
      </c>
      <c r="P222" s="114"/>
      <c r="Q222" s="126" t="n">
        <f aca="false">M222+J222+G222</f>
        <v>11</v>
      </c>
      <c r="R222" s="126" t="n">
        <f aca="false">N222+K222+H222</f>
        <v>11</v>
      </c>
      <c r="S222" s="126" t="n">
        <f aca="false">O222+L222+I222</f>
        <v>6.96</v>
      </c>
      <c r="T222" s="127"/>
      <c r="U222" s="5" t="n">
        <f aca="false">A223-A222</f>
        <v>31</v>
      </c>
      <c r="V222" s="128" t="n">
        <f aca="false">CHOOSE(F$3,A223+24,A222)</f>
        <v>43739</v>
      </c>
      <c r="W222" s="5" t="n">
        <f aca="false">V222-C$3</f>
        <v>6508</v>
      </c>
      <c r="X222" s="124" t="n">
        <f aca="false">VLOOKUP($A222,Table,MATCH(X$4,Curves,0))</f>
        <v>2</v>
      </c>
      <c r="Y222" s="129" t="n">
        <f aca="false">1/(1+CHOOSE(F$3,(X223+($K$3/10000))/2,(X222+($K$3/10000))/2))^(2*W222/365.25)</f>
        <v>1.87299000191987E-011</v>
      </c>
      <c r="Z222" s="5" t="n">
        <f aca="false">IF(AND(mthbeg&lt;=A222,mthend&gt;=A222),1,0)</f>
        <v>0</v>
      </c>
      <c r="AA222" s="5" t="n">
        <f aca="false">U222*Z222</f>
        <v>0</v>
      </c>
      <c r="AC222" s="115" t="n">
        <f aca="false">IF(G215=2,F222*(S222-Q222),F222*(Q222-S222))</f>
        <v>0</v>
      </c>
      <c r="AE222" s="116" t="n">
        <f aca="false">IF($G$3=1,F222*(R222-Q222),F222*(Q222-R222))</f>
        <v>0</v>
      </c>
      <c r="AG222" s="116" t="n">
        <f aca="false">AC222+AE222</f>
        <v>0</v>
      </c>
    </row>
    <row r="223" customFormat="false" ht="12" hidden="false" customHeight="true" outlineLevel="0" collapsed="false">
      <c r="A223" s="120" t="n">
        <f aca="false">EDATE(A222,1)</f>
        <v>43770</v>
      </c>
      <c r="B223" s="121" t="e">
        <f aca="false">VLOOKUP(A223,'Inputs-Summary'!$A$32:$E$41,5,FALSE())</f>
        <v>#N/A</v>
      </c>
      <c r="C223" s="122"/>
      <c r="D223" s="123" t="e">
        <f aca="false">B223+C223</f>
        <v>#N/A</v>
      </c>
      <c r="E223" s="111" t="n">
        <f aca="false">IF(Z223=0,0,IF(AND(Z223=1,$H$3=1),D223*U223,IF($H$3=2,D223,"N/A")))</f>
        <v>0</v>
      </c>
      <c r="F223" s="111" t="n">
        <f aca="false">E223*Y223</f>
        <v>0</v>
      </c>
      <c r="G223" s="124" t="n">
        <f aca="false">VLOOKUP($A223,Table,MATCH(G$4,Curves,0))</f>
        <v>3</v>
      </c>
      <c r="H223" s="125" t="n">
        <f aca="false">G223+$H$7</f>
        <v>3</v>
      </c>
      <c r="I223" s="124" t="n">
        <f aca="false">H223</f>
        <v>3</v>
      </c>
      <c r="J223" s="124" t="n">
        <f aca="false">VLOOKUP($A223,Table,MATCH(J$4,Curves,0))</f>
        <v>4</v>
      </c>
      <c r="K223" s="125" t="n">
        <f aca="false">J223+$K$7</f>
        <v>4</v>
      </c>
      <c r="L223" s="126" t="n">
        <f aca="false">K223</f>
        <v>4</v>
      </c>
      <c r="M223" s="124" t="n">
        <f aca="false">VLOOKUP($A223,Table,MATCH(M$4,Curves,0))</f>
        <v>4</v>
      </c>
      <c r="N223" s="125" t="n">
        <f aca="false">M223+$N$7</f>
        <v>4</v>
      </c>
      <c r="O223" s="126" t="n">
        <v>-0.04</v>
      </c>
      <c r="P223" s="114"/>
      <c r="Q223" s="126" t="n">
        <f aca="false">M223+J223+G223</f>
        <v>11</v>
      </c>
      <c r="R223" s="126" t="n">
        <f aca="false">N223+K223+H223</f>
        <v>11</v>
      </c>
      <c r="S223" s="126" t="n">
        <f aca="false">O223+L223+I223</f>
        <v>6.96</v>
      </c>
      <c r="T223" s="127"/>
      <c r="U223" s="5" t="n">
        <f aca="false">A224-A223</f>
        <v>30</v>
      </c>
      <c r="V223" s="128" t="n">
        <f aca="false">CHOOSE(F$3,A224+24,A223)</f>
        <v>43770</v>
      </c>
      <c r="W223" s="5" t="n">
        <f aca="false">V223-C$3</f>
        <v>6539</v>
      </c>
      <c r="X223" s="124" t="n">
        <f aca="false">VLOOKUP($A223,Table,MATCH(X$4,Curves,0))</f>
        <v>2</v>
      </c>
      <c r="Y223" s="129" t="n">
        <f aca="false">1/(1+CHOOSE(F$3,(X224+($K$3/10000))/2,(X223+($K$3/10000))/2))^(2*W223/365.25)</f>
        <v>1.66508571918797E-011</v>
      </c>
      <c r="Z223" s="5" t="n">
        <f aca="false">IF(AND(mthbeg&lt;=A223,mthend&gt;=A223),1,0)</f>
        <v>0</v>
      </c>
      <c r="AA223" s="5" t="n">
        <f aca="false">U223*Z223</f>
        <v>0</v>
      </c>
      <c r="AC223" s="115" t="n">
        <f aca="false">IF(G216=2,F223*(S223-Q223),F223*(Q223-S223))</f>
        <v>0</v>
      </c>
      <c r="AE223" s="116" t="n">
        <f aca="false">IF($G$3=1,F223*(R223-Q223),F223*(Q223-R223))</f>
        <v>0</v>
      </c>
      <c r="AG223" s="116" t="n">
        <f aca="false">AC223+AE223</f>
        <v>0</v>
      </c>
    </row>
    <row r="224" customFormat="false" ht="12" hidden="false" customHeight="true" outlineLevel="0" collapsed="false">
      <c r="A224" s="120" t="n">
        <f aca="false">EDATE(A223,1)</f>
        <v>43800</v>
      </c>
      <c r="B224" s="121" t="e">
        <f aca="false">VLOOKUP(A224,'Inputs-Summary'!$A$32:$E$41,5,FALSE())</f>
        <v>#N/A</v>
      </c>
      <c r="C224" s="122"/>
      <c r="D224" s="123" t="e">
        <f aca="false">B224+C224</f>
        <v>#N/A</v>
      </c>
      <c r="E224" s="111" t="n">
        <f aca="false">IF(Z224=0,0,IF(AND(Z224=1,$H$3=1),D224*U224,IF($H$3=2,D224,"N/A")))</f>
        <v>0</v>
      </c>
      <c r="F224" s="111" t="n">
        <f aca="false">E224*Y224</f>
        <v>0</v>
      </c>
      <c r="G224" s="124" t="n">
        <f aca="false">VLOOKUP($A224,Table,MATCH(G$4,Curves,0))</f>
        <v>3</v>
      </c>
      <c r="H224" s="125" t="n">
        <f aca="false">G224+$H$7</f>
        <v>3</v>
      </c>
      <c r="I224" s="124" t="n">
        <f aca="false">H224</f>
        <v>3</v>
      </c>
      <c r="J224" s="124" t="n">
        <f aca="false">VLOOKUP($A224,Table,MATCH(J$4,Curves,0))</f>
        <v>4</v>
      </c>
      <c r="K224" s="125" t="n">
        <f aca="false">J224+$K$7</f>
        <v>4</v>
      </c>
      <c r="L224" s="126" t="n">
        <f aca="false">K224</f>
        <v>4</v>
      </c>
      <c r="M224" s="124" t="n">
        <f aca="false">VLOOKUP($A224,Table,MATCH(M$4,Curves,0))</f>
        <v>4</v>
      </c>
      <c r="N224" s="125" t="n">
        <f aca="false">M224+$N$7</f>
        <v>4</v>
      </c>
      <c r="O224" s="126" t="n">
        <v>-0.04</v>
      </c>
      <c r="P224" s="114"/>
      <c r="Q224" s="126" t="n">
        <f aca="false">M224+J224+G224</f>
        <v>11</v>
      </c>
      <c r="R224" s="126" t="n">
        <f aca="false">N224+K224+H224</f>
        <v>11</v>
      </c>
      <c r="S224" s="126" t="n">
        <f aca="false">O224+L224+I224</f>
        <v>6.96</v>
      </c>
      <c r="T224" s="127"/>
      <c r="U224" s="5" t="n">
        <f aca="false">A225-A224</f>
        <v>31</v>
      </c>
      <c r="V224" s="128" t="n">
        <f aca="false">CHOOSE(F$3,A225+24,A224)</f>
        <v>43800</v>
      </c>
      <c r="W224" s="5" t="n">
        <f aca="false">V224-C$3</f>
        <v>6569</v>
      </c>
      <c r="X224" s="124" t="n">
        <f aca="false">VLOOKUP($A224,Table,MATCH(X$4,Curves,0))</f>
        <v>2</v>
      </c>
      <c r="Y224" s="129" t="n">
        <f aca="false">1/(1+CHOOSE(F$3,(X225+($K$3/10000))/2,(X224+($K$3/10000))/2))^(2*W224/365.25)</f>
        <v>1.48588802754145E-011</v>
      </c>
      <c r="Z224" s="5" t="n">
        <f aca="false">IF(AND(mthbeg&lt;=A224,mthend&gt;=A224),1,0)</f>
        <v>0</v>
      </c>
      <c r="AA224" s="5" t="n">
        <f aca="false">U224*Z224</f>
        <v>0</v>
      </c>
      <c r="AC224" s="115" t="n">
        <f aca="false">IF(G217=2,F224*(S224-Q224),F224*(Q224-S224))</f>
        <v>0</v>
      </c>
      <c r="AE224" s="116" t="n">
        <f aca="false">IF($G$3=1,F224*(R224-Q224),F224*(Q224-R224))</f>
        <v>0</v>
      </c>
      <c r="AG224" s="116" t="n">
        <f aca="false">AC224+AE224</f>
        <v>0</v>
      </c>
    </row>
    <row r="225" customFormat="false" ht="12" hidden="false" customHeight="true" outlineLevel="0" collapsed="false">
      <c r="A225" s="120" t="n">
        <f aca="false">EDATE(A224,1)</f>
        <v>43831</v>
      </c>
      <c r="B225" s="121" t="e">
        <f aca="false">VLOOKUP(A225,'Inputs-Summary'!$A$32:$E$41,5,FALSE())</f>
        <v>#N/A</v>
      </c>
      <c r="C225" s="122"/>
      <c r="D225" s="123" t="e">
        <f aca="false">B225+C225</f>
        <v>#N/A</v>
      </c>
      <c r="E225" s="111" t="n">
        <f aca="false">IF(Z225=0,0,IF(AND(Z225=1,$H$3=1),D225*U225,IF($H$3=2,D225,"N/A")))</f>
        <v>0</v>
      </c>
      <c r="F225" s="111" t="n">
        <f aca="false">E225*Y225</f>
        <v>0</v>
      </c>
      <c r="G225" s="124" t="n">
        <f aca="false">VLOOKUP($A225,Table,MATCH(G$4,Curves,0))</f>
        <v>3</v>
      </c>
      <c r="H225" s="125" t="n">
        <f aca="false">G225+$H$7</f>
        <v>3</v>
      </c>
      <c r="I225" s="124" t="n">
        <f aca="false">H225</f>
        <v>3</v>
      </c>
      <c r="J225" s="124" t="n">
        <f aca="false">VLOOKUP($A225,Table,MATCH(J$4,Curves,0))</f>
        <v>4</v>
      </c>
      <c r="K225" s="125" t="n">
        <f aca="false">J225+$K$7</f>
        <v>4</v>
      </c>
      <c r="L225" s="126" t="n">
        <f aca="false">K225</f>
        <v>4</v>
      </c>
      <c r="M225" s="124" t="n">
        <f aca="false">VLOOKUP($A225,Table,MATCH(M$4,Curves,0))</f>
        <v>4</v>
      </c>
      <c r="N225" s="125" t="n">
        <f aca="false">M225+$N$7</f>
        <v>4</v>
      </c>
      <c r="O225" s="126" t="n">
        <v>-0.04</v>
      </c>
      <c r="P225" s="114"/>
      <c r="Q225" s="126" t="n">
        <f aca="false">M225+J225+G225</f>
        <v>11</v>
      </c>
      <c r="R225" s="126" t="n">
        <f aca="false">N225+K225+H225</f>
        <v>11</v>
      </c>
      <c r="S225" s="126" t="n">
        <f aca="false">O225+L225+I225</f>
        <v>6.96</v>
      </c>
      <c r="T225" s="127"/>
      <c r="U225" s="5" t="n">
        <f aca="false">A226-A225</f>
        <v>31</v>
      </c>
      <c r="V225" s="128" t="n">
        <f aca="false">CHOOSE(F$3,A226+24,A225)</f>
        <v>43831</v>
      </c>
      <c r="W225" s="5" t="n">
        <f aca="false">V225-C$3</f>
        <v>6600</v>
      </c>
      <c r="X225" s="124" t="n">
        <f aca="false">VLOOKUP($A225,Table,MATCH(X$4,Curves,0))</f>
        <v>2</v>
      </c>
      <c r="Y225" s="129" t="n">
        <f aca="false">1/(1+CHOOSE(F$3,(X226+($K$3/10000))/2,(X225+($K$3/10000))/2))^(2*W225/365.25)</f>
        <v>1.32095255844162E-011</v>
      </c>
      <c r="Z225" s="5" t="n">
        <f aca="false">IF(AND(mthbeg&lt;=A225,mthend&gt;=A225),1,0)</f>
        <v>0</v>
      </c>
      <c r="AA225" s="5" t="n">
        <f aca="false">U225*Z225</f>
        <v>0</v>
      </c>
      <c r="AC225" s="115" t="n">
        <f aca="false">IF(G218=2,F225*(S225-Q225),F225*(Q225-S225))</f>
        <v>0</v>
      </c>
      <c r="AE225" s="116" t="n">
        <f aca="false">IF($G$3=1,F225*(R225-Q225),F225*(Q225-R225))</f>
        <v>0</v>
      </c>
      <c r="AG225" s="116" t="n">
        <f aca="false">AC225+AE225</f>
        <v>0</v>
      </c>
    </row>
    <row r="226" customFormat="false" ht="12" hidden="false" customHeight="true" outlineLevel="0" collapsed="false">
      <c r="A226" s="120" t="n">
        <f aca="false">EDATE(A225,1)</f>
        <v>43862</v>
      </c>
      <c r="B226" s="121" t="e">
        <f aca="false">VLOOKUP(A226,'Inputs-Summary'!$A$32:$E$41,5,FALSE())</f>
        <v>#N/A</v>
      </c>
      <c r="C226" s="122"/>
      <c r="D226" s="123" t="e">
        <f aca="false">B226+C226</f>
        <v>#N/A</v>
      </c>
      <c r="E226" s="111" t="n">
        <f aca="false">IF(Z226=0,0,IF(AND(Z226=1,$H$3=1),D226*U226,IF($H$3=2,D226,"N/A")))</f>
        <v>0</v>
      </c>
      <c r="F226" s="111" t="n">
        <f aca="false">E226*Y226</f>
        <v>0</v>
      </c>
      <c r="G226" s="124" t="n">
        <f aca="false">VLOOKUP($A226,Table,MATCH(G$4,Curves,0))</f>
        <v>3</v>
      </c>
      <c r="H226" s="125" t="n">
        <f aca="false">G226+$H$7</f>
        <v>3</v>
      </c>
      <c r="I226" s="124" t="n">
        <f aca="false">H226</f>
        <v>3</v>
      </c>
      <c r="J226" s="124" t="n">
        <f aca="false">VLOOKUP($A226,Table,MATCH(J$4,Curves,0))</f>
        <v>4</v>
      </c>
      <c r="K226" s="125" t="n">
        <f aca="false">J226+$K$7</f>
        <v>4</v>
      </c>
      <c r="L226" s="126" t="n">
        <f aca="false">K226</f>
        <v>4</v>
      </c>
      <c r="M226" s="124" t="n">
        <f aca="false">VLOOKUP($A226,Table,MATCH(M$4,Curves,0))</f>
        <v>4</v>
      </c>
      <c r="N226" s="125" t="n">
        <f aca="false">M226+$N$7</f>
        <v>4</v>
      </c>
      <c r="O226" s="126" t="n">
        <v>-0.04</v>
      </c>
      <c r="P226" s="114"/>
      <c r="Q226" s="126" t="n">
        <f aca="false">M226+J226+G226</f>
        <v>11</v>
      </c>
      <c r="R226" s="126" t="n">
        <f aca="false">N226+K226+H226</f>
        <v>11</v>
      </c>
      <c r="S226" s="126" t="n">
        <f aca="false">O226+L226+I226</f>
        <v>6.96</v>
      </c>
      <c r="T226" s="127"/>
      <c r="U226" s="5" t="n">
        <f aca="false">A227-A226</f>
        <v>29</v>
      </c>
      <c r="V226" s="128" t="n">
        <f aca="false">CHOOSE(F$3,A227+24,A226)</f>
        <v>43862</v>
      </c>
      <c r="W226" s="5" t="n">
        <f aca="false">V226-C$3</f>
        <v>6631</v>
      </c>
      <c r="X226" s="124" t="n">
        <f aca="false">VLOOKUP($A226,Table,MATCH(X$4,Curves,0))</f>
        <v>2</v>
      </c>
      <c r="Y226" s="129" t="n">
        <f aca="false">1/(1+CHOOSE(F$3,(X227+($K$3/10000))/2,(X226+($K$3/10000))/2))^(2*W226/365.25)</f>
        <v>1.17432513709705E-011</v>
      </c>
      <c r="Z226" s="5" t="n">
        <f aca="false">IF(AND(mthbeg&lt;=A226,mthend&gt;=A226),1,0)</f>
        <v>0</v>
      </c>
      <c r="AA226" s="5" t="n">
        <f aca="false">U226*Z226</f>
        <v>0</v>
      </c>
      <c r="AC226" s="115" t="n">
        <f aca="false">IF(G219=2,F226*(S226-Q226),F226*(Q226-S226))</f>
        <v>0</v>
      </c>
      <c r="AE226" s="116" t="n">
        <f aca="false">IF($G$3=1,F226*(R226-Q226),F226*(Q226-R226))</f>
        <v>0</v>
      </c>
      <c r="AG226" s="116" t="n">
        <f aca="false">AC226+AE226</f>
        <v>0</v>
      </c>
    </row>
    <row r="227" customFormat="false" ht="12" hidden="false" customHeight="true" outlineLevel="0" collapsed="false">
      <c r="A227" s="120" t="n">
        <f aca="false">EDATE(A226,1)</f>
        <v>43891</v>
      </c>
      <c r="B227" s="121" t="e">
        <f aca="false">VLOOKUP(A227,'Inputs-Summary'!$A$32:$E$41,5,FALSE())</f>
        <v>#N/A</v>
      </c>
      <c r="C227" s="122"/>
      <c r="D227" s="123" t="e">
        <f aca="false">B227+C227</f>
        <v>#N/A</v>
      </c>
      <c r="E227" s="111" t="n">
        <f aca="false">IF(Z227=0,0,IF(AND(Z227=1,$H$3=1),D227*U227,IF($H$3=2,D227,"N/A")))</f>
        <v>0</v>
      </c>
      <c r="F227" s="111" t="n">
        <f aca="false">E227*Y227</f>
        <v>0</v>
      </c>
      <c r="G227" s="124" t="n">
        <f aca="false">VLOOKUP($A227,Table,MATCH(G$4,Curves,0))</f>
        <v>3</v>
      </c>
      <c r="H227" s="125" t="n">
        <f aca="false">G227+$H$7</f>
        <v>3</v>
      </c>
      <c r="I227" s="124" t="n">
        <f aca="false">H227</f>
        <v>3</v>
      </c>
      <c r="J227" s="124" t="n">
        <f aca="false">VLOOKUP($A227,Table,MATCH(J$4,Curves,0))</f>
        <v>4</v>
      </c>
      <c r="K227" s="125" t="n">
        <f aca="false">J227+$K$7</f>
        <v>4</v>
      </c>
      <c r="L227" s="126" t="n">
        <f aca="false">K227</f>
        <v>4</v>
      </c>
      <c r="M227" s="124" t="n">
        <f aca="false">VLOOKUP($A227,Table,MATCH(M$4,Curves,0))</f>
        <v>4</v>
      </c>
      <c r="N227" s="125" t="n">
        <f aca="false">M227+$N$7</f>
        <v>4</v>
      </c>
      <c r="O227" s="126" t="n">
        <v>-0.04</v>
      </c>
      <c r="P227" s="114"/>
      <c r="Q227" s="126" t="n">
        <f aca="false">M227+J227+G227</f>
        <v>11</v>
      </c>
      <c r="R227" s="126" t="n">
        <f aca="false">N227+K227+H227</f>
        <v>11</v>
      </c>
      <c r="S227" s="126" t="n">
        <f aca="false">O227+L227+I227</f>
        <v>6.96</v>
      </c>
      <c r="T227" s="127"/>
      <c r="U227" s="5" t="n">
        <f aca="false">A228-A227</f>
        <v>31</v>
      </c>
      <c r="V227" s="128" t="n">
        <f aca="false">CHOOSE(F$3,A228+24,A227)</f>
        <v>43891</v>
      </c>
      <c r="W227" s="5" t="n">
        <f aca="false">V227-C$3</f>
        <v>6660</v>
      </c>
      <c r="X227" s="124" t="n">
        <f aca="false">VLOOKUP($A227,Table,MATCH(X$4,Curves,0))</f>
        <v>2</v>
      </c>
      <c r="Y227" s="129" t="n">
        <f aca="false">1/(1+CHOOSE(F$3,(X228+($K$3/10000))/2,(X227+($K$3/10000))/2))^(2*W227/365.25)</f>
        <v>1.051928435658E-011</v>
      </c>
      <c r="Z227" s="5" t="n">
        <f aca="false">IF(AND(mthbeg&lt;=A227,mthend&gt;=A227),1,0)</f>
        <v>0</v>
      </c>
      <c r="AA227" s="5" t="n">
        <f aca="false">U227*Z227</f>
        <v>0</v>
      </c>
      <c r="AC227" s="115" t="n">
        <f aca="false">IF(G220=2,F227*(S227-Q227),F227*(Q227-S227))</f>
        <v>0</v>
      </c>
      <c r="AE227" s="116" t="n">
        <f aca="false">IF($G$3=1,F227*(R227-Q227),F227*(Q227-R227))</f>
        <v>0</v>
      </c>
      <c r="AG227" s="116" t="n">
        <f aca="false">AC227+AE227</f>
        <v>0</v>
      </c>
    </row>
    <row r="228" customFormat="false" ht="12" hidden="false" customHeight="true" outlineLevel="0" collapsed="false">
      <c r="A228" s="120" t="n">
        <f aca="false">EDATE(A227,1)</f>
        <v>43922</v>
      </c>
      <c r="B228" s="121" t="e">
        <f aca="false">VLOOKUP(A228,'Inputs-Summary'!$A$32:$E$41,5,FALSE())</f>
        <v>#N/A</v>
      </c>
      <c r="C228" s="122"/>
      <c r="D228" s="123" t="e">
        <f aca="false">B228+C228</f>
        <v>#N/A</v>
      </c>
      <c r="E228" s="111" t="n">
        <f aca="false">IF(Z228=0,0,IF(AND(Z228=1,$H$3=1),D228*U228,IF($H$3=2,D228,"N/A")))</f>
        <v>0</v>
      </c>
      <c r="F228" s="111" t="n">
        <f aca="false">E228*Y228</f>
        <v>0</v>
      </c>
      <c r="G228" s="124" t="n">
        <f aca="false">VLOOKUP($A228,Table,MATCH(G$4,Curves,0))</f>
        <v>3</v>
      </c>
      <c r="H228" s="125" t="n">
        <f aca="false">G228+$H$7</f>
        <v>3</v>
      </c>
      <c r="I228" s="124" t="n">
        <f aca="false">H228</f>
        <v>3</v>
      </c>
      <c r="J228" s="124" t="n">
        <f aca="false">VLOOKUP($A228,Table,MATCH(J$4,Curves,0))</f>
        <v>4</v>
      </c>
      <c r="K228" s="125" t="n">
        <f aca="false">J228+$K$7</f>
        <v>4</v>
      </c>
      <c r="L228" s="126" t="n">
        <f aca="false">K228</f>
        <v>4</v>
      </c>
      <c r="M228" s="124" t="n">
        <f aca="false">VLOOKUP($A228,Table,MATCH(M$4,Curves,0))</f>
        <v>4</v>
      </c>
      <c r="N228" s="125" t="n">
        <f aca="false">M228+$N$7</f>
        <v>4</v>
      </c>
      <c r="O228" s="126" t="n">
        <v>-0.04</v>
      </c>
      <c r="P228" s="114"/>
      <c r="Q228" s="126" t="n">
        <f aca="false">M228+J228+G228</f>
        <v>11</v>
      </c>
      <c r="R228" s="126" t="n">
        <f aca="false">N228+K228+H228</f>
        <v>11</v>
      </c>
      <c r="S228" s="126" t="n">
        <f aca="false">O228+L228+I228</f>
        <v>6.96</v>
      </c>
      <c r="T228" s="127"/>
      <c r="U228" s="5" t="n">
        <f aca="false">A229-A228</f>
        <v>30</v>
      </c>
      <c r="V228" s="128" t="n">
        <f aca="false">CHOOSE(F$3,A229+24,A228)</f>
        <v>43922</v>
      </c>
      <c r="W228" s="5" t="n">
        <f aca="false">V228-C$3</f>
        <v>6691</v>
      </c>
      <c r="X228" s="124" t="n">
        <f aca="false">VLOOKUP($A228,Table,MATCH(X$4,Curves,0))</f>
        <v>2</v>
      </c>
      <c r="Y228" s="129" t="n">
        <f aca="false">1/(1+CHOOSE(F$3,(X229+($K$3/10000))/2,(X228+($K$3/10000))/2))^(2*W228/365.25)</f>
        <v>9.35163035588276E-012</v>
      </c>
      <c r="Z228" s="5" t="n">
        <f aca="false">IF(AND(mthbeg&lt;=A228,mthend&gt;=A228),1,0)</f>
        <v>0</v>
      </c>
      <c r="AA228" s="5" t="n">
        <f aca="false">U228*Z228</f>
        <v>0</v>
      </c>
      <c r="AC228" s="115" t="n">
        <f aca="false">IF(G221=2,F228*(S228-Q228),F228*(Q228-S228))</f>
        <v>0</v>
      </c>
      <c r="AE228" s="116" t="n">
        <f aca="false">IF($G$3=1,F228*(R228-Q228),F228*(Q228-R228))</f>
        <v>0</v>
      </c>
      <c r="AG228" s="116" t="n">
        <f aca="false">AC228+AE228</f>
        <v>0</v>
      </c>
    </row>
    <row r="229" customFormat="false" ht="12" hidden="false" customHeight="true" outlineLevel="0" collapsed="false">
      <c r="A229" s="120" t="n">
        <f aca="false">EDATE(A228,1)</f>
        <v>43952</v>
      </c>
      <c r="B229" s="121" t="e">
        <f aca="false">VLOOKUP(A229,'Inputs-Summary'!$A$32:$E$41,5,FALSE())</f>
        <v>#N/A</v>
      </c>
      <c r="C229" s="122"/>
      <c r="D229" s="123" t="e">
        <f aca="false">B229+C229</f>
        <v>#N/A</v>
      </c>
      <c r="E229" s="111" t="n">
        <f aca="false">IF(Z229=0,0,IF(AND(Z229=1,$H$3=1),D229*U229,IF($H$3=2,D229,"N/A")))</f>
        <v>0</v>
      </c>
      <c r="F229" s="111" t="n">
        <f aca="false">E229*Y229</f>
        <v>0</v>
      </c>
      <c r="G229" s="124" t="n">
        <f aca="false">VLOOKUP($A229,Table,MATCH(G$4,Curves,0))</f>
        <v>3</v>
      </c>
      <c r="H229" s="125" t="n">
        <f aca="false">G229+$H$7</f>
        <v>3</v>
      </c>
      <c r="I229" s="124" t="n">
        <f aca="false">H229</f>
        <v>3</v>
      </c>
      <c r="J229" s="124" t="n">
        <f aca="false">VLOOKUP($A229,Table,MATCH(J$4,Curves,0))</f>
        <v>4</v>
      </c>
      <c r="K229" s="125" t="n">
        <f aca="false">J229+$K$7</f>
        <v>4</v>
      </c>
      <c r="L229" s="126" t="n">
        <f aca="false">K229</f>
        <v>4</v>
      </c>
      <c r="M229" s="124" t="n">
        <f aca="false">VLOOKUP($A229,Table,MATCH(M$4,Curves,0))</f>
        <v>4</v>
      </c>
      <c r="N229" s="125" t="n">
        <f aca="false">M229+$N$7</f>
        <v>4</v>
      </c>
      <c r="O229" s="126" t="n">
        <v>-0.04</v>
      </c>
      <c r="P229" s="114"/>
      <c r="Q229" s="126" t="n">
        <f aca="false">M229+J229+G229</f>
        <v>11</v>
      </c>
      <c r="R229" s="126" t="n">
        <f aca="false">N229+K229+H229</f>
        <v>11</v>
      </c>
      <c r="S229" s="126" t="n">
        <f aca="false">O229+L229+I229</f>
        <v>6.96</v>
      </c>
      <c r="T229" s="127"/>
      <c r="U229" s="5" t="n">
        <f aca="false">A230-A229</f>
        <v>31</v>
      </c>
      <c r="V229" s="128" t="n">
        <f aca="false">CHOOSE(F$3,A230+24,A229)</f>
        <v>43952</v>
      </c>
      <c r="W229" s="5" t="n">
        <f aca="false">V229-C$3</f>
        <v>6721</v>
      </c>
      <c r="X229" s="124" t="n">
        <f aca="false">VLOOKUP($A229,Table,MATCH(X$4,Curves,0))</f>
        <v>2</v>
      </c>
      <c r="Y229" s="129" t="n">
        <f aca="false">1/(1+CHOOSE(F$3,(X230+($K$3/10000))/2,(X229+($K$3/10000))/2))^(2*W229/365.25)</f>
        <v>8.34520134529526E-012</v>
      </c>
      <c r="Z229" s="5" t="n">
        <f aca="false">IF(AND(mthbeg&lt;=A229,mthend&gt;=A229),1,0)</f>
        <v>0</v>
      </c>
      <c r="AA229" s="5" t="n">
        <f aca="false">U229*Z229</f>
        <v>0</v>
      </c>
      <c r="AC229" s="115" t="n">
        <f aca="false">IF(G222=2,F229*(S229-Q229),F229*(Q229-S229))</f>
        <v>0</v>
      </c>
      <c r="AE229" s="116" t="n">
        <f aca="false">IF($G$3=1,F229*(R229-Q229),F229*(Q229-R229))</f>
        <v>0</v>
      </c>
      <c r="AG229" s="116" t="n">
        <f aca="false">AC229+AE229</f>
        <v>0</v>
      </c>
    </row>
    <row r="230" customFormat="false" ht="12" hidden="false" customHeight="true" outlineLevel="0" collapsed="false">
      <c r="A230" s="120" t="n">
        <f aca="false">EDATE(A229,1)</f>
        <v>43983</v>
      </c>
      <c r="B230" s="121" t="e">
        <f aca="false">VLOOKUP(A230,'Inputs-Summary'!$A$32:$E$41,5,FALSE())</f>
        <v>#N/A</v>
      </c>
      <c r="C230" s="122"/>
      <c r="D230" s="123" t="e">
        <f aca="false">B230+C230</f>
        <v>#N/A</v>
      </c>
      <c r="E230" s="111" t="n">
        <f aca="false">IF(Z230=0,0,IF(AND(Z230=1,$H$3=1),D230*U230,IF($H$3=2,D230,"N/A")))</f>
        <v>0</v>
      </c>
      <c r="F230" s="111" t="n">
        <f aca="false">E230*Y230</f>
        <v>0</v>
      </c>
      <c r="G230" s="124" t="n">
        <f aca="false">VLOOKUP($A230,Table,MATCH(G$4,Curves,0))</f>
        <v>3</v>
      </c>
      <c r="H230" s="125" t="n">
        <f aca="false">G230+$H$7</f>
        <v>3</v>
      </c>
      <c r="I230" s="124" t="n">
        <f aca="false">H230</f>
        <v>3</v>
      </c>
      <c r="J230" s="124" t="n">
        <f aca="false">VLOOKUP($A230,Table,MATCH(J$4,Curves,0))</f>
        <v>4</v>
      </c>
      <c r="K230" s="125" t="n">
        <f aca="false">J230+$K$7</f>
        <v>4</v>
      </c>
      <c r="L230" s="126" t="n">
        <f aca="false">K230</f>
        <v>4</v>
      </c>
      <c r="M230" s="124" t="n">
        <f aca="false">VLOOKUP($A230,Table,MATCH(M$4,Curves,0))</f>
        <v>4</v>
      </c>
      <c r="N230" s="125" t="n">
        <f aca="false">M230+$N$7</f>
        <v>4</v>
      </c>
      <c r="O230" s="126" t="n">
        <v>-0.04</v>
      </c>
      <c r="P230" s="114"/>
      <c r="Q230" s="126" t="n">
        <f aca="false">M230+J230+G230</f>
        <v>11</v>
      </c>
      <c r="R230" s="126" t="n">
        <f aca="false">N230+K230+H230</f>
        <v>11</v>
      </c>
      <c r="S230" s="126" t="n">
        <f aca="false">O230+L230+I230</f>
        <v>6.96</v>
      </c>
      <c r="T230" s="127"/>
      <c r="U230" s="5" t="n">
        <f aca="false">A231-A230</f>
        <v>30</v>
      </c>
      <c r="V230" s="128" t="n">
        <f aca="false">CHOOSE(F$3,A231+24,A230)</f>
        <v>43983</v>
      </c>
      <c r="W230" s="5" t="n">
        <f aca="false">V230-C$3</f>
        <v>6752</v>
      </c>
      <c r="X230" s="124" t="n">
        <f aca="false">VLOOKUP($A230,Table,MATCH(X$4,Curves,0))</f>
        <v>2</v>
      </c>
      <c r="Y230" s="129" t="n">
        <f aca="false">1/(1+CHOOSE(F$3,(X231+($K$3/10000))/2,(X230+($K$3/10000))/2))^(2*W230/365.25)</f>
        <v>7.41887333597939E-012</v>
      </c>
      <c r="Z230" s="5" t="n">
        <f aca="false">IF(AND(mthbeg&lt;=A230,mthend&gt;=A230),1,0)</f>
        <v>0</v>
      </c>
      <c r="AA230" s="5" t="n">
        <f aca="false">U230*Z230</f>
        <v>0</v>
      </c>
      <c r="AC230" s="115" t="n">
        <f aca="false">IF(G223=2,F230*(S230-Q230),F230*(Q230-S230))</f>
        <v>0</v>
      </c>
      <c r="AE230" s="116" t="n">
        <f aca="false">IF($G$3=1,F230*(R230-Q230),F230*(Q230-R230))</f>
        <v>0</v>
      </c>
      <c r="AG230" s="116" t="n">
        <f aca="false">AC230+AE230</f>
        <v>0</v>
      </c>
    </row>
    <row r="231" customFormat="false" ht="12" hidden="false" customHeight="true" outlineLevel="0" collapsed="false">
      <c r="A231" s="120" t="n">
        <f aca="false">EDATE(A230,1)</f>
        <v>44013</v>
      </c>
      <c r="B231" s="121" t="e">
        <f aca="false">VLOOKUP(A231,'Inputs-Summary'!$A$32:$E$41,5,FALSE())</f>
        <v>#N/A</v>
      </c>
      <c r="C231" s="122"/>
      <c r="D231" s="123" t="e">
        <f aca="false">B231+C231</f>
        <v>#N/A</v>
      </c>
      <c r="E231" s="111" t="n">
        <f aca="false">IF(Z231=0,0,IF(AND(Z231=1,$H$3=1),D231*U231,IF($H$3=2,D231,"N/A")))</f>
        <v>0</v>
      </c>
      <c r="F231" s="111" t="n">
        <f aca="false">E231*Y231</f>
        <v>0</v>
      </c>
      <c r="G231" s="124" t="n">
        <f aca="false">VLOOKUP($A231,Table,MATCH(G$4,Curves,0))</f>
        <v>3</v>
      </c>
      <c r="H231" s="125" t="n">
        <f aca="false">G231+$H$7</f>
        <v>3</v>
      </c>
      <c r="I231" s="124" t="n">
        <f aca="false">H231</f>
        <v>3</v>
      </c>
      <c r="J231" s="124" t="n">
        <f aca="false">VLOOKUP($A231,Table,MATCH(J$4,Curves,0))</f>
        <v>4</v>
      </c>
      <c r="K231" s="125" t="n">
        <f aca="false">J231+$K$7</f>
        <v>4</v>
      </c>
      <c r="L231" s="126" t="n">
        <f aca="false">K231</f>
        <v>4</v>
      </c>
      <c r="M231" s="124" t="n">
        <f aca="false">VLOOKUP($A231,Table,MATCH(M$4,Curves,0))</f>
        <v>4</v>
      </c>
      <c r="N231" s="125" t="n">
        <f aca="false">M231+$N$7</f>
        <v>4</v>
      </c>
      <c r="O231" s="126" t="n">
        <v>-0.04</v>
      </c>
      <c r="P231" s="114"/>
      <c r="Q231" s="126" t="n">
        <f aca="false">M231+J231+G231</f>
        <v>11</v>
      </c>
      <c r="R231" s="126" t="n">
        <f aca="false">N231+K231+H231</f>
        <v>11</v>
      </c>
      <c r="S231" s="126" t="n">
        <f aca="false">O231+L231+I231</f>
        <v>6.96</v>
      </c>
      <c r="T231" s="127"/>
      <c r="U231" s="5" t="n">
        <f aca="false">A232-A231</f>
        <v>31</v>
      </c>
      <c r="V231" s="128" t="n">
        <f aca="false">CHOOSE(F$3,A232+24,A231)</f>
        <v>44013</v>
      </c>
      <c r="W231" s="5" t="n">
        <f aca="false">V231-C$3</f>
        <v>6782</v>
      </c>
      <c r="X231" s="124" t="n">
        <f aca="false">VLOOKUP($A231,Table,MATCH(X$4,Curves,0))</f>
        <v>2</v>
      </c>
      <c r="Y231" s="129" t="n">
        <f aca="false">1/(1+CHOOSE(F$3,(X232+($K$3/10000))/2,(X231+($K$3/10000))/2))^(2*W231/365.25)</f>
        <v>6.62044898995009E-012</v>
      </c>
      <c r="Z231" s="5" t="n">
        <f aca="false">IF(AND(mthbeg&lt;=A231,mthend&gt;=A231),1,0)</f>
        <v>0</v>
      </c>
      <c r="AA231" s="5" t="n">
        <f aca="false">U231*Z231</f>
        <v>0</v>
      </c>
      <c r="AC231" s="115" t="n">
        <f aca="false">IF(G224=2,F231*(S231-Q231),F231*(Q231-S231))</f>
        <v>0</v>
      </c>
      <c r="AE231" s="116" t="n">
        <f aca="false">IF($G$3=1,F231*(R231-Q231),F231*(Q231-R231))</f>
        <v>0</v>
      </c>
      <c r="AG231" s="116" t="n">
        <f aca="false">AC231+AE231</f>
        <v>0</v>
      </c>
    </row>
    <row r="232" customFormat="false" ht="12" hidden="false" customHeight="true" outlineLevel="0" collapsed="false">
      <c r="A232" s="120" t="n">
        <f aca="false">EDATE(A231,1)</f>
        <v>44044</v>
      </c>
      <c r="B232" s="121" t="e">
        <f aca="false">VLOOKUP(A232,'Inputs-Summary'!$A$32:$E$41,5,FALSE())</f>
        <v>#N/A</v>
      </c>
      <c r="C232" s="122"/>
      <c r="D232" s="123" t="e">
        <f aca="false">B232+C232</f>
        <v>#N/A</v>
      </c>
      <c r="E232" s="111" t="n">
        <f aca="false">IF(Z232=0,0,IF(AND(Z232=1,$H$3=1),D232*U232,IF($H$3=2,D232,"N/A")))</f>
        <v>0</v>
      </c>
      <c r="F232" s="111" t="n">
        <f aca="false">E232*Y232</f>
        <v>0</v>
      </c>
      <c r="G232" s="124" t="n">
        <f aca="false">VLOOKUP($A232,Table,MATCH(G$4,Curves,0))</f>
        <v>3</v>
      </c>
      <c r="H232" s="125" t="n">
        <f aca="false">G232+$H$7</f>
        <v>3</v>
      </c>
      <c r="I232" s="124" t="n">
        <f aca="false">H232</f>
        <v>3</v>
      </c>
      <c r="J232" s="124" t="n">
        <f aca="false">VLOOKUP($A232,Table,MATCH(J$4,Curves,0))</f>
        <v>4</v>
      </c>
      <c r="K232" s="125" t="n">
        <f aca="false">J232+$K$7</f>
        <v>4</v>
      </c>
      <c r="L232" s="126" t="n">
        <f aca="false">K232</f>
        <v>4</v>
      </c>
      <c r="M232" s="124" t="n">
        <f aca="false">VLOOKUP($A232,Table,MATCH(M$4,Curves,0))</f>
        <v>4</v>
      </c>
      <c r="N232" s="125" t="n">
        <f aca="false">M232+$N$7</f>
        <v>4</v>
      </c>
      <c r="O232" s="126" t="n">
        <v>-0.04</v>
      </c>
      <c r="P232" s="114"/>
      <c r="Q232" s="126" t="n">
        <f aca="false">M232+J232+G232</f>
        <v>11</v>
      </c>
      <c r="R232" s="126" t="n">
        <f aca="false">N232+K232+H232</f>
        <v>11</v>
      </c>
      <c r="S232" s="126" t="n">
        <f aca="false">O232+L232+I232</f>
        <v>6.96</v>
      </c>
      <c r="T232" s="127"/>
      <c r="U232" s="5" t="n">
        <f aca="false">A233-A232</f>
        <v>31</v>
      </c>
      <c r="V232" s="128" t="n">
        <f aca="false">CHOOSE(F$3,A233+24,A232)</f>
        <v>44044</v>
      </c>
      <c r="W232" s="5" t="n">
        <f aca="false">V232-C$3</f>
        <v>6813</v>
      </c>
      <c r="X232" s="124" t="n">
        <f aca="false">VLOOKUP($A232,Table,MATCH(X$4,Curves,0))</f>
        <v>2</v>
      </c>
      <c r="Y232" s="129" t="n">
        <f aca="false">1/(1+CHOOSE(F$3,(X233+($K$3/10000))/2,(X232+($K$3/10000))/2))^(2*W232/365.25)</f>
        <v>5.88557069524062E-012</v>
      </c>
      <c r="Z232" s="5" t="n">
        <f aca="false">IF(AND(mthbeg&lt;=A232,mthend&gt;=A232),1,0)</f>
        <v>0</v>
      </c>
      <c r="AA232" s="5" t="n">
        <f aca="false">U232*Z232</f>
        <v>0</v>
      </c>
      <c r="AC232" s="115" t="n">
        <f aca="false">IF(G225=2,F232*(S232-Q232),F232*(Q232-S232))</f>
        <v>0</v>
      </c>
      <c r="AE232" s="116" t="n">
        <f aca="false">IF($G$3=1,F232*(R232-Q232),F232*(Q232-R232))</f>
        <v>0</v>
      </c>
      <c r="AG232" s="116" t="n">
        <f aca="false">AC232+AE232</f>
        <v>0</v>
      </c>
    </row>
    <row r="233" customFormat="false" ht="12" hidden="false" customHeight="true" outlineLevel="0" collapsed="false">
      <c r="A233" s="120" t="n">
        <f aca="false">EDATE(A232,1)</f>
        <v>44075</v>
      </c>
      <c r="B233" s="121" t="e">
        <f aca="false">VLOOKUP(A233,'Inputs-Summary'!$A$32:$E$41,5,FALSE())</f>
        <v>#N/A</v>
      </c>
      <c r="C233" s="122"/>
      <c r="D233" s="123" t="e">
        <f aca="false">B233+C233</f>
        <v>#N/A</v>
      </c>
      <c r="E233" s="111" t="n">
        <f aca="false">IF(Z233=0,0,IF(AND(Z233=1,$H$3=1),D233*U233,IF($H$3=2,D233,"N/A")))</f>
        <v>0</v>
      </c>
      <c r="F233" s="111" t="n">
        <f aca="false">E233*Y233</f>
        <v>0</v>
      </c>
      <c r="G233" s="124" t="n">
        <f aca="false">VLOOKUP($A233,Table,MATCH(G$4,Curves,0))</f>
        <v>3</v>
      </c>
      <c r="H233" s="125" t="n">
        <f aca="false">G233+$H$7</f>
        <v>3</v>
      </c>
      <c r="I233" s="124" t="n">
        <f aca="false">H233</f>
        <v>3</v>
      </c>
      <c r="J233" s="124" t="n">
        <f aca="false">VLOOKUP($A233,Table,MATCH(J$4,Curves,0))</f>
        <v>4</v>
      </c>
      <c r="K233" s="125" t="n">
        <f aca="false">J233+$K$7</f>
        <v>4</v>
      </c>
      <c r="L233" s="126" t="n">
        <f aca="false">K233</f>
        <v>4</v>
      </c>
      <c r="M233" s="124" t="n">
        <f aca="false">VLOOKUP($A233,Table,MATCH(M$4,Curves,0))</f>
        <v>4</v>
      </c>
      <c r="N233" s="125" t="n">
        <f aca="false">M233+$N$7</f>
        <v>4</v>
      </c>
      <c r="O233" s="126" t="n">
        <v>-0.04</v>
      </c>
      <c r="P233" s="114"/>
      <c r="Q233" s="126" t="n">
        <f aca="false">M233+J233+G233</f>
        <v>11</v>
      </c>
      <c r="R233" s="126" t="n">
        <f aca="false">N233+K233+H233</f>
        <v>11</v>
      </c>
      <c r="S233" s="126" t="n">
        <f aca="false">O233+L233+I233</f>
        <v>6.96</v>
      </c>
      <c r="T233" s="127"/>
      <c r="U233" s="5" t="n">
        <f aca="false">A234-A233</f>
        <v>30</v>
      </c>
      <c r="V233" s="128" t="n">
        <f aca="false">CHOOSE(F$3,A234+24,A233)</f>
        <v>44075</v>
      </c>
      <c r="W233" s="5" t="n">
        <f aca="false">V233-C$3</f>
        <v>6844</v>
      </c>
      <c r="X233" s="124" t="n">
        <f aca="false">VLOOKUP($A233,Table,MATCH(X$4,Curves,0))</f>
        <v>2</v>
      </c>
      <c r="Y233" s="129" t="n">
        <f aca="false">1/(1+CHOOSE(F$3,(X234+($K$3/10000))/2,(X233+($K$3/10000))/2))^(2*W233/365.25)</f>
        <v>5.23226482996228E-012</v>
      </c>
      <c r="Z233" s="5" t="n">
        <f aca="false">IF(AND(mthbeg&lt;=A233,mthend&gt;=A233),1,0)</f>
        <v>0</v>
      </c>
      <c r="AA233" s="5" t="n">
        <f aca="false">U233*Z233</f>
        <v>0</v>
      </c>
      <c r="AC233" s="115" t="n">
        <f aca="false">IF(G226=2,F233*(S233-Q233),F233*(Q233-S233))</f>
        <v>0</v>
      </c>
      <c r="AE233" s="116" t="n">
        <f aca="false">IF($G$3=1,F233*(R233-Q233),F233*(Q233-R233))</f>
        <v>0</v>
      </c>
      <c r="AG233" s="116" t="n">
        <f aca="false">AC233+AE233</f>
        <v>0</v>
      </c>
    </row>
    <row r="234" customFormat="false" ht="12" hidden="false" customHeight="true" outlineLevel="0" collapsed="false">
      <c r="A234" s="120" t="n">
        <f aca="false">EDATE(A233,1)</f>
        <v>44105</v>
      </c>
      <c r="B234" s="121" t="e">
        <f aca="false">VLOOKUP(A234,'Inputs-Summary'!$A$32:$E$41,5,FALSE())</f>
        <v>#N/A</v>
      </c>
      <c r="C234" s="122"/>
      <c r="D234" s="123" t="e">
        <f aca="false">B234+C234</f>
        <v>#N/A</v>
      </c>
      <c r="E234" s="111" t="n">
        <f aca="false">IF(Z234=0,0,IF(AND(Z234=1,$H$3=1),D234*U234,IF($H$3=2,D234,"N/A")))</f>
        <v>0</v>
      </c>
      <c r="F234" s="111" t="n">
        <f aca="false">E234*Y234</f>
        <v>0</v>
      </c>
      <c r="G234" s="124" t="n">
        <f aca="false">VLOOKUP($A234,Table,MATCH(G$4,Curves,0))</f>
        <v>3</v>
      </c>
      <c r="H234" s="125" t="n">
        <f aca="false">G234+$H$7</f>
        <v>3</v>
      </c>
      <c r="I234" s="124" t="n">
        <f aca="false">H234</f>
        <v>3</v>
      </c>
      <c r="J234" s="124" t="n">
        <f aca="false">VLOOKUP($A234,Table,MATCH(J$4,Curves,0))</f>
        <v>4</v>
      </c>
      <c r="K234" s="125" t="n">
        <f aca="false">J234+$K$7</f>
        <v>4</v>
      </c>
      <c r="L234" s="126" t="n">
        <f aca="false">K234</f>
        <v>4</v>
      </c>
      <c r="M234" s="124" t="n">
        <f aca="false">VLOOKUP($A234,Table,MATCH(M$4,Curves,0))</f>
        <v>4</v>
      </c>
      <c r="N234" s="125" t="n">
        <f aca="false">M234+$N$7</f>
        <v>4</v>
      </c>
      <c r="O234" s="126" t="n">
        <v>-0.04</v>
      </c>
      <c r="P234" s="114"/>
      <c r="Q234" s="126" t="n">
        <f aca="false">M234+J234+G234</f>
        <v>11</v>
      </c>
      <c r="R234" s="126" t="n">
        <f aca="false">N234+K234+H234</f>
        <v>11</v>
      </c>
      <c r="S234" s="126" t="n">
        <f aca="false">O234+L234+I234</f>
        <v>6.96</v>
      </c>
      <c r="T234" s="127"/>
      <c r="U234" s="5" t="n">
        <f aca="false">A235-A234</f>
        <v>31</v>
      </c>
      <c r="V234" s="128" t="n">
        <f aca="false">CHOOSE(F$3,A235+24,A234)</f>
        <v>44105</v>
      </c>
      <c r="W234" s="5" t="n">
        <f aca="false">V234-C$3</f>
        <v>6874</v>
      </c>
      <c r="X234" s="124" t="n">
        <f aca="false">VLOOKUP($A234,Table,MATCH(X$4,Curves,0))</f>
        <v>2</v>
      </c>
      <c r="Y234" s="129" t="n">
        <f aca="false">1/(1+CHOOSE(F$3,(X235+($K$3/10000))/2,(X234+($K$3/10000))/2))^(2*W234/365.25)</f>
        <v>4.66916482327328E-012</v>
      </c>
      <c r="Z234" s="5" t="n">
        <f aca="false">IF(AND(mthbeg&lt;=A234,mthend&gt;=A234),1,0)</f>
        <v>0</v>
      </c>
      <c r="AA234" s="5" t="n">
        <f aca="false">U234*Z234</f>
        <v>0</v>
      </c>
      <c r="AC234" s="115" t="n">
        <f aca="false">IF(G227=2,F234*(S234-Q234),F234*(Q234-S234))</f>
        <v>0</v>
      </c>
      <c r="AE234" s="116" t="n">
        <f aca="false">IF($G$3=1,F234*(R234-Q234),F234*(Q234-R234))</f>
        <v>0</v>
      </c>
      <c r="AG234" s="116" t="n">
        <f aca="false">AC234+AE234</f>
        <v>0</v>
      </c>
    </row>
    <row r="235" customFormat="false" ht="12" hidden="false" customHeight="true" outlineLevel="0" collapsed="false">
      <c r="A235" s="120" t="n">
        <f aca="false">EDATE(A234,1)</f>
        <v>44136</v>
      </c>
      <c r="B235" s="121" t="e">
        <f aca="false">VLOOKUP(A235,'Inputs-Summary'!$A$32:$E$41,5,FALSE())</f>
        <v>#N/A</v>
      </c>
      <c r="C235" s="122"/>
      <c r="D235" s="123" t="e">
        <f aca="false">B235+C235</f>
        <v>#N/A</v>
      </c>
      <c r="E235" s="111" t="n">
        <f aca="false">IF(Z235=0,0,IF(AND(Z235=1,$H$3=1),D235*U235,IF($H$3=2,D235,"N/A")))</f>
        <v>0</v>
      </c>
      <c r="F235" s="111" t="n">
        <f aca="false">E235*Y235</f>
        <v>0</v>
      </c>
      <c r="G235" s="124" t="n">
        <f aca="false">VLOOKUP($A235,Table,MATCH(G$4,Curves,0))</f>
        <v>3</v>
      </c>
      <c r="H235" s="125" t="n">
        <f aca="false">G235+$H$7</f>
        <v>3</v>
      </c>
      <c r="I235" s="124" t="n">
        <f aca="false">H235</f>
        <v>3</v>
      </c>
      <c r="J235" s="124" t="n">
        <f aca="false">VLOOKUP($A235,Table,MATCH(J$4,Curves,0))</f>
        <v>4</v>
      </c>
      <c r="K235" s="125" t="n">
        <f aca="false">J235+$K$7</f>
        <v>4</v>
      </c>
      <c r="L235" s="126" t="n">
        <f aca="false">K235</f>
        <v>4</v>
      </c>
      <c r="M235" s="124" t="n">
        <f aca="false">VLOOKUP($A235,Table,MATCH(M$4,Curves,0))</f>
        <v>4</v>
      </c>
      <c r="N235" s="125" t="n">
        <f aca="false">M235+$N$7</f>
        <v>4</v>
      </c>
      <c r="O235" s="126" t="n">
        <v>-0.04</v>
      </c>
      <c r="P235" s="114"/>
      <c r="Q235" s="126" t="n">
        <f aca="false">M235+J235+G235</f>
        <v>11</v>
      </c>
      <c r="R235" s="126" t="n">
        <f aca="false">N235+K235+H235</f>
        <v>11</v>
      </c>
      <c r="S235" s="126" t="n">
        <f aca="false">O235+L235+I235</f>
        <v>6.96</v>
      </c>
      <c r="T235" s="127"/>
      <c r="U235" s="5" t="n">
        <f aca="false">A236-A235</f>
        <v>30</v>
      </c>
      <c r="V235" s="128" t="n">
        <f aca="false">CHOOSE(F$3,A236+24,A235)</f>
        <v>44136</v>
      </c>
      <c r="W235" s="5" t="n">
        <f aca="false">V235-C$3</f>
        <v>6905</v>
      </c>
      <c r="X235" s="124" t="n">
        <f aca="false">VLOOKUP($A235,Table,MATCH(X$4,Curves,0))</f>
        <v>2</v>
      </c>
      <c r="Y235" s="129" t="n">
        <f aca="false">1/(1+CHOOSE(F$3,(X236+($K$3/10000))/2,(X235+($K$3/10000))/2))^(2*W235/365.25)</f>
        <v>4.15088156359509E-012</v>
      </c>
      <c r="Z235" s="5" t="n">
        <f aca="false">IF(AND(mthbeg&lt;=A235,mthend&gt;=A235),1,0)</f>
        <v>0</v>
      </c>
      <c r="AA235" s="5" t="n">
        <f aca="false">U235*Z235</f>
        <v>0</v>
      </c>
      <c r="AC235" s="115" t="n">
        <f aca="false">IF(G228=2,F235*(S235-Q235),F235*(Q235-S235))</f>
        <v>0</v>
      </c>
      <c r="AE235" s="116" t="n">
        <f aca="false">IF($G$3=1,F235*(R235-Q235),F235*(Q235-R235))</f>
        <v>0</v>
      </c>
      <c r="AG235" s="116" t="n">
        <f aca="false">AC235+AE235</f>
        <v>0</v>
      </c>
    </row>
    <row r="236" customFormat="false" ht="12" hidden="false" customHeight="true" outlineLevel="0" collapsed="false">
      <c r="A236" s="120" t="n">
        <f aca="false">EDATE(A235,1)</f>
        <v>44166</v>
      </c>
      <c r="B236" s="121" t="e">
        <f aca="false">VLOOKUP(A236,'Inputs-Summary'!$A$32:$E$41,5,FALSE())</f>
        <v>#N/A</v>
      </c>
      <c r="C236" s="122"/>
      <c r="D236" s="123" t="e">
        <f aca="false">B236+C236</f>
        <v>#N/A</v>
      </c>
      <c r="E236" s="111" t="n">
        <f aca="false">IF(Z236=0,0,IF(AND(Z236=1,$H$3=1),D236*U236,IF($H$3=2,D236,"N/A")))</f>
        <v>0</v>
      </c>
      <c r="F236" s="111" t="n">
        <f aca="false">E236*Y236</f>
        <v>0</v>
      </c>
      <c r="G236" s="124" t="n">
        <f aca="false">VLOOKUP($A236,Table,MATCH(G$4,Curves,0))</f>
        <v>3</v>
      </c>
      <c r="H236" s="125" t="n">
        <f aca="false">G236+$H$7</f>
        <v>3</v>
      </c>
      <c r="I236" s="124" t="n">
        <f aca="false">H236</f>
        <v>3</v>
      </c>
      <c r="J236" s="124" t="n">
        <f aca="false">VLOOKUP($A236,Table,MATCH(J$4,Curves,0))</f>
        <v>4</v>
      </c>
      <c r="K236" s="125" t="n">
        <f aca="false">J236+$K$7</f>
        <v>4</v>
      </c>
      <c r="L236" s="126" t="n">
        <f aca="false">K236</f>
        <v>4</v>
      </c>
      <c r="M236" s="124" t="n">
        <f aca="false">VLOOKUP($A236,Table,MATCH(M$4,Curves,0))</f>
        <v>4</v>
      </c>
      <c r="N236" s="125" t="n">
        <f aca="false">M236+$N$7</f>
        <v>4</v>
      </c>
      <c r="O236" s="126" t="n">
        <v>-0.04</v>
      </c>
      <c r="P236" s="114"/>
      <c r="Q236" s="126" t="n">
        <f aca="false">M236+J236+G236</f>
        <v>11</v>
      </c>
      <c r="R236" s="126" t="n">
        <f aca="false">N236+K236+H236</f>
        <v>11</v>
      </c>
      <c r="S236" s="126" t="n">
        <f aca="false">O236+L236+I236</f>
        <v>6.96</v>
      </c>
      <c r="T236" s="127"/>
      <c r="U236" s="5" t="n">
        <f aca="false">A237-A236</f>
        <v>31</v>
      </c>
      <c r="V236" s="128" t="n">
        <f aca="false">CHOOSE(F$3,A237+24,A236)</f>
        <v>44166</v>
      </c>
      <c r="W236" s="5" t="n">
        <f aca="false">V236-C$3</f>
        <v>6935</v>
      </c>
      <c r="X236" s="124" t="n">
        <f aca="false">VLOOKUP($A236,Table,MATCH(X$4,Curves,0))</f>
        <v>2</v>
      </c>
      <c r="Y236" s="129" t="n">
        <f aca="false">1/(1+CHOOSE(F$3,(X237+($K$3/10000))/2,(X236+($K$3/10000))/2))^(2*W236/365.25)</f>
        <v>3.70416078164214E-012</v>
      </c>
      <c r="Z236" s="5" t="n">
        <f aca="false">IF(AND(mthbeg&lt;=A236,mthend&gt;=A236),1,0)</f>
        <v>0</v>
      </c>
      <c r="AA236" s="5" t="n">
        <f aca="false">U236*Z236</f>
        <v>0</v>
      </c>
      <c r="AC236" s="115" t="n">
        <f aca="false">IF(G229=2,F236*(S236-Q236),F236*(Q236-S236))</f>
        <v>0</v>
      </c>
      <c r="AE236" s="116" t="n">
        <f aca="false">IF($G$3=1,F236*(R236-Q236),F236*(Q236-R236))</f>
        <v>0</v>
      </c>
      <c r="AG236" s="116" t="n">
        <f aca="false">AC236+AE236</f>
        <v>0</v>
      </c>
    </row>
    <row r="237" customFormat="false" ht="12" hidden="false" customHeight="true" outlineLevel="0" collapsed="false">
      <c r="A237" s="120" t="n">
        <f aca="false">EDATE(A236,1)</f>
        <v>44197</v>
      </c>
      <c r="B237" s="121" t="e">
        <f aca="false">VLOOKUP(A237,'Inputs-Summary'!$A$32:$E$41,5,FALSE())</f>
        <v>#N/A</v>
      </c>
      <c r="C237" s="122"/>
      <c r="D237" s="123" t="e">
        <f aca="false">B237+C237</f>
        <v>#N/A</v>
      </c>
      <c r="E237" s="111" t="n">
        <f aca="false">IF(Z237=0,0,IF(AND(Z237=1,$H$3=1),D237*U237,IF($H$3=2,D237,"N/A")))</f>
        <v>0</v>
      </c>
      <c r="F237" s="111" t="n">
        <f aca="false">E237*Y237</f>
        <v>0</v>
      </c>
      <c r="G237" s="124" t="n">
        <f aca="false">VLOOKUP($A237,Table,MATCH(G$4,Curves,0))</f>
        <v>3</v>
      </c>
      <c r="H237" s="125" t="n">
        <f aca="false">G237+$H$7</f>
        <v>3</v>
      </c>
      <c r="I237" s="124" t="n">
        <f aca="false">H237</f>
        <v>3</v>
      </c>
      <c r="J237" s="124" t="n">
        <f aca="false">VLOOKUP($A237,Table,MATCH(J$4,Curves,0))</f>
        <v>4</v>
      </c>
      <c r="K237" s="125" t="n">
        <f aca="false">J237+$K$7</f>
        <v>4</v>
      </c>
      <c r="L237" s="126" t="n">
        <f aca="false">K237</f>
        <v>4</v>
      </c>
      <c r="M237" s="124" t="n">
        <f aca="false">VLOOKUP($A237,Table,MATCH(M$4,Curves,0))</f>
        <v>4</v>
      </c>
      <c r="N237" s="125" t="n">
        <f aca="false">M237+$N$7</f>
        <v>4</v>
      </c>
      <c r="O237" s="126" t="n">
        <v>-0.04</v>
      </c>
      <c r="P237" s="114"/>
      <c r="Q237" s="126" t="n">
        <f aca="false">M237+J237+G237</f>
        <v>11</v>
      </c>
      <c r="R237" s="126" t="n">
        <f aca="false">N237+K237+H237</f>
        <v>11</v>
      </c>
      <c r="S237" s="126" t="n">
        <f aca="false">O237+L237+I237</f>
        <v>6.96</v>
      </c>
      <c r="T237" s="127"/>
      <c r="U237" s="5" t="n">
        <f aca="false">A238-A237</f>
        <v>31</v>
      </c>
      <c r="V237" s="128" t="n">
        <f aca="false">CHOOSE(F$3,A238+24,A237)</f>
        <v>44197</v>
      </c>
      <c r="W237" s="5" t="n">
        <f aca="false">V237-C$3</f>
        <v>6966</v>
      </c>
      <c r="X237" s="124" t="n">
        <f aca="false">VLOOKUP($A237,Table,MATCH(X$4,Curves,0))</f>
        <v>2</v>
      </c>
      <c r="Y237" s="129" t="n">
        <f aca="false">1/(1+CHOOSE(F$3,(X238+($K$3/10000))/2,(X237+($K$3/10000))/2))^(2*W237/365.25)</f>
        <v>3.29299420326127E-012</v>
      </c>
      <c r="Z237" s="5" t="n">
        <f aca="false">IF(AND(mthbeg&lt;=A237,mthend&gt;=A237),1,0)</f>
        <v>0</v>
      </c>
      <c r="AA237" s="5" t="n">
        <f aca="false">U237*Z237</f>
        <v>0</v>
      </c>
      <c r="AC237" s="115" t="n">
        <f aca="false">IF(G230=2,F237*(S237-Q237),F237*(Q237-S237))</f>
        <v>0</v>
      </c>
      <c r="AE237" s="116" t="n">
        <f aca="false">IF($G$3=1,F237*(R237-Q237),F237*(Q237-R237))</f>
        <v>0</v>
      </c>
      <c r="AG237" s="116" t="n">
        <f aca="false">AC237+AE237</f>
        <v>0</v>
      </c>
    </row>
    <row r="238" customFormat="false" ht="12" hidden="false" customHeight="true" outlineLevel="0" collapsed="false">
      <c r="A238" s="120" t="n">
        <f aca="false">EDATE(A237,1)</f>
        <v>44228</v>
      </c>
      <c r="B238" s="121" t="e">
        <f aca="false">VLOOKUP(A238,'Inputs-Summary'!$A$32:$E$41,5,FALSE())</f>
        <v>#N/A</v>
      </c>
      <c r="C238" s="122"/>
      <c r="D238" s="123" t="e">
        <f aca="false">B238+C238</f>
        <v>#N/A</v>
      </c>
      <c r="E238" s="111" t="n">
        <f aca="false">IF(Z238=0,0,IF(AND(Z238=1,$H$3=1),D238*U238,IF($H$3=2,D238,"N/A")))</f>
        <v>0</v>
      </c>
      <c r="F238" s="111" t="n">
        <f aca="false">E238*Y238</f>
        <v>0</v>
      </c>
      <c r="G238" s="124" t="n">
        <f aca="false">VLOOKUP($A238,Table,MATCH(G$4,Curves,0))</f>
        <v>3</v>
      </c>
      <c r="H238" s="125" t="n">
        <f aca="false">G238+$H$7</f>
        <v>3</v>
      </c>
      <c r="I238" s="124" t="n">
        <f aca="false">H238</f>
        <v>3</v>
      </c>
      <c r="J238" s="124" t="n">
        <f aca="false">VLOOKUP($A238,Table,MATCH(J$4,Curves,0))</f>
        <v>4</v>
      </c>
      <c r="K238" s="125" t="n">
        <f aca="false">J238+$K$7</f>
        <v>4</v>
      </c>
      <c r="L238" s="126" t="n">
        <f aca="false">K238</f>
        <v>4</v>
      </c>
      <c r="M238" s="124" t="n">
        <f aca="false">VLOOKUP($A238,Table,MATCH(M$4,Curves,0))</f>
        <v>4</v>
      </c>
      <c r="N238" s="125" t="n">
        <f aca="false">M238+$N$7</f>
        <v>4</v>
      </c>
      <c r="O238" s="126" t="n">
        <v>-0.04</v>
      </c>
      <c r="P238" s="114"/>
      <c r="Q238" s="126" t="n">
        <f aca="false">M238+J238+G238</f>
        <v>11</v>
      </c>
      <c r="R238" s="126" t="n">
        <f aca="false">N238+K238+H238</f>
        <v>11</v>
      </c>
      <c r="S238" s="126" t="n">
        <f aca="false">O238+L238+I238</f>
        <v>6.96</v>
      </c>
      <c r="T238" s="127"/>
      <c r="U238" s="5" t="n">
        <f aca="false">A239-A238</f>
        <v>28</v>
      </c>
      <c r="V238" s="128" t="n">
        <f aca="false">CHOOSE(F$3,A239+24,A238)</f>
        <v>44228</v>
      </c>
      <c r="W238" s="5" t="n">
        <f aca="false">V238-C$3</f>
        <v>6997</v>
      </c>
      <c r="X238" s="124" t="n">
        <f aca="false">VLOOKUP($A238,Table,MATCH(X$4,Curves,0))</f>
        <v>2</v>
      </c>
      <c r="Y238" s="129" t="n">
        <f aca="false">1/(1+CHOOSE(F$3,(X239+($K$3/10000))/2,(X238+($K$3/10000))/2))^(2*W238/365.25)</f>
        <v>2.92746764029638E-012</v>
      </c>
      <c r="Z238" s="5" t="n">
        <f aca="false">IF(AND(mthbeg&lt;=A238,mthend&gt;=A238),1,0)</f>
        <v>0</v>
      </c>
      <c r="AA238" s="5" t="n">
        <f aca="false">U238*Z238</f>
        <v>0</v>
      </c>
      <c r="AC238" s="115" t="n">
        <f aca="false">IF(G231=2,F238*(S238-Q238),F238*(Q238-S238))</f>
        <v>0</v>
      </c>
      <c r="AE238" s="116" t="n">
        <f aca="false">IF($G$3=1,F238*(R238-Q238),F238*(Q238-R238))</f>
        <v>0</v>
      </c>
      <c r="AG238" s="116" t="n">
        <f aca="false">AC238+AE238</f>
        <v>0</v>
      </c>
    </row>
    <row r="239" customFormat="false" ht="12" hidden="false" customHeight="true" outlineLevel="0" collapsed="false">
      <c r="A239" s="120" t="n">
        <f aca="false">EDATE(A238,1)</f>
        <v>44256</v>
      </c>
      <c r="B239" s="121" t="e">
        <f aca="false">VLOOKUP(A239,'Inputs-Summary'!$A$32:$E$41,5,FALSE())</f>
        <v>#N/A</v>
      </c>
      <c r="C239" s="122"/>
      <c r="D239" s="123" t="e">
        <f aca="false">B239+C239</f>
        <v>#N/A</v>
      </c>
      <c r="E239" s="111" t="n">
        <f aca="false">IF(Z239=0,0,IF(AND(Z239=1,$H$3=1),D239*U239,IF($H$3=2,D239,"N/A")))</f>
        <v>0</v>
      </c>
      <c r="F239" s="111" t="n">
        <f aca="false">E239*Y239</f>
        <v>0</v>
      </c>
      <c r="G239" s="124" t="n">
        <f aca="false">VLOOKUP($A239,Table,MATCH(G$4,Curves,0))</f>
        <v>3</v>
      </c>
      <c r="H239" s="125" t="n">
        <f aca="false">G239+$H$7</f>
        <v>3</v>
      </c>
      <c r="I239" s="124" t="n">
        <f aca="false">H239</f>
        <v>3</v>
      </c>
      <c r="J239" s="124" t="n">
        <f aca="false">VLOOKUP($A239,Table,MATCH(J$4,Curves,0))</f>
        <v>4</v>
      </c>
      <c r="K239" s="125" t="n">
        <f aca="false">J239+$K$7</f>
        <v>4</v>
      </c>
      <c r="L239" s="126" t="n">
        <f aca="false">K239</f>
        <v>4</v>
      </c>
      <c r="M239" s="124" t="n">
        <f aca="false">VLOOKUP($A239,Table,MATCH(M$4,Curves,0))</f>
        <v>4</v>
      </c>
      <c r="N239" s="125" t="n">
        <f aca="false">M239+$N$7</f>
        <v>4</v>
      </c>
      <c r="O239" s="126" t="n">
        <v>-0.04</v>
      </c>
      <c r="P239" s="114"/>
      <c r="Q239" s="126" t="n">
        <f aca="false">M239+J239+G239</f>
        <v>11</v>
      </c>
      <c r="R239" s="126" t="n">
        <f aca="false">N239+K239+H239</f>
        <v>11</v>
      </c>
      <c r="S239" s="126" t="n">
        <f aca="false">O239+L239+I239</f>
        <v>6.96</v>
      </c>
      <c r="T239" s="127"/>
      <c r="U239" s="5" t="n">
        <f aca="false">A240-A239</f>
        <v>31</v>
      </c>
      <c r="V239" s="128" t="n">
        <f aca="false">CHOOSE(F$3,A240+24,A239)</f>
        <v>44256</v>
      </c>
      <c r="W239" s="5" t="n">
        <f aca="false">V239-C$3</f>
        <v>7025</v>
      </c>
      <c r="X239" s="124" t="n">
        <f aca="false">VLOOKUP($A239,Table,MATCH(X$4,Curves,0))</f>
        <v>2</v>
      </c>
      <c r="Y239" s="129" t="n">
        <f aca="false">1/(1+CHOOSE(F$3,(X240+($K$3/10000))/2,(X239+($K$3/10000))/2))^(2*W239/365.25)</f>
        <v>2.63231762325765E-012</v>
      </c>
      <c r="Z239" s="5" t="n">
        <f aca="false">IF(AND(mthbeg&lt;=A239,mthend&gt;=A239),1,0)</f>
        <v>0</v>
      </c>
      <c r="AA239" s="5" t="n">
        <f aca="false">U239*Z239</f>
        <v>0</v>
      </c>
      <c r="AC239" s="115" t="n">
        <f aca="false">IF(G232=2,F239*(S239-Q239),F239*(Q239-S239))</f>
        <v>0</v>
      </c>
      <c r="AE239" s="116" t="n">
        <f aca="false">IF($G$3=1,F239*(R239-Q239),F239*(Q239-R239))</f>
        <v>0</v>
      </c>
      <c r="AG239" s="116" t="n">
        <f aca="false">AC239+AE239</f>
        <v>0</v>
      </c>
    </row>
    <row r="240" customFormat="false" ht="12" hidden="false" customHeight="true" outlineLevel="0" collapsed="false">
      <c r="A240" s="120" t="n">
        <f aca="false">EDATE(A239,1)</f>
        <v>44287</v>
      </c>
      <c r="B240" s="121" t="e">
        <f aca="false">VLOOKUP(A240,'Inputs-Summary'!$A$32:$E$41,5,FALSE())</f>
        <v>#N/A</v>
      </c>
      <c r="C240" s="122"/>
      <c r="D240" s="123" t="e">
        <f aca="false">B240+C240</f>
        <v>#N/A</v>
      </c>
      <c r="E240" s="111" t="n">
        <f aca="false">IF(Z240=0,0,IF(AND(Z240=1,$H$3=1),D240*U240,IF($H$3=2,D240,"N/A")))</f>
        <v>0</v>
      </c>
      <c r="F240" s="111" t="n">
        <f aca="false">E240*Y240</f>
        <v>0</v>
      </c>
      <c r="G240" s="124" t="n">
        <f aca="false">VLOOKUP($A240,Table,MATCH(G$4,Curves,0))</f>
        <v>3</v>
      </c>
      <c r="H240" s="125" t="n">
        <f aca="false">G240+$H$7</f>
        <v>3</v>
      </c>
      <c r="I240" s="124" t="n">
        <f aca="false">H240</f>
        <v>3</v>
      </c>
      <c r="J240" s="124" t="n">
        <f aca="false">VLOOKUP($A240,Table,MATCH(J$4,Curves,0))</f>
        <v>4</v>
      </c>
      <c r="K240" s="125" t="n">
        <f aca="false">J240+$K$7</f>
        <v>4</v>
      </c>
      <c r="L240" s="126" t="n">
        <f aca="false">K240</f>
        <v>4</v>
      </c>
      <c r="M240" s="124" t="n">
        <f aca="false">VLOOKUP($A240,Table,MATCH(M$4,Curves,0))</f>
        <v>4</v>
      </c>
      <c r="N240" s="125" t="n">
        <f aca="false">M240+$N$7</f>
        <v>4</v>
      </c>
      <c r="O240" s="126" t="n">
        <v>-0.04</v>
      </c>
      <c r="P240" s="114"/>
      <c r="Q240" s="126" t="n">
        <f aca="false">M240+J240+G240</f>
        <v>11</v>
      </c>
      <c r="R240" s="126" t="n">
        <f aca="false">N240+K240+H240</f>
        <v>11</v>
      </c>
      <c r="S240" s="126" t="n">
        <f aca="false">O240+L240+I240</f>
        <v>6.96</v>
      </c>
      <c r="T240" s="127"/>
      <c r="U240" s="5" t="n">
        <f aca="false">A241-A240</f>
        <v>30</v>
      </c>
      <c r="V240" s="128" t="n">
        <f aca="false">CHOOSE(F$3,A241+24,A240)</f>
        <v>44287</v>
      </c>
      <c r="W240" s="5" t="n">
        <f aca="false">V240-C$3</f>
        <v>7056</v>
      </c>
      <c r="X240" s="124" t="n">
        <f aca="false">VLOOKUP($A240,Table,MATCH(X$4,Curves,0))</f>
        <v>2</v>
      </c>
      <c r="Y240" s="129" t="n">
        <f aca="false">1/(1+CHOOSE(F$3,(X241+($K$3/10000))/2,(X240+($K$3/10000))/2))^(2*W240/365.25)</f>
        <v>2.3401270046078E-012</v>
      </c>
      <c r="Z240" s="5" t="n">
        <f aca="false">IF(AND(mthbeg&lt;=A240,mthend&gt;=A240),1,0)</f>
        <v>0</v>
      </c>
      <c r="AA240" s="5" t="n">
        <f aca="false">U240*Z240</f>
        <v>0</v>
      </c>
      <c r="AC240" s="115" t="n">
        <f aca="false">IF(G233=2,F240*(S240-Q240),F240*(Q240-S240))</f>
        <v>0</v>
      </c>
      <c r="AE240" s="116" t="n">
        <f aca="false">IF($G$3=1,F240*(R240-Q240),F240*(Q240-R240))</f>
        <v>0</v>
      </c>
      <c r="AG240" s="116" t="n">
        <f aca="false">AC240+AE240</f>
        <v>0</v>
      </c>
    </row>
    <row r="241" customFormat="false" ht="12" hidden="false" customHeight="true" outlineLevel="0" collapsed="false">
      <c r="A241" s="120" t="n">
        <f aca="false">EDATE(A240,1)</f>
        <v>44317</v>
      </c>
      <c r="B241" s="121" t="e">
        <f aca="false">VLOOKUP(A241,'Inputs-Summary'!$A$32:$E$41,5,FALSE())</f>
        <v>#N/A</v>
      </c>
      <c r="C241" s="122"/>
      <c r="D241" s="123" t="e">
        <f aca="false">B241+C241</f>
        <v>#N/A</v>
      </c>
      <c r="E241" s="111" t="n">
        <f aca="false">IF(Z241=0,0,IF(AND(Z241=1,$H$3=1),D241*U241,IF($H$3=2,D241,"N/A")))</f>
        <v>0</v>
      </c>
      <c r="F241" s="111" t="n">
        <f aca="false">E241*Y241</f>
        <v>0</v>
      </c>
      <c r="G241" s="124" t="n">
        <f aca="false">VLOOKUP($A241,Table,MATCH(G$4,Curves,0))</f>
        <v>3</v>
      </c>
      <c r="H241" s="125" t="n">
        <f aca="false">G241+$H$7</f>
        <v>3</v>
      </c>
      <c r="I241" s="124" t="n">
        <f aca="false">H241</f>
        <v>3</v>
      </c>
      <c r="J241" s="124" t="n">
        <f aca="false">VLOOKUP($A241,Table,MATCH(J$4,Curves,0))</f>
        <v>4</v>
      </c>
      <c r="K241" s="125" t="n">
        <f aca="false">J241+$K$7</f>
        <v>4</v>
      </c>
      <c r="L241" s="126" t="n">
        <f aca="false">K241</f>
        <v>4</v>
      </c>
      <c r="M241" s="124" t="n">
        <f aca="false">VLOOKUP($A241,Table,MATCH(M$4,Curves,0))</f>
        <v>4</v>
      </c>
      <c r="N241" s="125" t="n">
        <f aca="false">M241+$N$7</f>
        <v>4</v>
      </c>
      <c r="O241" s="126" t="n">
        <v>-0.04</v>
      </c>
      <c r="P241" s="114"/>
      <c r="Q241" s="126" t="n">
        <f aca="false">M241+J241+G241</f>
        <v>11</v>
      </c>
      <c r="R241" s="126" t="n">
        <f aca="false">N241+K241+H241</f>
        <v>11</v>
      </c>
      <c r="S241" s="126" t="n">
        <f aca="false">O241+L241+I241</f>
        <v>6.96</v>
      </c>
      <c r="T241" s="127"/>
      <c r="U241" s="5" t="n">
        <f aca="false">A242-A241</f>
        <v>31</v>
      </c>
      <c r="V241" s="128" t="n">
        <f aca="false">CHOOSE(F$3,A242+24,A241)</f>
        <v>44317</v>
      </c>
      <c r="W241" s="5" t="n">
        <f aca="false">V241-C$3</f>
        <v>7086</v>
      </c>
      <c r="X241" s="124" t="n">
        <f aca="false">VLOOKUP($A241,Table,MATCH(X$4,Curves,0))</f>
        <v>2</v>
      </c>
      <c r="Y241" s="129" t="n">
        <f aca="false">1/(1+CHOOSE(F$3,(X242+($K$3/10000))/2,(X241+($K$3/10000))/2))^(2*W241/365.25)</f>
        <v>2.08828089689516E-012</v>
      </c>
      <c r="Z241" s="5" t="n">
        <f aca="false">IF(AND(mthbeg&lt;=A241,mthend&gt;=A241),1,0)</f>
        <v>0</v>
      </c>
      <c r="AA241" s="5" t="n">
        <f aca="false">U241*Z241</f>
        <v>0</v>
      </c>
      <c r="AC241" s="115" t="n">
        <f aca="false">IF(G234=2,F241*(S241-Q241),F241*(Q241-S241))</f>
        <v>0</v>
      </c>
      <c r="AE241" s="116" t="n">
        <f aca="false">IF($G$3=1,F241*(R241-Q241),F241*(Q241-R241))</f>
        <v>0</v>
      </c>
      <c r="AG241" s="116" t="n">
        <f aca="false">AC241+AE241</f>
        <v>0</v>
      </c>
    </row>
    <row r="242" customFormat="false" ht="12" hidden="false" customHeight="true" outlineLevel="0" collapsed="false">
      <c r="A242" s="120" t="n">
        <f aca="false">EDATE(A241,1)</f>
        <v>44348</v>
      </c>
      <c r="B242" s="121" t="e">
        <f aca="false">VLOOKUP(A242,'Inputs-Summary'!$A$32:$E$41,5,FALSE())</f>
        <v>#N/A</v>
      </c>
      <c r="C242" s="122"/>
      <c r="D242" s="123" t="e">
        <f aca="false">B242+C242</f>
        <v>#N/A</v>
      </c>
      <c r="E242" s="111" t="n">
        <f aca="false">IF(Z242=0,0,IF(AND(Z242=1,$H$3=1),D242*U242,IF($H$3=2,D242,"N/A")))</f>
        <v>0</v>
      </c>
      <c r="F242" s="111" t="n">
        <f aca="false">E242*Y242</f>
        <v>0</v>
      </c>
      <c r="G242" s="124" t="n">
        <f aca="false">VLOOKUP($A242,Table,MATCH(G$4,Curves,0))</f>
        <v>3</v>
      </c>
      <c r="H242" s="125" t="n">
        <f aca="false">G242+$H$7</f>
        <v>3</v>
      </c>
      <c r="I242" s="124" t="n">
        <f aca="false">H242</f>
        <v>3</v>
      </c>
      <c r="J242" s="124" t="n">
        <f aca="false">VLOOKUP($A242,Table,MATCH(J$4,Curves,0))</f>
        <v>4</v>
      </c>
      <c r="K242" s="125" t="n">
        <f aca="false">J242+$K$7</f>
        <v>4</v>
      </c>
      <c r="L242" s="126" t="n">
        <f aca="false">K242</f>
        <v>4</v>
      </c>
      <c r="M242" s="124" t="n">
        <f aca="false">VLOOKUP($A242,Table,MATCH(M$4,Curves,0))</f>
        <v>4</v>
      </c>
      <c r="N242" s="125" t="n">
        <f aca="false">M242+$N$7</f>
        <v>4</v>
      </c>
      <c r="O242" s="126" t="n">
        <v>-0.04</v>
      </c>
      <c r="P242" s="114"/>
      <c r="Q242" s="126" t="n">
        <f aca="false">M242+J242+G242</f>
        <v>11</v>
      </c>
      <c r="R242" s="126" t="n">
        <f aca="false">N242+K242+H242</f>
        <v>11</v>
      </c>
      <c r="S242" s="126" t="n">
        <f aca="false">O242+L242+I242</f>
        <v>6.96</v>
      </c>
      <c r="T242" s="127"/>
      <c r="U242" s="5" t="n">
        <f aca="false">A243-A242</f>
        <v>30</v>
      </c>
      <c r="V242" s="128" t="n">
        <f aca="false">CHOOSE(F$3,A243+24,A242)</f>
        <v>44348</v>
      </c>
      <c r="W242" s="5" t="n">
        <f aca="false">V242-C$3</f>
        <v>7117</v>
      </c>
      <c r="X242" s="124" t="n">
        <f aca="false">VLOOKUP($A242,Table,MATCH(X$4,Curves,0))</f>
        <v>2</v>
      </c>
      <c r="Y242" s="129" t="n">
        <f aca="false">1/(1+CHOOSE(F$3,(X243+($K$3/10000))/2,(X242+($K$3/10000))/2))^(2*W242/365.25)</f>
        <v>1.85647904981284E-012</v>
      </c>
      <c r="Z242" s="5" t="n">
        <f aca="false">IF(AND(mthbeg&lt;=A242,mthend&gt;=A242),1,0)</f>
        <v>0</v>
      </c>
      <c r="AA242" s="5" t="n">
        <f aca="false">U242*Z242</f>
        <v>0</v>
      </c>
      <c r="AC242" s="115" t="n">
        <f aca="false">IF(G235=2,F242*(S242-Q242),F242*(Q242-S242))</f>
        <v>0</v>
      </c>
      <c r="AE242" s="116" t="n">
        <f aca="false">IF($G$3=1,F242*(R242-Q242),F242*(Q242-R242))</f>
        <v>0</v>
      </c>
      <c r="AG242" s="116" t="n">
        <f aca="false">AC242+AE242</f>
        <v>0</v>
      </c>
    </row>
    <row r="243" customFormat="false" ht="12" hidden="false" customHeight="true" outlineLevel="0" collapsed="false">
      <c r="A243" s="120" t="n">
        <f aca="false">EDATE(A242,1)</f>
        <v>44378</v>
      </c>
      <c r="B243" s="121" t="e">
        <f aca="false">VLOOKUP(A243,'Inputs-Summary'!$A$32:$E$41,5,FALSE())</f>
        <v>#N/A</v>
      </c>
      <c r="C243" s="122"/>
      <c r="D243" s="123" t="e">
        <f aca="false">B243+C243</f>
        <v>#N/A</v>
      </c>
      <c r="E243" s="111" t="n">
        <f aca="false">IF(Z243=0,0,IF(AND(Z243=1,$H$3=1),D243*U243,IF($H$3=2,D243,"N/A")))</f>
        <v>0</v>
      </c>
      <c r="F243" s="111" t="n">
        <f aca="false">E243*Y243</f>
        <v>0</v>
      </c>
      <c r="G243" s="124" t="n">
        <f aca="false">VLOOKUP($A243,Table,MATCH(G$4,Curves,0))</f>
        <v>3</v>
      </c>
      <c r="H243" s="125" t="n">
        <f aca="false">G243+$H$7</f>
        <v>3</v>
      </c>
      <c r="I243" s="124" t="n">
        <f aca="false">H243</f>
        <v>3</v>
      </c>
      <c r="J243" s="124" t="n">
        <f aca="false">VLOOKUP($A243,Table,MATCH(J$4,Curves,0))</f>
        <v>4</v>
      </c>
      <c r="K243" s="125" t="n">
        <f aca="false">J243+$K$7</f>
        <v>4</v>
      </c>
      <c r="L243" s="126" t="n">
        <f aca="false">K243</f>
        <v>4</v>
      </c>
      <c r="M243" s="124" t="n">
        <f aca="false">VLOOKUP($A243,Table,MATCH(M$4,Curves,0))</f>
        <v>4</v>
      </c>
      <c r="N243" s="125" t="n">
        <f aca="false">M243+$N$7</f>
        <v>4</v>
      </c>
      <c r="O243" s="126" t="n">
        <v>-0.04</v>
      </c>
      <c r="P243" s="114"/>
      <c r="Q243" s="126" t="n">
        <f aca="false">M243+J243+G243</f>
        <v>11</v>
      </c>
      <c r="R243" s="126" t="n">
        <f aca="false">N243+K243+H243</f>
        <v>11</v>
      </c>
      <c r="S243" s="126" t="n">
        <f aca="false">O243+L243+I243</f>
        <v>6.96</v>
      </c>
      <c r="T243" s="127"/>
      <c r="U243" s="5" t="n">
        <f aca="false">A244-A243</f>
        <v>31</v>
      </c>
      <c r="V243" s="128" t="n">
        <f aca="false">CHOOSE(F$3,A244+24,A243)</f>
        <v>44378</v>
      </c>
      <c r="W243" s="5" t="n">
        <f aca="false">V243-C$3</f>
        <v>7147</v>
      </c>
      <c r="X243" s="124" t="n">
        <f aca="false">VLOOKUP($A243,Table,MATCH(X$4,Curves,0))</f>
        <v>2</v>
      </c>
      <c r="Y243" s="129" t="n">
        <f aca="false">1/(1+CHOOSE(F$3,(X244+($K$3/10000))/2,(X243+($K$3/10000))/2))^(2*W243/365.25)</f>
        <v>1.65668347383563E-012</v>
      </c>
      <c r="Z243" s="5" t="n">
        <f aca="false">IF(AND(mthbeg&lt;=A243,mthend&gt;=A243),1,0)</f>
        <v>0</v>
      </c>
      <c r="AA243" s="5" t="n">
        <f aca="false">U243*Z243</f>
        <v>0</v>
      </c>
      <c r="AC243" s="115" t="n">
        <f aca="false">IF(G236=2,F243*(S243-Q243),F243*(Q243-S243))</f>
        <v>0</v>
      </c>
      <c r="AE243" s="116" t="n">
        <f aca="false">IF($G$3=1,F243*(R243-Q243),F243*(Q243-R243))</f>
        <v>0</v>
      </c>
      <c r="AG243" s="116" t="n">
        <f aca="false">AC243+AE243</f>
        <v>0</v>
      </c>
    </row>
    <row r="244" customFormat="false" ht="12" hidden="false" customHeight="true" outlineLevel="0" collapsed="false">
      <c r="A244" s="120" t="n">
        <f aca="false">EDATE(A243,1)</f>
        <v>44409</v>
      </c>
      <c r="B244" s="121" t="e">
        <f aca="false">VLOOKUP(A244,'Inputs-Summary'!$A$32:$E$41,5,FALSE())</f>
        <v>#N/A</v>
      </c>
      <c r="C244" s="122"/>
      <c r="D244" s="123" t="e">
        <f aca="false">B244+C244</f>
        <v>#N/A</v>
      </c>
      <c r="E244" s="111" t="n">
        <f aca="false">IF(Z244=0,0,IF(AND(Z244=1,$H$3=1),D244*U244,IF($H$3=2,D244,"N/A")))</f>
        <v>0</v>
      </c>
      <c r="F244" s="111" t="n">
        <f aca="false">E244*Y244</f>
        <v>0</v>
      </c>
      <c r="G244" s="124" t="n">
        <f aca="false">VLOOKUP($A244,Table,MATCH(G$4,Curves,0))</f>
        <v>3</v>
      </c>
      <c r="H244" s="125" t="n">
        <f aca="false">G244+$H$7</f>
        <v>3</v>
      </c>
      <c r="I244" s="124" t="n">
        <f aca="false">H244</f>
        <v>3</v>
      </c>
      <c r="J244" s="124" t="n">
        <f aca="false">VLOOKUP($A244,Table,MATCH(J$4,Curves,0))</f>
        <v>4</v>
      </c>
      <c r="K244" s="125" t="n">
        <f aca="false">J244+$K$7</f>
        <v>4</v>
      </c>
      <c r="L244" s="126" t="n">
        <f aca="false">K244</f>
        <v>4</v>
      </c>
      <c r="M244" s="124" t="n">
        <f aca="false">VLOOKUP($A244,Table,MATCH(M$4,Curves,0))</f>
        <v>4</v>
      </c>
      <c r="N244" s="125" t="n">
        <f aca="false">M244+$N$7</f>
        <v>4</v>
      </c>
      <c r="O244" s="126" t="n">
        <v>-0.04</v>
      </c>
      <c r="P244" s="114"/>
      <c r="Q244" s="126" t="n">
        <f aca="false">M244+J244+G244</f>
        <v>11</v>
      </c>
      <c r="R244" s="126" t="n">
        <f aca="false">N244+K244+H244</f>
        <v>11</v>
      </c>
      <c r="S244" s="126" t="n">
        <f aca="false">O244+L244+I244</f>
        <v>6.96</v>
      </c>
      <c r="T244" s="127"/>
      <c r="U244" s="5" t="n">
        <f aca="false">A245-A244</f>
        <v>31</v>
      </c>
      <c r="V244" s="128" t="n">
        <f aca="false">CHOOSE(F$3,A245+24,A244)</f>
        <v>44409</v>
      </c>
      <c r="W244" s="5" t="n">
        <f aca="false">V244-C$3</f>
        <v>7178</v>
      </c>
      <c r="X244" s="124" t="n">
        <f aca="false">VLOOKUP($A244,Table,MATCH(X$4,Curves,0))</f>
        <v>2</v>
      </c>
      <c r="Y244" s="129" t="n">
        <f aca="false">1/(1+CHOOSE(F$3,(X245+($K$3/10000))/2,(X244+($K$3/10000))/2))^(2*W244/365.25)</f>
        <v>1.47278949202657E-012</v>
      </c>
      <c r="Z244" s="5" t="n">
        <f aca="false">IF(AND(mthbeg&lt;=A244,mthend&gt;=A244),1,0)</f>
        <v>0</v>
      </c>
      <c r="AA244" s="5" t="n">
        <f aca="false">U244*Z244</f>
        <v>0</v>
      </c>
      <c r="AC244" s="115" t="n">
        <f aca="false">IF(G237=2,F244*(S244-Q244),F244*(Q244-S244))</f>
        <v>0</v>
      </c>
      <c r="AE244" s="116" t="n">
        <f aca="false">IF($G$3=1,F244*(R244-Q244),F244*(Q244-R244))</f>
        <v>0</v>
      </c>
      <c r="AG244" s="116" t="n">
        <f aca="false">AC244+AE244</f>
        <v>0</v>
      </c>
    </row>
    <row r="245" customFormat="false" ht="12" hidden="false" customHeight="true" outlineLevel="0" collapsed="false">
      <c r="A245" s="120" t="n">
        <f aca="false">EDATE(A244,1)</f>
        <v>44440</v>
      </c>
      <c r="B245" s="121" t="e">
        <f aca="false">VLOOKUP(A245,'Inputs-Summary'!$A$32:$E$41,5,FALSE())</f>
        <v>#N/A</v>
      </c>
      <c r="C245" s="122"/>
      <c r="D245" s="123" t="e">
        <f aca="false">B245+C245</f>
        <v>#N/A</v>
      </c>
      <c r="E245" s="111" t="n">
        <f aca="false">IF(Z245=0,0,IF(AND(Z245=1,$H$3=1),D245*U245,IF($H$3=2,D245,"N/A")))</f>
        <v>0</v>
      </c>
      <c r="F245" s="111" t="n">
        <f aca="false">E245*Y245</f>
        <v>0</v>
      </c>
      <c r="G245" s="124" t="n">
        <f aca="false">VLOOKUP($A245,Table,MATCH(G$4,Curves,0))</f>
        <v>3</v>
      </c>
      <c r="H245" s="125" t="n">
        <f aca="false">G245+$H$7</f>
        <v>3</v>
      </c>
      <c r="I245" s="124" t="n">
        <f aca="false">H245</f>
        <v>3</v>
      </c>
      <c r="J245" s="124" t="n">
        <f aca="false">VLOOKUP($A245,Table,MATCH(J$4,Curves,0))</f>
        <v>4</v>
      </c>
      <c r="K245" s="125" t="n">
        <f aca="false">J245+$K$7</f>
        <v>4</v>
      </c>
      <c r="L245" s="126" t="n">
        <f aca="false">K245</f>
        <v>4</v>
      </c>
      <c r="M245" s="124" t="n">
        <f aca="false">VLOOKUP($A245,Table,MATCH(M$4,Curves,0))</f>
        <v>4</v>
      </c>
      <c r="N245" s="125" t="n">
        <f aca="false">M245+$N$7</f>
        <v>4</v>
      </c>
      <c r="O245" s="126" t="n">
        <v>-0.04</v>
      </c>
      <c r="P245" s="114"/>
      <c r="Q245" s="126" t="n">
        <f aca="false">M245+J245+G245</f>
        <v>11</v>
      </c>
      <c r="R245" s="126" t="n">
        <f aca="false">N245+K245+H245</f>
        <v>11</v>
      </c>
      <c r="S245" s="126" t="n">
        <f aca="false">O245+L245+I245</f>
        <v>6.96</v>
      </c>
      <c r="T245" s="127"/>
      <c r="U245" s="5" t="n">
        <f aca="false">A246-A245</f>
        <v>30</v>
      </c>
      <c r="V245" s="128" t="n">
        <f aca="false">CHOOSE(F$3,A246+24,A245)</f>
        <v>44440</v>
      </c>
      <c r="W245" s="5" t="n">
        <f aca="false">V245-C$3</f>
        <v>7209</v>
      </c>
      <c r="X245" s="124" t="n">
        <f aca="false">VLOOKUP($A245,Table,MATCH(X$4,Curves,0))</f>
        <v>2</v>
      </c>
      <c r="Y245" s="129" t="n">
        <f aca="false">1/(1+CHOOSE(F$3,(X246+($K$3/10000))/2,(X245+($K$3/10000))/2))^(2*W245/365.25)</f>
        <v>1.3093079771007E-012</v>
      </c>
      <c r="Z245" s="5" t="n">
        <f aca="false">IF(AND(mthbeg&lt;=A245,mthend&gt;=A245),1,0)</f>
        <v>0</v>
      </c>
      <c r="AA245" s="5" t="n">
        <f aca="false">U245*Z245</f>
        <v>0</v>
      </c>
      <c r="AC245" s="115" t="n">
        <f aca="false">IF(G238=2,F245*(S245-Q245),F245*(Q245-S245))</f>
        <v>0</v>
      </c>
      <c r="AE245" s="116" t="n">
        <f aca="false">IF($G$3=1,F245*(R245-Q245),F245*(Q245-R245))</f>
        <v>0</v>
      </c>
      <c r="AG245" s="116" t="n">
        <f aca="false">AC245+AE245</f>
        <v>0</v>
      </c>
    </row>
    <row r="246" customFormat="false" ht="12" hidden="false" customHeight="true" outlineLevel="0" collapsed="false">
      <c r="A246" s="120" t="n">
        <f aca="false">EDATE(A245,1)</f>
        <v>44470</v>
      </c>
      <c r="B246" s="121" t="e">
        <f aca="false">VLOOKUP(A246,'Inputs-Summary'!$A$32:$E$41,5,FALSE())</f>
        <v>#N/A</v>
      </c>
      <c r="C246" s="122"/>
      <c r="D246" s="123" t="e">
        <f aca="false">B246+C246</f>
        <v>#N/A</v>
      </c>
      <c r="E246" s="111" t="n">
        <f aca="false">IF(Z246=0,0,IF(AND(Z246=1,$H$3=1),D246*U246,IF($H$3=2,D246,"N/A")))</f>
        <v>0</v>
      </c>
      <c r="F246" s="111" t="n">
        <f aca="false">E246*Y246</f>
        <v>0</v>
      </c>
      <c r="G246" s="124" t="n">
        <f aca="false">VLOOKUP($A246,Table,MATCH(G$4,Curves,0))</f>
        <v>3</v>
      </c>
      <c r="H246" s="125" t="n">
        <f aca="false">G246+$H$7</f>
        <v>3</v>
      </c>
      <c r="I246" s="124" t="n">
        <f aca="false">H246</f>
        <v>3</v>
      </c>
      <c r="J246" s="124" t="n">
        <f aca="false">VLOOKUP($A246,Table,MATCH(J$4,Curves,0))</f>
        <v>4</v>
      </c>
      <c r="K246" s="125" t="n">
        <f aca="false">J246+$K$7</f>
        <v>4</v>
      </c>
      <c r="L246" s="126" t="n">
        <f aca="false">K246</f>
        <v>4</v>
      </c>
      <c r="M246" s="124" t="n">
        <f aca="false">VLOOKUP($A246,Table,MATCH(M$4,Curves,0))</f>
        <v>4</v>
      </c>
      <c r="N246" s="125" t="n">
        <f aca="false">M246+$N$7</f>
        <v>4</v>
      </c>
      <c r="O246" s="126" t="n">
        <v>-0.04</v>
      </c>
      <c r="P246" s="114"/>
      <c r="Q246" s="126" t="n">
        <f aca="false">M246+J246+G246</f>
        <v>11</v>
      </c>
      <c r="R246" s="126" t="n">
        <f aca="false">N246+K246+H246</f>
        <v>11</v>
      </c>
      <c r="S246" s="126" t="n">
        <f aca="false">O246+L246+I246</f>
        <v>6.96</v>
      </c>
      <c r="T246" s="127"/>
      <c r="U246" s="5" t="n">
        <f aca="false">A247-A246</f>
        <v>31</v>
      </c>
      <c r="V246" s="128" t="n">
        <f aca="false">CHOOSE(F$3,A247+24,A246)</f>
        <v>44470</v>
      </c>
      <c r="W246" s="5" t="n">
        <f aca="false">V246-C$3</f>
        <v>7239</v>
      </c>
      <c r="X246" s="124" t="n">
        <f aca="false">VLOOKUP($A246,Table,MATCH(X$4,Curves,0))</f>
        <v>2</v>
      </c>
      <c r="Y246" s="129" t="n">
        <f aca="false">1/(1+CHOOSE(F$3,(X247+($K$3/10000))/2,(X246+($K$3/10000))/2))^(2*W246/365.25)</f>
        <v>1.16839933531303E-012</v>
      </c>
      <c r="Z246" s="5" t="n">
        <f aca="false">IF(AND(mthbeg&lt;=A246,mthend&gt;=A246),1,0)</f>
        <v>0</v>
      </c>
      <c r="AA246" s="5" t="n">
        <f aca="false">U246*Z246</f>
        <v>0</v>
      </c>
      <c r="AC246" s="115" t="n">
        <f aca="false">IF(G239=2,F246*(S246-Q246),F246*(Q246-S246))</f>
        <v>0</v>
      </c>
      <c r="AE246" s="116" t="n">
        <f aca="false">IF($G$3=1,F246*(R246-Q246),F246*(Q246-R246))</f>
        <v>0</v>
      </c>
      <c r="AG246" s="116" t="n">
        <f aca="false">AC246+AE246</f>
        <v>0</v>
      </c>
    </row>
    <row r="247" customFormat="false" ht="12" hidden="false" customHeight="true" outlineLevel="0" collapsed="false">
      <c r="A247" s="120" t="n">
        <f aca="false">EDATE(A246,1)</f>
        <v>44501</v>
      </c>
      <c r="B247" s="121" t="e">
        <f aca="false">VLOOKUP(A247,'Inputs-Summary'!$A$32:$E$41,5,FALSE())</f>
        <v>#N/A</v>
      </c>
      <c r="C247" s="122"/>
      <c r="D247" s="123" t="e">
        <f aca="false">B247+C247</f>
        <v>#N/A</v>
      </c>
      <c r="E247" s="111" t="n">
        <f aca="false">IF(Z247=0,0,IF(AND(Z247=1,$H$3=1),D247*U247,IF($H$3=2,D247,"N/A")))</f>
        <v>0</v>
      </c>
      <c r="F247" s="111" t="n">
        <f aca="false">E247*Y247</f>
        <v>0</v>
      </c>
      <c r="G247" s="124" t="n">
        <f aca="false">VLOOKUP($A247,Table,MATCH(G$4,Curves,0))</f>
        <v>3</v>
      </c>
      <c r="H247" s="125" t="n">
        <f aca="false">G247+$H$7</f>
        <v>3</v>
      </c>
      <c r="I247" s="124" t="n">
        <f aca="false">H247</f>
        <v>3</v>
      </c>
      <c r="J247" s="124" t="n">
        <f aca="false">VLOOKUP($A247,Table,MATCH(J$4,Curves,0))</f>
        <v>4</v>
      </c>
      <c r="K247" s="125" t="n">
        <f aca="false">J247+$K$7</f>
        <v>4</v>
      </c>
      <c r="L247" s="126" t="n">
        <f aca="false">K247</f>
        <v>4</v>
      </c>
      <c r="M247" s="124" t="n">
        <f aca="false">VLOOKUP($A247,Table,MATCH(M$4,Curves,0))</f>
        <v>4</v>
      </c>
      <c r="N247" s="125" t="n">
        <f aca="false">M247+$N$7</f>
        <v>4</v>
      </c>
      <c r="O247" s="126" t="n">
        <v>-0.04</v>
      </c>
      <c r="P247" s="114"/>
      <c r="Q247" s="126" t="n">
        <f aca="false">M247+J247+G247</f>
        <v>11</v>
      </c>
      <c r="R247" s="126" t="n">
        <f aca="false">N247+K247+H247</f>
        <v>11</v>
      </c>
      <c r="S247" s="126" t="n">
        <f aca="false">O247+L247+I247</f>
        <v>6.96</v>
      </c>
      <c r="T247" s="127"/>
      <c r="U247" s="5" t="n">
        <f aca="false">A248-A247</f>
        <v>30</v>
      </c>
      <c r="V247" s="128" t="n">
        <f aca="false">CHOOSE(F$3,A248+24,A247)</f>
        <v>44501</v>
      </c>
      <c r="W247" s="5" t="n">
        <f aca="false">V247-C$3</f>
        <v>7270</v>
      </c>
      <c r="X247" s="124" t="n">
        <f aca="false">VLOOKUP($A247,Table,MATCH(X$4,Curves,0))</f>
        <v>2</v>
      </c>
      <c r="Y247" s="129" t="n">
        <f aca="false">1/(1+CHOOSE(F$3,(X248+($K$3/10000))/2,(X247+($K$3/10000))/2))^(2*W247/365.25)</f>
        <v>1.03870551660407E-012</v>
      </c>
      <c r="Z247" s="5" t="n">
        <f aca="false">IF(AND(mthbeg&lt;=A247,mthend&gt;=A247),1,0)</f>
        <v>0</v>
      </c>
      <c r="AA247" s="5" t="n">
        <f aca="false">U247*Z247</f>
        <v>0</v>
      </c>
      <c r="AC247" s="115" t="n">
        <f aca="false">IF(G240=2,F247*(S247-Q247),F247*(Q247-S247))</f>
        <v>0</v>
      </c>
      <c r="AE247" s="116" t="n">
        <f aca="false">IF($G$3=1,F247*(R247-Q247),F247*(Q247-R247))</f>
        <v>0</v>
      </c>
      <c r="AG247" s="116" t="n">
        <f aca="false">AC247+AE247</f>
        <v>0</v>
      </c>
    </row>
    <row r="248" customFormat="false" ht="12" hidden="false" customHeight="true" outlineLevel="0" collapsed="false">
      <c r="A248" s="120" t="n">
        <f aca="false">EDATE(A247,1)</f>
        <v>44531</v>
      </c>
      <c r="B248" s="121" t="e">
        <f aca="false">VLOOKUP(A248,'Inputs-Summary'!$A$32:$E$41,5,FALSE())</f>
        <v>#N/A</v>
      </c>
      <c r="C248" s="122"/>
      <c r="D248" s="123" t="e">
        <f aca="false">B248+C248</f>
        <v>#N/A</v>
      </c>
      <c r="E248" s="111" t="n">
        <f aca="false">IF(Z248=0,0,IF(AND(Z248=1,$H$3=1),D248*U248,IF($H$3=2,D248,"N/A")))</f>
        <v>0</v>
      </c>
      <c r="F248" s="111" t="n">
        <f aca="false">E248*Y248</f>
        <v>0</v>
      </c>
      <c r="G248" s="124" t="n">
        <f aca="false">VLOOKUP($A248,Table,MATCH(G$4,Curves,0))</f>
        <v>3</v>
      </c>
      <c r="H248" s="125" t="n">
        <f aca="false">G248+$H$7</f>
        <v>3</v>
      </c>
      <c r="I248" s="124" t="n">
        <f aca="false">H248</f>
        <v>3</v>
      </c>
      <c r="J248" s="124" t="n">
        <f aca="false">VLOOKUP($A248,Table,MATCH(J$4,Curves,0))</f>
        <v>4</v>
      </c>
      <c r="K248" s="125" t="n">
        <f aca="false">J248+$K$7</f>
        <v>4</v>
      </c>
      <c r="L248" s="126" t="n">
        <f aca="false">K248</f>
        <v>4</v>
      </c>
      <c r="M248" s="124" t="n">
        <f aca="false">VLOOKUP($A248,Table,MATCH(M$4,Curves,0))</f>
        <v>4</v>
      </c>
      <c r="N248" s="125" t="n">
        <f aca="false">M248+$N$7</f>
        <v>4</v>
      </c>
      <c r="O248" s="126" t="n">
        <v>-0.04</v>
      </c>
      <c r="P248" s="114"/>
      <c r="Q248" s="126" t="n">
        <f aca="false">M248+J248+G248</f>
        <v>11</v>
      </c>
      <c r="R248" s="126" t="n">
        <f aca="false">N248+K248+H248</f>
        <v>11</v>
      </c>
      <c r="S248" s="126" t="n">
        <f aca="false">O248+L248+I248</f>
        <v>6.96</v>
      </c>
      <c r="T248" s="127"/>
      <c r="U248" s="5" t="n">
        <f aca="false">A249-A248</f>
        <v>31</v>
      </c>
      <c r="V248" s="128" t="n">
        <f aca="false">CHOOSE(F$3,A249+24,A248)</f>
        <v>44531</v>
      </c>
      <c r="W248" s="5" t="n">
        <f aca="false">V248-C$3</f>
        <v>7300</v>
      </c>
      <c r="X248" s="124" t="n">
        <f aca="false">VLOOKUP($A248,Table,MATCH(X$4,Curves,0))</f>
        <v>2</v>
      </c>
      <c r="Y248" s="129" t="n">
        <f aca="false">1/(1+CHOOSE(F$3,(X249+($K$3/10000))/2,(X248+($K$3/10000))/2))^(2*W248/365.25)</f>
        <v>9.26919301197255E-013</v>
      </c>
      <c r="Z248" s="5" t="n">
        <f aca="false">IF(AND(mthbeg&lt;=A248,mthend&gt;=A248),1,0)</f>
        <v>0</v>
      </c>
      <c r="AA248" s="5" t="n">
        <f aca="false">U248*Z248</f>
        <v>0</v>
      </c>
      <c r="AC248" s="115" t="n">
        <f aca="false">IF(G241=2,F248*(S248-Q248),F248*(Q248-S248))</f>
        <v>0</v>
      </c>
      <c r="AE248" s="116" t="n">
        <f aca="false">IF($G$3=1,F248*(R248-Q248),F248*(Q248-R248))</f>
        <v>0</v>
      </c>
      <c r="AG248" s="116" t="n">
        <f aca="false">AC248+AE248</f>
        <v>0</v>
      </c>
    </row>
    <row r="249" customFormat="false" ht="12" hidden="false" customHeight="true" outlineLevel="0" collapsed="false">
      <c r="A249" s="120" t="n">
        <f aca="false">EDATE(A248,1)</f>
        <v>44562</v>
      </c>
      <c r="B249" s="121" t="e">
        <f aca="false">VLOOKUP(A249,'Inputs-Summary'!$A$32:$E$41,5,FALSE())</f>
        <v>#N/A</v>
      </c>
      <c r="C249" s="122"/>
      <c r="D249" s="123" t="e">
        <f aca="false">B249+C249</f>
        <v>#N/A</v>
      </c>
      <c r="E249" s="111" t="n">
        <f aca="false">IF(Z249=0,0,IF(AND(Z249=1,$H$3=1),D249*U249,IF($H$3=2,D249,"N/A")))</f>
        <v>0</v>
      </c>
      <c r="F249" s="111" t="n">
        <f aca="false">E249*Y249</f>
        <v>0</v>
      </c>
      <c r="G249" s="124" t="n">
        <f aca="false">VLOOKUP($A249,Table,MATCH(G$4,Curves,0))</f>
        <v>3</v>
      </c>
      <c r="H249" s="125" t="n">
        <f aca="false">G249+$H$7</f>
        <v>3</v>
      </c>
      <c r="I249" s="124" t="n">
        <f aca="false">H249</f>
        <v>3</v>
      </c>
      <c r="J249" s="124" t="n">
        <f aca="false">VLOOKUP($A249,Table,MATCH(J$4,Curves,0))</f>
        <v>4</v>
      </c>
      <c r="K249" s="125" t="n">
        <f aca="false">J249+$K$7</f>
        <v>4</v>
      </c>
      <c r="L249" s="126" t="n">
        <f aca="false">K249</f>
        <v>4</v>
      </c>
      <c r="M249" s="124" t="n">
        <f aca="false">VLOOKUP($A249,Table,MATCH(M$4,Curves,0))</f>
        <v>4</v>
      </c>
      <c r="N249" s="125" t="n">
        <f aca="false">M249+$N$7</f>
        <v>4</v>
      </c>
      <c r="O249" s="126" t="n">
        <v>-0.04</v>
      </c>
      <c r="P249" s="114"/>
      <c r="Q249" s="126" t="n">
        <f aca="false">M249+J249+G249</f>
        <v>11</v>
      </c>
      <c r="R249" s="126" t="n">
        <f aca="false">N249+K249+H249</f>
        <v>11</v>
      </c>
      <c r="S249" s="126" t="n">
        <f aca="false">O249+L249+I249</f>
        <v>6.96</v>
      </c>
      <c r="T249" s="127"/>
      <c r="U249" s="5" t="n">
        <f aca="false">A250-A249</f>
        <v>31</v>
      </c>
      <c r="V249" s="128" t="n">
        <f aca="false">CHOOSE(F$3,A250+24,A249)</f>
        <v>44562</v>
      </c>
      <c r="W249" s="5" t="n">
        <f aca="false">V249-C$3</f>
        <v>7331</v>
      </c>
      <c r="X249" s="124" t="n">
        <f aca="false">VLOOKUP($A249,Table,MATCH(X$4,Curves,0))</f>
        <v>2</v>
      </c>
      <c r="Y249" s="129" t="n">
        <f aca="false">1/(1+CHOOSE(F$3,(X250+($K$3/10000))/2,(X249+($K$3/10000))/2))^(2*W249/365.25)</f>
        <v>8.2403007473676E-013</v>
      </c>
      <c r="Z249" s="5" t="n">
        <f aca="false">IF(AND(mthbeg&lt;=A249,mthend&gt;=A249),1,0)</f>
        <v>0</v>
      </c>
      <c r="AA249" s="5" t="n">
        <f aca="false">U249*Z249</f>
        <v>0</v>
      </c>
      <c r="AC249" s="115" t="n">
        <f aca="false">IF(G242=2,F249*(S249-Q249),F249*(Q249-S249))</f>
        <v>0</v>
      </c>
      <c r="AE249" s="116" t="n">
        <f aca="false">IF($G$3=1,F249*(R249-Q249),F249*(Q249-R249))</f>
        <v>0</v>
      </c>
      <c r="AG249" s="116" t="n">
        <f aca="false">AC249+AE249</f>
        <v>0</v>
      </c>
    </row>
    <row r="250" customFormat="false" ht="12" hidden="false" customHeight="true" outlineLevel="0" collapsed="false">
      <c r="A250" s="120" t="n">
        <f aca="false">EDATE(A249,1)</f>
        <v>44593</v>
      </c>
      <c r="B250" s="121" t="e">
        <f aca="false">VLOOKUP(A250,'Inputs-Summary'!$A$32:$E$41,5,FALSE())</f>
        <v>#N/A</v>
      </c>
      <c r="C250" s="122"/>
      <c r="D250" s="123" t="e">
        <f aca="false">B250+C250</f>
        <v>#N/A</v>
      </c>
      <c r="E250" s="111" t="n">
        <f aca="false">IF(Z250=0,0,IF(AND(Z250=1,$H$3=1),D250*U250,IF($H$3=2,D250,"N/A")))</f>
        <v>0</v>
      </c>
      <c r="F250" s="111" t="n">
        <f aca="false">E250*Y250</f>
        <v>0</v>
      </c>
      <c r="G250" s="124" t="n">
        <f aca="false">VLOOKUP($A250,Table,MATCH(G$4,Curves,0))</f>
        <v>3</v>
      </c>
      <c r="H250" s="125" t="n">
        <f aca="false">G250+$H$7</f>
        <v>3</v>
      </c>
      <c r="I250" s="124" t="n">
        <f aca="false">H250</f>
        <v>3</v>
      </c>
      <c r="J250" s="124" t="n">
        <f aca="false">VLOOKUP($A250,Table,MATCH(J$4,Curves,0))</f>
        <v>4</v>
      </c>
      <c r="K250" s="125" t="n">
        <f aca="false">J250+$K$7</f>
        <v>4</v>
      </c>
      <c r="L250" s="126" t="n">
        <f aca="false">K250</f>
        <v>4</v>
      </c>
      <c r="M250" s="124" t="n">
        <f aca="false">VLOOKUP($A250,Table,MATCH(M$4,Curves,0))</f>
        <v>4</v>
      </c>
      <c r="N250" s="125" t="n">
        <f aca="false">M250+$N$7</f>
        <v>4</v>
      </c>
      <c r="O250" s="126" t="n">
        <v>-0.04</v>
      </c>
      <c r="P250" s="114"/>
      <c r="Q250" s="126" t="n">
        <f aca="false">M250+J250+G250</f>
        <v>11</v>
      </c>
      <c r="R250" s="126" t="n">
        <f aca="false">N250+K250+H250</f>
        <v>11</v>
      </c>
      <c r="S250" s="126" t="n">
        <f aca="false">O250+L250+I250</f>
        <v>6.96</v>
      </c>
      <c r="T250" s="127"/>
      <c r="U250" s="5" t="n">
        <f aca="false">A251-A250</f>
        <v>28</v>
      </c>
      <c r="V250" s="128" t="n">
        <f aca="false">CHOOSE(F$3,A251+24,A250)</f>
        <v>44593</v>
      </c>
      <c r="W250" s="5" t="n">
        <f aca="false">V250-C$3</f>
        <v>7362</v>
      </c>
      <c r="X250" s="124" t="n">
        <f aca="false">VLOOKUP($A250,Table,MATCH(X$4,Curves,0))</f>
        <v>2</v>
      </c>
      <c r="Y250" s="129" t="n">
        <f aca="false">1/(1+CHOOSE(F$3,(X251+($K$3/10000))/2,(X250+($K$3/10000))/2))^(2*W250/365.25)</f>
        <v>7.32561683841956E-013</v>
      </c>
      <c r="Z250" s="5" t="n">
        <f aca="false">IF(AND(mthbeg&lt;=A250,mthend&gt;=A250),1,0)</f>
        <v>0</v>
      </c>
      <c r="AA250" s="5" t="n">
        <f aca="false">U250*Z250</f>
        <v>0</v>
      </c>
      <c r="AC250" s="115" t="n">
        <f aca="false">IF(G243=2,F250*(S250-Q250),F250*(Q250-S250))</f>
        <v>0</v>
      </c>
      <c r="AE250" s="116" t="n">
        <f aca="false">IF($G$3=1,F250*(R250-Q250),F250*(Q250-R250))</f>
        <v>0</v>
      </c>
      <c r="AG250" s="116" t="n">
        <f aca="false">AC250+AE250</f>
        <v>0</v>
      </c>
    </row>
    <row r="251" customFormat="false" ht="12" hidden="false" customHeight="true" outlineLevel="0" collapsed="false">
      <c r="A251" s="120" t="n">
        <f aca="false">EDATE(A250,1)</f>
        <v>44621</v>
      </c>
      <c r="B251" s="121" t="e">
        <f aca="false">VLOOKUP(A251,'Inputs-Summary'!$A$32:$E$41,5,FALSE())</f>
        <v>#N/A</v>
      </c>
      <c r="C251" s="122"/>
      <c r="D251" s="123" t="e">
        <f aca="false">B251+C251</f>
        <v>#N/A</v>
      </c>
      <c r="E251" s="111" t="n">
        <f aca="false">IF(Z251=0,0,IF(AND(Z251=1,$H$3=1),D251*U251,IF($H$3=2,D251,"N/A")))</f>
        <v>0</v>
      </c>
      <c r="F251" s="111" t="n">
        <f aca="false">E251*Y251</f>
        <v>0</v>
      </c>
      <c r="G251" s="124" t="n">
        <f aca="false">VLOOKUP($A251,Table,MATCH(G$4,Curves,0))</f>
        <v>3</v>
      </c>
      <c r="H251" s="125" t="n">
        <f aca="false">G251+$H$7</f>
        <v>3</v>
      </c>
      <c r="I251" s="124" t="n">
        <f aca="false">H251</f>
        <v>3</v>
      </c>
      <c r="J251" s="124" t="n">
        <f aca="false">VLOOKUP($A251,Table,MATCH(J$4,Curves,0))</f>
        <v>4</v>
      </c>
      <c r="K251" s="125" t="n">
        <f aca="false">J251+$K$7</f>
        <v>4</v>
      </c>
      <c r="L251" s="126" t="n">
        <f aca="false">K251</f>
        <v>4</v>
      </c>
      <c r="M251" s="124" t="n">
        <f aca="false">VLOOKUP($A251,Table,MATCH(M$4,Curves,0))</f>
        <v>4</v>
      </c>
      <c r="N251" s="125" t="n">
        <f aca="false">M251+$N$7</f>
        <v>4</v>
      </c>
      <c r="O251" s="126" t="n">
        <v>-0.04</v>
      </c>
      <c r="P251" s="114"/>
      <c r="Q251" s="126" t="n">
        <f aca="false">M251+J251+G251</f>
        <v>11</v>
      </c>
      <c r="R251" s="126" t="n">
        <f aca="false">N251+K251+H251</f>
        <v>11</v>
      </c>
      <c r="S251" s="126" t="n">
        <f aca="false">O251+L251+I251</f>
        <v>6.96</v>
      </c>
      <c r="T251" s="127"/>
      <c r="U251" s="5" t="n">
        <f aca="false">A252-A251</f>
        <v>31</v>
      </c>
      <c r="V251" s="128" t="n">
        <f aca="false">CHOOSE(F$3,A252+24,A251)</f>
        <v>44621</v>
      </c>
      <c r="W251" s="5" t="n">
        <f aca="false">V251-C$3</f>
        <v>7390</v>
      </c>
      <c r="X251" s="124" t="n">
        <f aca="false">VLOOKUP($A251,Table,MATCH(X$4,Curves,0))</f>
        <v>2</v>
      </c>
      <c r="Y251" s="129" t="n">
        <f aca="false">1/(1+CHOOSE(F$3,(X252+($K$3/10000))/2,(X251+($K$3/10000))/2))^(2*W251/365.25)</f>
        <v>6.58704131843196E-013</v>
      </c>
      <c r="Z251" s="5" t="n">
        <f aca="false">IF(AND(mthbeg&lt;=A251,mthend&gt;=A251),1,0)</f>
        <v>0</v>
      </c>
      <c r="AA251" s="5" t="n">
        <f aca="false">U251*Z251</f>
        <v>0</v>
      </c>
      <c r="AC251" s="115" t="n">
        <f aca="false">IF(G244=2,F251*(S251-Q251),F251*(Q251-S251))</f>
        <v>0</v>
      </c>
      <c r="AE251" s="116" t="n">
        <f aca="false">IF($G$3=1,F251*(R251-Q251),F251*(Q251-R251))</f>
        <v>0</v>
      </c>
      <c r="AG251" s="116" t="n">
        <f aca="false">AC251+AE251</f>
        <v>0</v>
      </c>
    </row>
    <row r="252" customFormat="false" ht="12" hidden="false" customHeight="true" outlineLevel="0" collapsed="false">
      <c r="A252" s="120" t="n">
        <f aca="false">EDATE(A251,1)</f>
        <v>44652</v>
      </c>
      <c r="B252" s="121" t="e">
        <f aca="false">VLOOKUP(A252,'Inputs-Summary'!$A$32:$E$41,5,FALSE())</f>
        <v>#N/A</v>
      </c>
      <c r="C252" s="122"/>
      <c r="D252" s="123" t="e">
        <f aca="false">B252+C252</f>
        <v>#N/A</v>
      </c>
      <c r="E252" s="111" t="n">
        <f aca="false">IF(Z252=0,0,IF(AND(Z252=1,$H$3=1),D252*U252,IF($H$3=2,D252,"N/A")))</f>
        <v>0</v>
      </c>
      <c r="F252" s="111" t="n">
        <f aca="false">E252*Y252</f>
        <v>0</v>
      </c>
      <c r="G252" s="124" t="n">
        <f aca="false">VLOOKUP($A252,Table,MATCH(G$4,Curves,0))</f>
        <v>3</v>
      </c>
      <c r="H252" s="125" t="n">
        <f aca="false">G252+$H$7</f>
        <v>3</v>
      </c>
      <c r="I252" s="124" t="n">
        <f aca="false">H252</f>
        <v>3</v>
      </c>
      <c r="J252" s="124" t="n">
        <f aca="false">VLOOKUP($A252,Table,MATCH(J$4,Curves,0))</f>
        <v>4</v>
      </c>
      <c r="K252" s="125" t="n">
        <f aca="false">J252+$K$7</f>
        <v>4</v>
      </c>
      <c r="L252" s="126" t="n">
        <f aca="false">K252</f>
        <v>4</v>
      </c>
      <c r="M252" s="124" t="n">
        <f aca="false">VLOOKUP($A252,Table,MATCH(M$4,Curves,0))</f>
        <v>4</v>
      </c>
      <c r="N252" s="125" t="n">
        <f aca="false">M252+$N$7</f>
        <v>4</v>
      </c>
      <c r="O252" s="126" t="n">
        <v>-0.04</v>
      </c>
      <c r="P252" s="114"/>
      <c r="Q252" s="126" t="n">
        <f aca="false">M252+J252+G252</f>
        <v>11</v>
      </c>
      <c r="R252" s="126" t="n">
        <f aca="false">N252+K252+H252</f>
        <v>11</v>
      </c>
      <c r="S252" s="126" t="n">
        <f aca="false">O252+L252+I252</f>
        <v>6.96</v>
      </c>
      <c r="T252" s="127"/>
      <c r="U252" s="5" t="n">
        <f aca="false">A253-A252</f>
        <v>30</v>
      </c>
      <c r="V252" s="128" t="n">
        <f aca="false">CHOOSE(F$3,A253+24,A252)</f>
        <v>44652</v>
      </c>
      <c r="W252" s="5" t="n">
        <f aca="false">V252-C$3</f>
        <v>7421</v>
      </c>
      <c r="X252" s="124" t="n">
        <f aca="false">VLOOKUP($A252,Table,MATCH(X$4,Curves,0))</f>
        <v>2</v>
      </c>
      <c r="Y252" s="129" t="n">
        <f aca="false">1/(1+CHOOSE(F$3,(X253+($K$3/10000))/2,(X252+($K$3/10000))/2))^(2*W252/365.25)</f>
        <v>5.85587131793527E-013</v>
      </c>
      <c r="Z252" s="5" t="n">
        <f aca="false">IF(AND(mthbeg&lt;=A252,mthend&gt;=A252),1,0)</f>
        <v>0</v>
      </c>
      <c r="AA252" s="5" t="n">
        <f aca="false">U252*Z252</f>
        <v>0</v>
      </c>
      <c r="AC252" s="115" t="n">
        <f aca="false">IF(G245=2,F252*(S252-Q252),F252*(Q252-S252))</f>
        <v>0</v>
      </c>
      <c r="AE252" s="116" t="n">
        <f aca="false">IF($G$3=1,F252*(R252-Q252),F252*(Q252-R252))</f>
        <v>0</v>
      </c>
      <c r="AG252" s="116" t="n">
        <f aca="false">AC252+AE252</f>
        <v>0</v>
      </c>
    </row>
    <row r="253" customFormat="false" ht="12" hidden="false" customHeight="true" outlineLevel="0" collapsed="false">
      <c r="A253" s="120" t="n">
        <f aca="false">EDATE(A252,1)</f>
        <v>44682</v>
      </c>
      <c r="B253" s="121" t="e">
        <f aca="false">VLOOKUP(A253,'Inputs-Summary'!$A$32:$E$41,5,FALSE())</f>
        <v>#N/A</v>
      </c>
      <c r="C253" s="122"/>
      <c r="D253" s="123" t="e">
        <f aca="false">B253+C253</f>
        <v>#N/A</v>
      </c>
      <c r="E253" s="111" t="n">
        <f aca="false">IF(Z253=0,0,IF(AND(Z253=1,$H$3=1),D253*U253,IF($H$3=2,D253,"N/A")))</f>
        <v>0</v>
      </c>
      <c r="F253" s="111" t="n">
        <f aca="false">E253*Y253</f>
        <v>0</v>
      </c>
      <c r="G253" s="124" t="n">
        <f aca="false">VLOOKUP($A253,Table,MATCH(G$4,Curves,0))</f>
        <v>3</v>
      </c>
      <c r="H253" s="125" t="n">
        <f aca="false">G253+$H$7</f>
        <v>3</v>
      </c>
      <c r="I253" s="124" t="n">
        <f aca="false">H253</f>
        <v>3</v>
      </c>
      <c r="J253" s="124" t="n">
        <f aca="false">VLOOKUP($A253,Table,MATCH(J$4,Curves,0))</f>
        <v>4</v>
      </c>
      <c r="K253" s="125" t="n">
        <f aca="false">J253+$K$7</f>
        <v>4</v>
      </c>
      <c r="L253" s="126" t="n">
        <f aca="false">K253</f>
        <v>4</v>
      </c>
      <c r="M253" s="124" t="n">
        <f aca="false">VLOOKUP($A253,Table,MATCH(M$4,Curves,0))</f>
        <v>4</v>
      </c>
      <c r="N253" s="125" t="n">
        <f aca="false">M253+$N$7</f>
        <v>4</v>
      </c>
      <c r="O253" s="126" t="n">
        <v>-0.04</v>
      </c>
      <c r="P253" s="114"/>
      <c r="Q253" s="126" t="n">
        <f aca="false">M253+J253+G253</f>
        <v>11</v>
      </c>
      <c r="R253" s="126" t="n">
        <f aca="false">N253+K253+H253</f>
        <v>11</v>
      </c>
      <c r="S253" s="126" t="n">
        <f aca="false">O253+L253+I253</f>
        <v>6.96</v>
      </c>
      <c r="T253" s="127"/>
      <c r="U253" s="5" t="n">
        <f aca="false">A254-A253</f>
        <v>31</v>
      </c>
      <c r="V253" s="128" t="n">
        <f aca="false">CHOOSE(F$3,A254+24,A253)</f>
        <v>44682</v>
      </c>
      <c r="W253" s="5" t="n">
        <f aca="false">V253-C$3</f>
        <v>7451</v>
      </c>
      <c r="X253" s="124" t="n">
        <f aca="false">VLOOKUP($A253,Table,MATCH(X$4,Curves,0))</f>
        <v>2</v>
      </c>
      <c r="Y253" s="129" t="n">
        <f aca="false">1/(1+CHOOSE(F$3,(X254+($K$3/10000))/2,(X253+($K$3/10000))/2))^(2*W253/365.25)</f>
        <v>5.22565834411623E-013</v>
      </c>
      <c r="Z253" s="5" t="n">
        <f aca="false">IF(AND(mthbeg&lt;=A253,mthend&gt;=A253),1,0)</f>
        <v>0</v>
      </c>
      <c r="AA253" s="5" t="n">
        <f aca="false">U253*Z253</f>
        <v>0</v>
      </c>
      <c r="AC253" s="115" t="n">
        <f aca="false">IF(G246=2,F253*(S253-Q253),F253*(Q253-S253))</f>
        <v>0</v>
      </c>
      <c r="AE253" s="116" t="n">
        <f aca="false">IF($G$3=1,F253*(R253-Q253),F253*(Q253-R253))</f>
        <v>0</v>
      </c>
      <c r="AG253" s="116" t="n">
        <f aca="false">AC253+AE253</f>
        <v>0</v>
      </c>
    </row>
    <row r="254" customFormat="false" ht="12" hidden="false" customHeight="true" outlineLevel="0" collapsed="false">
      <c r="A254" s="120" t="n">
        <f aca="false">EDATE(A253,1)</f>
        <v>44713</v>
      </c>
      <c r="B254" s="121" t="e">
        <f aca="false">VLOOKUP(A254,'Inputs-Summary'!$A$32:$E$41,5,FALSE())</f>
        <v>#N/A</v>
      </c>
      <c r="C254" s="122"/>
      <c r="D254" s="123" t="e">
        <f aca="false">B254+C254</f>
        <v>#N/A</v>
      </c>
      <c r="E254" s="111" t="n">
        <f aca="false">IF(Z254=0,0,IF(AND(Z254=1,$H$3=1),D254*U254,IF($H$3=2,D254,"N/A")))</f>
        <v>0</v>
      </c>
      <c r="F254" s="111" t="n">
        <f aca="false">E254*Y254</f>
        <v>0</v>
      </c>
      <c r="G254" s="124" t="n">
        <f aca="false">VLOOKUP($A254,Table,MATCH(G$4,Curves,0))</f>
        <v>3</v>
      </c>
      <c r="H254" s="125" t="n">
        <f aca="false">G254+$H$7</f>
        <v>3</v>
      </c>
      <c r="I254" s="124" t="n">
        <f aca="false">H254</f>
        <v>3</v>
      </c>
      <c r="J254" s="124" t="n">
        <f aca="false">VLOOKUP($A254,Table,MATCH(J$4,Curves,0))</f>
        <v>4</v>
      </c>
      <c r="K254" s="125" t="n">
        <f aca="false">J254+$K$7</f>
        <v>4</v>
      </c>
      <c r="L254" s="126" t="n">
        <f aca="false">K254</f>
        <v>4</v>
      </c>
      <c r="M254" s="124" t="n">
        <f aca="false">VLOOKUP($A254,Table,MATCH(M$4,Curves,0))</f>
        <v>4</v>
      </c>
      <c r="N254" s="125" t="n">
        <f aca="false">M254+$N$7</f>
        <v>4</v>
      </c>
      <c r="O254" s="126" t="n">
        <v>-0.04</v>
      </c>
      <c r="P254" s="114"/>
      <c r="Q254" s="126" t="n">
        <f aca="false">M254+J254+G254</f>
        <v>11</v>
      </c>
      <c r="R254" s="126" t="n">
        <f aca="false">N254+K254+H254</f>
        <v>11</v>
      </c>
      <c r="S254" s="126" t="n">
        <f aca="false">O254+L254+I254</f>
        <v>6.96</v>
      </c>
      <c r="T254" s="127"/>
      <c r="U254" s="5" t="n">
        <f aca="false">A255-A254</f>
        <v>30</v>
      </c>
      <c r="V254" s="128" t="n">
        <f aca="false">CHOOSE(F$3,A255+24,A254)</f>
        <v>44713</v>
      </c>
      <c r="W254" s="5" t="n">
        <f aca="false">V254-C$3</f>
        <v>7482</v>
      </c>
      <c r="X254" s="124" t="n">
        <f aca="false">VLOOKUP($A254,Table,MATCH(X$4,Curves,0))</f>
        <v>2</v>
      </c>
      <c r="Y254" s="129" t="n">
        <f aca="false">1/(1+CHOOSE(F$3,(X255+($K$3/10000))/2,(X254+($K$3/10000))/2))^(2*W254/365.25)</f>
        <v>4.64560359277113E-013</v>
      </c>
      <c r="Z254" s="5" t="n">
        <f aca="false">IF(AND(mthbeg&lt;=A254,mthend&gt;=A254),1,0)</f>
        <v>0</v>
      </c>
      <c r="AA254" s="5" t="n">
        <f aca="false">U254*Z254</f>
        <v>0</v>
      </c>
      <c r="AC254" s="115" t="n">
        <f aca="false">IF(G247=2,F254*(S254-Q254),F254*(Q254-S254))</f>
        <v>0</v>
      </c>
      <c r="AE254" s="116" t="n">
        <f aca="false">IF($G$3=1,F254*(R254-Q254),F254*(Q254-R254))</f>
        <v>0</v>
      </c>
      <c r="AG254" s="116" t="n">
        <f aca="false">AC254+AE254</f>
        <v>0</v>
      </c>
    </row>
    <row r="255" customFormat="false" ht="12" hidden="false" customHeight="true" outlineLevel="0" collapsed="false">
      <c r="A255" s="120" t="n">
        <f aca="false">EDATE(A254,1)</f>
        <v>44743</v>
      </c>
      <c r="B255" s="121" t="e">
        <f aca="false">VLOOKUP(A255,'Inputs-Summary'!$A$32:$E$41,5,FALSE())</f>
        <v>#N/A</v>
      </c>
      <c r="C255" s="122"/>
      <c r="D255" s="123" t="e">
        <f aca="false">B255+C255</f>
        <v>#N/A</v>
      </c>
      <c r="E255" s="111" t="n">
        <f aca="false">IF(Z255=0,0,IF(AND(Z255=1,$H$3=1),D255*U255,IF($H$3=2,D255,"N/A")))</f>
        <v>0</v>
      </c>
      <c r="F255" s="111" t="n">
        <f aca="false">E255*Y255</f>
        <v>0</v>
      </c>
      <c r="G255" s="124" t="n">
        <f aca="false">VLOOKUP($A255,Table,MATCH(G$4,Curves,0))</f>
        <v>3</v>
      </c>
      <c r="H255" s="125" t="n">
        <f aca="false">G255+$H$7</f>
        <v>3</v>
      </c>
      <c r="I255" s="124" t="n">
        <f aca="false">H255</f>
        <v>3</v>
      </c>
      <c r="J255" s="124" t="n">
        <f aca="false">VLOOKUP($A255,Table,MATCH(J$4,Curves,0))</f>
        <v>4</v>
      </c>
      <c r="K255" s="125" t="n">
        <f aca="false">J255+$K$7</f>
        <v>4</v>
      </c>
      <c r="L255" s="126" t="n">
        <f aca="false">K255</f>
        <v>4</v>
      </c>
      <c r="M255" s="124" t="n">
        <f aca="false">VLOOKUP($A255,Table,MATCH(M$4,Curves,0))</f>
        <v>4</v>
      </c>
      <c r="N255" s="125" t="n">
        <f aca="false">M255+$N$7</f>
        <v>4</v>
      </c>
      <c r="O255" s="126" t="n">
        <v>-0.04</v>
      </c>
      <c r="P255" s="114"/>
      <c r="Q255" s="126" t="n">
        <f aca="false">M255+J255+G255</f>
        <v>11</v>
      </c>
      <c r="R255" s="126" t="n">
        <f aca="false">N255+K255+H255</f>
        <v>11</v>
      </c>
      <c r="S255" s="126" t="n">
        <f aca="false">O255+L255+I255</f>
        <v>6.96</v>
      </c>
      <c r="T255" s="127"/>
      <c r="U255" s="5" t="n">
        <f aca="false">A256-A255</f>
        <v>31</v>
      </c>
      <c r="V255" s="128" t="n">
        <f aca="false">CHOOSE(F$3,A256+24,A255)</f>
        <v>44743</v>
      </c>
      <c r="W255" s="5" t="n">
        <f aca="false">V255-C$3</f>
        <v>7512</v>
      </c>
      <c r="X255" s="124" t="n">
        <f aca="false">VLOOKUP($A255,Table,MATCH(X$4,Curves,0))</f>
        <v>2</v>
      </c>
      <c r="Y255" s="129" t="n">
        <f aca="false">1/(1+CHOOSE(F$3,(X256+($K$3/10000))/2,(X255+($K$3/10000))/2))^(2*W255/365.25)</f>
        <v>4.14564047943943E-013</v>
      </c>
      <c r="Z255" s="5" t="n">
        <f aca="false">IF(AND(mthbeg&lt;=A255,mthend&gt;=A255),1,0)</f>
        <v>0</v>
      </c>
      <c r="AA255" s="5" t="n">
        <f aca="false">U255*Z255</f>
        <v>0</v>
      </c>
      <c r="AC255" s="115" t="n">
        <f aca="false">IF(G248=2,F255*(S255-Q255),F255*(Q255-S255))</f>
        <v>0</v>
      </c>
      <c r="AE255" s="116" t="n">
        <f aca="false">IF($G$3=1,F255*(R255-Q255),F255*(Q255-R255))</f>
        <v>0</v>
      </c>
      <c r="AG255" s="116" t="n">
        <f aca="false">AC255+AE255</f>
        <v>0</v>
      </c>
    </row>
    <row r="256" customFormat="false" ht="12" hidden="false" customHeight="true" outlineLevel="0" collapsed="false">
      <c r="A256" s="120" t="n">
        <f aca="false">EDATE(A255,1)</f>
        <v>44774</v>
      </c>
      <c r="B256" s="121" t="e">
        <f aca="false">VLOOKUP(A256,'Inputs-Summary'!$A$32:$E$41,5,FALSE())</f>
        <v>#N/A</v>
      </c>
      <c r="C256" s="122"/>
      <c r="D256" s="123" t="e">
        <f aca="false">B256+C256</f>
        <v>#N/A</v>
      </c>
      <c r="E256" s="111" t="n">
        <f aca="false">IF(Z256=0,0,IF(AND(Z256=1,$H$3=1),D256*U256,IF($H$3=2,D256,"N/A")))</f>
        <v>0</v>
      </c>
      <c r="F256" s="111" t="n">
        <f aca="false">E256*Y256</f>
        <v>0</v>
      </c>
      <c r="G256" s="124" t="n">
        <f aca="false">VLOOKUP($A256,Table,MATCH(G$4,Curves,0))</f>
        <v>3</v>
      </c>
      <c r="H256" s="125" t="n">
        <f aca="false">G256+$H$7</f>
        <v>3</v>
      </c>
      <c r="I256" s="124" t="n">
        <f aca="false">H256</f>
        <v>3</v>
      </c>
      <c r="J256" s="124" t="n">
        <f aca="false">VLOOKUP($A256,Table,MATCH(J$4,Curves,0))</f>
        <v>4</v>
      </c>
      <c r="K256" s="125" t="n">
        <f aca="false">J256+$K$7</f>
        <v>4</v>
      </c>
      <c r="L256" s="126" t="n">
        <f aca="false">K256</f>
        <v>4</v>
      </c>
      <c r="M256" s="124" t="n">
        <f aca="false">VLOOKUP($A256,Table,MATCH(M$4,Curves,0))</f>
        <v>4</v>
      </c>
      <c r="N256" s="125" t="n">
        <f aca="false">M256+$N$7</f>
        <v>4</v>
      </c>
      <c r="O256" s="126" t="n">
        <v>-0.04</v>
      </c>
      <c r="P256" s="114"/>
      <c r="Q256" s="126" t="n">
        <f aca="false">M256+J256+G256</f>
        <v>11</v>
      </c>
      <c r="R256" s="126" t="n">
        <f aca="false">N256+K256+H256</f>
        <v>11</v>
      </c>
      <c r="S256" s="126" t="n">
        <f aca="false">O256+L256+I256</f>
        <v>6.96</v>
      </c>
      <c r="T256" s="127"/>
      <c r="U256" s="5" t="n">
        <f aca="false">A257-A256</f>
        <v>31</v>
      </c>
      <c r="V256" s="128" t="n">
        <f aca="false">CHOOSE(F$3,A257+24,A256)</f>
        <v>44774</v>
      </c>
      <c r="W256" s="5" t="n">
        <f aca="false">V256-C$3</f>
        <v>7543</v>
      </c>
      <c r="X256" s="124" t="n">
        <f aca="false">VLOOKUP($A256,Table,MATCH(X$4,Curves,0))</f>
        <v>2</v>
      </c>
      <c r="Y256" s="129" t="n">
        <f aca="false">1/(1+CHOOSE(F$3,(X257+($K$3/10000))/2,(X256+($K$3/10000))/2))^(2*W256/365.25)</f>
        <v>3.685469090666E-013</v>
      </c>
      <c r="Z256" s="5" t="n">
        <f aca="false">IF(AND(mthbeg&lt;=A256,mthend&gt;=A256),1,0)</f>
        <v>0</v>
      </c>
      <c r="AA256" s="5" t="n">
        <f aca="false">U256*Z256</f>
        <v>0</v>
      </c>
      <c r="AC256" s="115" t="n">
        <f aca="false">IF(G249=2,F256*(S256-Q256),F256*(Q256-S256))</f>
        <v>0</v>
      </c>
      <c r="AE256" s="116" t="n">
        <f aca="false">IF($G$3=1,F256*(R256-Q256),F256*(Q256-R256))</f>
        <v>0</v>
      </c>
      <c r="AG256" s="116" t="n">
        <f aca="false">AC256+AE256</f>
        <v>0</v>
      </c>
    </row>
    <row r="257" customFormat="false" ht="12" hidden="false" customHeight="true" outlineLevel="0" collapsed="false">
      <c r="A257" s="120" t="n">
        <f aca="false">EDATE(A256,1)</f>
        <v>44805</v>
      </c>
      <c r="B257" s="121" t="e">
        <f aca="false">VLOOKUP(A257,'Inputs-Summary'!$A$32:$E$41,5,FALSE())</f>
        <v>#N/A</v>
      </c>
      <c r="C257" s="122"/>
      <c r="D257" s="123" t="e">
        <f aca="false">B257+C257</f>
        <v>#N/A</v>
      </c>
      <c r="E257" s="111" t="n">
        <f aca="false">IF(Z257=0,0,IF(AND(Z257=1,$H$3=1),D257*U257,IF($H$3=2,D257,"N/A")))</f>
        <v>0</v>
      </c>
      <c r="F257" s="111" t="n">
        <f aca="false">E257*Y257</f>
        <v>0</v>
      </c>
      <c r="G257" s="124" t="n">
        <f aca="false">VLOOKUP($A257,Table,MATCH(G$4,Curves,0))</f>
        <v>3</v>
      </c>
      <c r="H257" s="125" t="n">
        <f aca="false">G257+$H$7</f>
        <v>3</v>
      </c>
      <c r="I257" s="124" t="n">
        <f aca="false">H257</f>
        <v>3</v>
      </c>
      <c r="J257" s="124" t="n">
        <f aca="false">VLOOKUP($A257,Table,MATCH(J$4,Curves,0))</f>
        <v>4</v>
      </c>
      <c r="K257" s="125" t="n">
        <f aca="false">J257+$K$7</f>
        <v>4</v>
      </c>
      <c r="L257" s="126" t="n">
        <f aca="false">K257</f>
        <v>4</v>
      </c>
      <c r="M257" s="124" t="n">
        <f aca="false">VLOOKUP($A257,Table,MATCH(M$4,Curves,0))</f>
        <v>4</v>
      </c>
      <c r="N257" s="125" t="n">
        <f aca="false">M257+$N$7</f>
        <v>4</v>
      </c>
      <c r="O257" s="126" t="n">
        <v>-0.04</v>
      </c>
      <c r="P257" s="114"/>
      <c r="Q257" s="126" t="n">
        <f aca="false">M257+J257+G257</f>
        <v>11</v>
      </c>
      <c r="R257" s="126" t="n">
        <f aca="false">N257+K257+H257</f>
        <v>11</v>
      </c>
      <c r="S257" s="126" t="n">
        <f aca="false">O257+L257+I257</f>
        <v>6.96</v>
      </c>
      <c r="T257" s="127"/>
      <c r="U257" s="5" t="n">
        <f aca="false">A258-A257</f>
        <v>30</v>
      </c>
      <c r="V257" s="128" t="n">
        <f aca="false">CHOOSE(F$3,A258+24,A257)</f>
        <v>44805</v>
      </c>
      <c r="W257" s="5" t="n">
        <f aca="false">V257-C$3</f>
        <v>7574</v>
      </c>
      <c r="X257" s="124" t="n">
        <f aca="false">VLOOKUP($A257,Table,MATCH(X$4,Curves,0))</f>
        <v>2</v>
      </c>
      <c r="Y257" s="129" t="n">
        <f aca="false">1/(1+CHOOSE(F$3,(X258+($K$3/10000))/2,(X257+($K$3/10000))/2))^(2*W257/365.25)</f>
        <v>3.27637731385986E-013</v>
      </c>
      <c r="Z257" s="5" t="n">
        <f aca="false">IF(AND(mthbeg&lt;=A257,mthend&gt;=A257),1,0)</f>
        <v>0</v>
      </c>
      <c r="AA257" s="5" t="n">
        <f aca="false">U257*Z257</f>
        <v>0</v>
      </c>
      <c r="AC257" s="115" t="n">
        <f aca="false">IF(G250=2,F257*(S257-Q257),F257*(Q257-S257))</f>
        <v>0</v>
      </c>
      <c r="AE257" s="116" t="n">
        <f aca="false">IF($G$3=1,F257*(R257-Q257),F257*(Q257-R257))</f>
        <v>0</v>
      </c>
      <c r="AG257" s="116" t="n">
        <f aca="false">AC257+AE257</f>
        <v>0</v>
      </c>
    </row>
    <row r="258" customFormat="false" ht="12" hidden="false" customHeight="true" outlineLevel="0" collapsed="false">
      <c r="A258" s="120" t="n">
        <f aca="false">EDATE(A257,1)</f>
        <v>44835</v>
      </c>
      <c r="B258" s="121" t="e">
        <f aca="false">VLOOKUP(A258,'Inputs-Summary'!$A$32:$E$41,5,FALSE())</f>
        <v>#N/A</v>
      </c>
      <c r="C258" s="122"/>
      <c r="D258" s="123" t="e">
        <f aca="false">B258+C258</f>
        <v>#N/A</v>
      </c>
      <c r="E258" s="111" t="n">
        <f aca="false">IF(Z258=0,0,IF(AND(Z258=1,$H$3=1),D258*U258,IF($H$3=2,D258,"N/A")))</f>
        <v>0</v>
      </c>
      <c r="F258" s="111" t="n">
        <f aca="false">E258*Y258</f>
        <v>0</v>
      </c>
      <c r="G258" s="124" t="n">
        <f aca="false">VLOOKUP($A258,Table,MATCH(G$4,Curves,0))</f>
        <v>3</v>
      </c>
      <c r="H258" s="125" t="n">
        <f aca="false">G258+$H$7</f>
        <v>3</v>
      </c>
      <c r="I258" s="124" t="n">
        <f aca="false">H258</f>
        <v>3</v>
      </c>
      <c r="J258" s="124" t="n">
        <f aca="false">VLOOKUP($A258,Table,MATCH(J$4,Curves,0))</f>
        <v>4</v>
      </c>
      <c r="K258" s="125" t="n">
        <f aca="false">J258+$K$7</f>
        <v>4</v>
      </c>
      <c r="L258" s="126" t="n">
        <f aca="false">K258</f>
        <v>4</v>
      </c>
      <c r="M258" s="124" t="n">
        <f aca="false">VLOOKUP($A258,Table,MATCH(M$4,Curves,0))</f>
        <v>4</v>
      </c>
      <c r="N258" s="125" t="n">
        <f aca="false">M258+$N$7</f>
        <v>4</v>
      </c>
      <c r="O258" s="126" t="n">
        <v>-0.04</v>
      </c>
      <c r="P258" s="114"/>
      <c r="Q258" s="126" t="n">
        <f aca="false">M258+J258+G258</f>
        <v>11</v>
      </c>
      <c r="R258" s="126" t="n">
        <f aca="false">N258+K258+H258</f>
        <v>11</v>
      </c>
      <c r="S258" s="126" t="n">
        <f aca="false">O258+L258+I258</f>
        <v>6.96</v>
      </c>
      <c r="T258" s="127"/>
      <c r="U258" s="5" t="n">
        <f aca="false">A259-A258</f>
        <v>31</v>
      </c>
      <c r="V258" s="128" t="n">
        <f aca="false">CHOOSE(F$3,A259+24,A258)</f>
        <v>44835</v>
      </c>
      <c r="W258" s="5" t="n">
        <f aca="false">V258-C$3</f>
        <v>7604</v>
      </c>
      <c r="X258" s="124" t="n">
        <f aca="false">VLOOKUP($A258,Table,MATCH(X$4,Curves,0))</f>
        <v>2</v>
      </c>
      <c r="Y258" s="129" t="n">
        <f aca="false">1/(1+CHOOSE(F$3,(X259+($K$3/10000))/2,(X258+($K$3/10000))/2))^(2*W258/365.25)</f>
        <v>2.92377129193503E-013</v>
      </c>
      <c r="Z258" s="5" t="n">
        <f aca="false">IF(AND(mthbeg&lt;=A258,mthend&gt;=A258),1,0)</f>
        <v>0</v>
      </c>
      <c r="AA258" s="5" t="n">
        <f aca="false">U258*Z258</f>
        <v>0</v>
      </c>
      <c r="AC258" s="115" t="n">
        <f aca="false">IF(G251=2,F258*(S258-Q258),F258*(Q258-S258))</f>
        <v>0</v>
      </c>
      <c r="AE258" s="116" t="n">
        <f aca="false">IF($G$3=1,F258*(R258-Q258),F258*(Q258-R258))</f>
        <v>0</v>
      </c>
      <c r="AG258" s="116" t="n">
        <f aca="false">AC258+AE258</f>
        <v>0</v>
      </c>
    </row>
    <row r="259" customFormat="false" ht="12" hidden="false" customHeight="true" outlineLevel="0" collapsed="false">
      <c r="A259" s="120" t="n">
        <f aca="false">EDATE(A258,1)</f>
        <v>44866</v>
      </c>
      <c r="B259" s="121" t="e">
        <f aca="false">VLOOKUP(A259,'Inputs-Summary'!$A$32:$E$41,5,FALSE())</f>
        <v>#N/A</v>
      </c>
      <c r="C259" s="122"/>
      <c r="D259" s="123" t="e">
        <f aca="false">B259+C259</f>
        <v>#N/A</v>
      </c>
      <c r="E259" s="111" t="n">
        <f aca="false">IF(Z259=0,0,IF(AND(Z259=1,$H$3=1),D259*U259,IF($H$3=2,D259,"N/A")))</f>
        <v>0</v>
      </c>
      <c r="F259" s="111" t="n">
        <f aca="false">E259*Y259</f>
        <v>0</v>
      </c>
      <c r="G259" s="124" t="n">
        <f aca="false">VLOOKUP($A259,Table,MATCH(G$4,Curves,0))</f>
        <v>3</v>
      </c>
      <c r="H259" s="125" t="n">
        <f aca="false">G259+$H$7</f>
        <v>3</v>
      </c>
      <c r="I259" s="124" t="n">
        <f aca="false">H259</f>
        <v>3</v>
      </c>
      <c r="J259" s="124" t="n">
        <f aca="false">VLOOKUP($A259,Table,MATCH(J$4,Curves,0))</f>
        <v>4</v>
      </c>
      <c r="K259" s="125" t="n">
        <f aca="false">J259+$K$7</f>
        <v>4</v>
      </c>
      <c r="L259" s="126" t="n">
        <f aca="false">K259</f>
        <v>4</v>
      </c>
      <c r="M259" s="124" t="n">
        <f aca="false">VLOOKUP($A259,Table,MATCH(M$4,Curves,0))</f>
        <v>4</v>
      </c>
      <c r="N259" s="125" t="n">
        <f aca="false">M259+$N$7</f>
        <v>4</v>
      </c>
      <c r="O259" s="126" t="n">
        <v>-0.04</v>
      </c>
      <c r="P259" s="114"/>
      <c r="Q259" s="126" t="n">
        <f aca="false">M259+J259+G259</f>
        <v>11</v>
      </c>
      <c r="R259" s="126" t="n">
        <f aca="false">N259+K259+H259</f>
        <v>11</v>
      </c>
      <c r="S259" s="126" t="n">
        <f aca="false">O259+L259+I259</f>
        <v>6.96</v>
      </c>
      <c r="T259" s="127"/>
      <c r="U259" s="5" t="n">
        <f aca="false">A260-A259</f>
        <v>30</v>
      </c>
      <c r="V259" s="128" t="n">
        <f aca="false">CHOOSE(F$3,A260+24,A259)</f>
        <v>44866</v>
      </c>
      <c r="W259" s="5" t="n">
        <f aca="false">V259-C$3</f>
        <v>7635</v>
      </c>
      <c r="X259" s="124" t="n">
        <f aca="false">VLOOKUP($A259,Table,MATCH(X$4,Curves,0))</f>
        <v>2</v>
      </c>
      <c r="Y259" s="129" t="n">
        <f aca="false">1/(1+CHOOSE(F$3,(X260+($K$3/10000))/2,(X259+($K$3/10000))/2))^(2*W259/365.25)</f>
        <v>2.59922894376509E-013</v>
      </c>
      <c r="Z259" s="5" t="n">
        <f aca="false">IF(AND(mthbeg&lt;=A259,mthend&gt;=A259),1,0)</f>
        <v>0</v>
      </c>
      <c r="AA259" s="5" t="n">
        <f aca="false">U259*Z259</f>
        <v>0</v>
      </c>
      <c r="AC259" s="115" t="n">
        <f aca="false">IF(G252=2,F259*(S259-Q259),F259*(Q259-S259))</f>
        <v>0</v>
      </c>
      <c r="AE259" s="116" t="n">
        <f aca="false">IF($G$3=1,F259*(R259-Q259),F259*(Q259-R259))</f>
        <v>0</v>
      </c>
      <c r="AG259" s="116" t="n">
        <f aca="false">AC259+AE259</f>
        <v>0</v>
      </c>
    </row>
    <row r="260" customFormat="false" ht="12" hidden="false" customHeight="true" outlineLevel="0" collapsed="false">
      <c r="A260" s="120" t="n">
        <f aca="false">EDATE(A259,1)</f>
        <v>44896</v>
      </c>
      <c r="B260" s="121" t="e">
        <f aca="false">VLOOKUP(A260,'Inputs-Summary'!$A$32:$E$41,5,FALSE())</f>
        <v>#N/A</v>
      </c>
      <c r="C260" s="122"/>
      <c r="D260" s="123" t="e">
        <f aca="false">B260+C260</f>
        <v>#N/A</v>
      </c>
      <c r="E260" s="111" t="n">
        <f aca="false">IF(Z260=0,0,IF(AND(Z260=1,$H$3=1),D260*U260,IF($H$3=2,D260,"N/A")))</f>
        <v>0</v>
      </c>
      <c r="F260" s="111" t="n">
        <f aca="false">E260*Y260</f>
        <v>0</v>
      </c>
      <c r="G260" s="124" t="n">
        <f aca="false">VLOOKUP($A260,Table,MATCH(G$4,Curves,0))</f>
        <v>3</v>
      </c>
      <c r="H260" s="125" t="n">
        <f aca="false">G260+$H$7</f>
        <v>3</v>
      </c>
      <c r="I260" s="124" t="n">
        <f aca="false">H260</f>
        <v>3</v>
      </c>
      <c r="J260" s="124" t="n">
        <f aca="false">VLOOKUP($A260,Table,MATCH(J$4,Curves,0))</f>
        <v>4</v>
      </c>
      <c r="K260" s="125" t="n">
        <f aca="false">J260+$K$7</f>
        <v>4</v>
      </c>
      <c r="L260" s="126" t="n">
        <f aca="false">K260</f>
        <v>4</v>
      </c>
      <c r="M260" s="124" t="n">
        <f aca="false">VLOOKUP($A260,Table,MATCH(M$4,Curves,0))</f>
        <v>4</v>
      </c>
      <c r="N260" s="125" t="n">
        <f aca="false">M260+$N$7</f>
        <v>4</v>
      </c>
      <c r="O260" s="126" t="n">
        <v>-0.04</v>
      </c>
      <c r="P260" s="114"/>
      <c r="Q260" s="126" t="n">
        <f aca="false">M260+J260+G260</f>
        <v>11</v>
      </c>
      <c r="R260" s="126" t="n">
        <f aca="false">N260+K260+H260</f>
        <v>11</v>
      </c>
      <c r="S260" s="126" t="n">
        <f aca="false">O260+L260+I260</f>
        <v>6.96</v>
      </c>
      <c r="T260" s="127"/>
      <c r="U260" s="5" t="n">
        <f aca="false">A261-A260</f>
        <v>31</v>
      </c>
      <c r="V260" s="128" t="n">
        <f aca="false">CHOOSE(F$3,A261+24,A260)</f>
        <v>44896</v>
      </c>
      <c r="W260" s="5" t="n">
        <f aca="false">V260-C$3</f>
        <v>7665</v>
      </c>
      <c r="X260" s="124" t="n">
        <f aca="false">VLOOKUP($A260,Table,MATCH(X$4,Curves,0))</f>
        <v>2</v>
      </c>
      <c r="Y260" s="129" t="n">
        <f aca="false">1/(1+CHOOSE(F$3,(X261+($K$3/10000))/2,(X260+($K$3/10000))/2))^(2*W260/365.25)</f>
        <v>2.31949810383533E-013</v>
      </c>
      <c r="Z260" s="5" t="n">
        <f aca="false">IF(AND(mthbeg&lt;=A260,mthend&gt;=A260),1,0)</f>
        <v>0</v>
      </c>
      <c r="AA260" s="5" t="n">
        <f aca="false">U260*Z260</f>
        <v>0</v>
      </c>
      <c r="AC260" s="115" t="n">
        <f aca="false">IF(G253=2,F260*(S260-Q260),F260*(Q260-S260))</f>
        <v>0</v>
      </c>
      <c r="AE260" s="116" t="n">
        <f aca="false">IF($G$3=1,F260*(R260-Q260),F260*(Q260-R260))</f>
        <v>0</v>
      </c>
      <c r="AG260" s="116" t="n">
        <f aca="false">AC260+AE260</f>
        <v>0</v>
      </c>
    </row>
    <row r="261" customFormat="false" ht="12" hidden="false" customHeight="true" outlineLevel="0" collapsed="false">
      <c r="A261" s="120" t="n">
        <f aca="false">EDATE(A260,1)</f>
        <v>44927</v>
      </c>
      <c r="B261" s="121" t="e">
        <f aca="false">VLOOKUP(A261,'Inputs-Summary'!$A$32:$E$41,5,FALSE())</f>
        <v>#N/A</v>
      </c>
      <c r="C261" s="122"/>
      <c r="D261" s="123" t="e">
        <f aca="false">B261+C261</f>
        <v>#N/A</v>
      </c>
      <c r="E261" s="111" t="n">
        <f aca="false">IF(Z261=0,0,IF(AND(Z261=1,$H$3=1),D261*U261,IF($H$3=2,D261,"N/A")))</f>
        <v>0</v>
      </c>
      <c r="F261" s="111" t="n">
        <f aca="false">E261*Y261</f>
        <v>0</v>
      </c>
      <c r="G261" s="124" t="n">
        <f aca="false">VLOOKUP($A261,Table,MATCH(G$4,Curves,0))</f>
        <v>3</v>
      </c>
      <c r="H261" s="125" t="n">
        <f aca="false">G261+$H$7</f>
        <v>3</v>
      </c>
      <c r="I261" s="124" t="n">
        <f aca="false">H261</f>
        <v>3</v>
      </c>
      <c r="J261" s="124" t="n">
        <f aca="false">VLOOKUP($A261,Table,MATCH(J$4,Curves,0))</f>
        <v>4</v>
      </c>
      <c r="K261" s="125" t="n">
        <f aca="false">J261+$K$7</f>
        <v>4</v>
      </c>
      <c r="L261" s="126" t="n">
        <f aca="false">K261</f>
        <v>4</v>
      </c>
      <c r="M261" s="124" t="n">
        <f aca="false">VLOOKUP($A261,Table,MATCH(M$4,Curves,0))</f>
        <v>4</v>
      </c>
      <c r="N261" s="125" t="n">
        <f aca="false">M261+$N$7</f>
        <v>4</v>
      </c>
      <c r="O261" s="126" t="n">
        <v>-0.04</v>
      </c>
      <c r="P261" s="114"/>
      <c r="Q261" s="126" t="n">
        <f aca="false">M261+J261+G261</f>
        <v>11</v>
      </c>
      <c r="R261" s="126" t="n">
        <f aca="false">N261+K261+H261</f>
        <v>11</v>
      </c>
      <c r="S261" s="126" t="n">
        <f aca="false">O261+L261+I261</f>
        <v>6.96</v>
      </c>
      <c r="T261" s="127"/>
      <c r="U261" s="5" t="n">
        <f aca="false">A262-A261</f>
        <v>31</v>
      </c>
      <c r="V261" s="128" t="n">
        <f aca="false">CHOOSE(F$3,A262+24,A261)</f>
        <v>44927</v>
      </c>
      <c r="W261" s="5" t="n">
        <f aca="false">V261-C$3</f>
        <v>7696</v>
      </c>
      <c r="X261" s="124" t="n">
        <f aca="false">VLOOKUP($A261,Table,MATCH(X$4,Curves,0))</f>
        <v>2</v>
      </c>
      <c r="Y261" s="129" t="n">
        <f aca="false">1/(1+CHOOSE(F$3,(X262+($K$3/10000))/2,(X261+($K$3/10000))/2))^(2*W261/365.25)</f>
        <v>2.06203085143056E-013</v>
      </c>
      <c r="Z261" s="5" t="n">
        <f aca="false">IF(AND(mthbeg&lt;=A261,mthend&gt;=A261),1,0)</f>
        <v>0</v>
      </c>
      <c r="AA261" s="5" t="n">
        <f aca="false">U261*Z261</f>
        <v>0</v>
      </c>
      <c r="AC261" s="115" t="n">
        <f aca="false">IF(G254=2,F261*(S261-Q261),F261*(Q261-S261))</f>
        <v>0</v>
      </c>
      <c r="AE261" s="116" t="n">
        <f aca="false">IF($G$3=1,F261*(R261-Q261),F261*(Q261-R261))</f>
        <v>0</v>
      </c>
      <c r="AG261" s="116" t="n">
        <f aca="false">AC261+AE261</f>
        <v>0</v>
      </c>
    </row>
    <row r="262" customFormat="false" ht="12" hidden="false" customHeight="true" outlineLevel="0" collapsed="false">
      <c r="A262" s="120" t="n">
        <f aca="false">EDATE(A261,1)</f>
        <v>44958</v>
      </c>
      <c r="B262" s="121" t="e">
        <f aca="false">VLOOKUP(A262,'Inputs-Summary'!$A$32:$E$41,5,FALSE())</f>
        <v>#N/A</v>
      </c>
      <c r="C262" s="122"/>
      <c r="D262" s="123" t="e">
        <f aca="false">B262+C262</f>
        <v>#N/A</v>
      </c>
      <c r="E262" s="111" t="n">
        <f aca="false">IF(Z262=0,0,IF(AND(Z262=1,$H$3=1),D262*U262,IF($H$3=2,D262,"N/A")))</f>
        <v>0</v>
      </c>
      <c r="F262" s="111" t="n">
        <f aca="false">E262*Y262</f>
        <v>0</v>
      </c>
      <c r="G262" s="124" t="n">
        <f aca="false">VLOOKUP($A262,Table,MATCH(G$4,Curves,0))</f>
        <v>3</v>
      </c>
      <c r="H262" s="125" t="n">
        <f aca="false">G262+$H$7</f>
        <v>3</v>
      </c>
      <c r="I262" s="124" t="n">
        <f aca="false">H262</f>
        <v>3</v>
      </c>
      <c r="J262" s="124" t="n">
        <f aca="false">VLOOKUP($A262,Table,MATCH(J$4,Curves,0))</f>
        <v>4</v>
      </c>
      <c r="K262" s="125" t="n">
        <f aca="false">J262+$K$7</f>
        <v>4</v>
      </c>
      <c r="L262" s="126" t="n">
        <f aca="false">K262</f>
        <v>4</v>
      </c>
      <c r="M262" s="124" t="n">
        <f aca="false">VLOOKUP($A262,Table,MATCH(M$4,Curves,0))</f>
        <v>4</v>
      </c>
      <c r="N262" s="125" t="n">
        <f aca="false">M262+$N$7</f>
        <v>4</v>
      </c>
      <c r="O262" s="126" t="n">
        <v>-0.04</v>
      </c>
      <c r="P262" s="114"/>
      <c r="Q262" s="126" t="n">
        <f aca="false">M262+J262+G262</f>
        <v>11</v>
      </c>
      <c r="R262" s="126" t="n">
        <f aca="false">N262+K262+H262</f>
        <v>11</v>
      </c>
      <c r="S262" s="126" t="n">
        <f aca="false">O262+L262+I262</f>
        <v>6.96</v>
      </c>
      <c r="T262" s="127"/>
      <c r="U262" s="5" t="n">
        <f aca="false">A263-A262</f>
        <v>28</v>
      </c>
      <c r="V262" s="128" t="n">
        <f aca="false">CHOOSE(F$3,A263+24,A262)</f>
        <v>44958</v>
      </c>
      <c r="W262" s="5" t="n">
        <f aca="false">V262-C$3</f>
        <v>7727</v>
      </c>
      <c r="X262" s="124" t="n">
        <f aca="false">VLOOKUP($A262,Table,MATCH(X$4,Curves,0))</f>
        <v>2</v>
      </c>
      <c r="Y262" s="129" t="n">
        <f aca="false">1/(1+CHOOSE(F$3,(X263+($K$3/10000))/2,(X262+($K$3/10000))/2))^(2*W262/365.25)</f>
        <v>1.83314279292608E-013</v>
      </c>
      <c r="Z262" s="5" t="n">
        <f aca="false">IF(AND(mthbeg&lt;=A262,mthend&gt;=A262),1,0)</f>
        <v>0</v>
      </c>
      <c r="AA262" s="5" t="n">
        <f aca="false">U262*Z262</f>
        <v>0</v>
      </c>
      <c r="AC262" s="115" t="n">
        <f aca="false">IF(G255=2,F262*(S262-Q262),F262*(Q262-S262))</f>
        <v>0</v>
      </c>
      <c r="AE262" s="116" t="n">
        <f aca="false">IF($G$3=1,F262*(R262-Q262),F262*(Q262-R262))</f>
        <v>0</v>
      </c>
      <c r="AG262" s="116" t="n">
        <f aca="false">AC262+AE262</f>
        <v>0</v>
      </c>
    </row>
    <row r="263" customFormat="false" ht="12" hidden="false" customHeight="true" outlineLevel="0" collapsed="false">
      <c r="A263" s="120" t="n">
        <f aca="false">EDATE(A262,1)</f>
        <v>44986</v>
      </c>
      <c r="B263" s="121" t="e">
        <f aca="false">VLOOKUP(A263,'Inputs-Summary'!$A$32:$E$41,5,FALSE())</f>
        <v>#N/A</v>
      </c>
      <c r="C263" s="122"/>
      <c r="D263" s="123" t="e">
        <f aca="false">B263+C263</f>
        <v>#N/A</v>
      </c>
      <c r="E263" s="111" t="n">
        <f aca="false">IF(Z263=0,0,IF(AND(Z263=1,$H$3=1),D263*U263,IF($H$3=2,D263,"N/A")))</f>
        <v>0</v>
      </c>
      <c r="F263" s="111" t="n">
        <f aca="false">E263*Y263</f>
        <v>0</v>
      </c>
      <c r="G263" s="124" t="n">
        <f aca="false">VLOOKUP($A263,Table,MATCH(G$4,Curves,0))</f>
        <v>3</v>
      </c>
      <c r="H263" s="125" t="n">
        <f aca="false">G263+$H$7</f>
        <v>3</v>
      </c>
      <c r="I263" s="124" t="n">
        <f aca="false">H263</f>
        <v>3</v>
      </c>
      <c r="J263" s="124" t="n">
        <f aca="false">VLOOKUP($A263,Table,MATCH(J$4,Curves,0))</f>
        <v>4</v>
      </c>
      <c r="K263" s="125" t="n">
        <f aca="false">J263+$K$7</f>
        <v>4</v>
      </c>
      <c r="L263" s="126" t="n">
        <f aca="false">K263</f>
        <v>4</v>
      </c>
      <c r="M263" s="124" t="n">
        <f aca="false">VLOOKUP($A263,Table,MATCH(M$4,Curves,0))</f>
        <v>4</v>
      </c>
      <c r="N263" s="125" t="n">
        <f aca="false">M263+$N$7</f>
        <v>4</v>
      </c>
      <c r="O263" s="126" t="n">
        <v>-0.04</v>
      </c>
      <c r="P263" s="114"/>
      <c r="Q263" s="126" t="n">
        <f aca="false">M263+J263+G263</f>
        <v>11</v>
      </c>
      <c r="R263" s="126" t="n">
        <f aca="false">N263+K263+H263</f>
        <v>11</v>
      </c>
      <c r="S263" s="126" t="n">
        <f aca="false">O263+L263+I263</f>
        <v>6.96</v>
      </c>
      <c r="T263" s="127"/>
      <c r="U263" s="5" t="n">
        <f aca="false">A264-A263</f>
        <v>31</v>
      </c>
      <c r="V263" s="128" t="n">
        <f aca="false">CHOOSE(F$3,A264+24,A263)</f>
        <v>44986</v>
      </c>
      <c r="W263" s="5" t="n">
        <f aca="false">V263-C$3</f>
        <v>7755</v>
      </c>
      <c r="X263" s="124" t="n">
        <f aca="false">VLOOKUP($A263,Table,MATCH(X$4,Curves,0))</f>
        <v>2</v>
      </c>
      <c r="Y263" s="129" t="n">
        <f aca="false">1/(1+CHOOSE(F$3,(X264+($K$3/10000))/2,(X263+($K$3/10000))/2))^(2*W263/365.25)</f>
        <v>1.64832362733769E-013</v>
      </c>
      <c r="Z263" s="5" t="n">
        <f aca="false">IF(AND(mthbeg&lt;=A263,mthend&gt;=A263),1,0)</f>
        <v>0</v>
      </c>
      <c r="AA263" s="5" t="n">
        <f aca="false">U263*Z263</f>
        <v>0</v>
      </c>
      <c r="AC263" s="115" t="n">
        <f aca="false">IF(G256=2,F263*(S263-Q263),F263*(Q263-S263))</f>
        <v>0</v>
      </c>
      <c r="AE263" s="116" t="n">
        <f aca="false">IF($G$3=1,F263*(R263-Q263),F263*(Q263-R263))</f>
        <v>0</v>
      </c>
      <c r="AG263" s="116" t="n">
        <f aca="false">AC263+AE263</f>
        <v>0</v>
      </c>
    </row>
    <row r="264" customFormat="false" ht="12" hidden="false" customHeight="true" outlineLevel="0" collapsed="false">
      <c r="A264" s="120" t="n">
        <f aca="false">EDATE(A263,1)</f>
        <v>45017</v>
      </c>
      <c r="B264" s="121" t="e">
        <f aca="false">VLOOKUP(A264,'Inputs-Summary'!$A$32:$E$41,5,FALSE())</f>
        <v>#N/A</v>
      </c>
      <c r="C264" s="122"/>
      <c r="D264" s="123" t="e">
        <f aca="false">B264+C264</f>
        <v>#N/A</v>
      </c>
      <c r="E264" s="111" t="n">
        <f aca="false">IF(Z264=0,0,IF(AND(Z264=1,$H$3=1),D264*U264,IF($H$3=2,D264,"N/A")))</f>
        <v>0</v>
      </c>
      <c r="F264" s="111" t="n">
        <f aca="false">E264*Y264</f>
        <v>0</v>
      </c>
      <c r="G264" s="124" t="n">
        <f aca="false">VLOOKUP($A264,Table,MATCH(G$4,Curves,0))</f>
        <v>3</v>
      </c>
      <c r="H264" s="125" t="n">
        <f aca="false">G264+$H$7</f>
        <v>3</v>
      </c>
      <c r="I264" s="124" t="n">
        <f aca="false">H264</f>
        <v>3</v>
      </c>
      <c r="J264" s="124" t="n">
        <f aca="false">VLOOKUP($A264,Table,MATCH(J$4,Curves,0))</f>
        <v>4</v>
      </c>
      <c r="K264" s="125" t="n">
        <f aca="false">J264+$K$7</f>
        <v>4</v>
      </c>
      <c r="L264" s="126" t="n">
        <f aca="false">K264</f>
        <v>4</v>
      </c>
      <c r="M264" s="124" t="n">
        <f aca="false">VLOOKUP($A264,Table,MATCH(M$4,Curves,0))</f>
        <v>4</v>
      </c>
      <c r="N264" s="125" t="n">
        <f aca="false">M264+$N$7</f>
        <v>4</v>
      </c>
      <c r="O264" s="126" t="n">
        <v>-0.04</v>
      </c>
      <c r="P264" s="114"/>
      <c r="Q264" s="126" t="n">
        <f aca="false">M264+J264+G264</f>
        <v>11</v>
      </c>
      <c r="R264" s="126" t="n">
        <f aca="false">N264+K264+H264</f>
        <v>11</v>
      </c>
      <c r="S264" s="126" t="n">
        <f aca="false">O264+L264+I264</f>
        <v>6.96</v>
      </c>
      <c r="T264" s="127"/>
      <c r="U264" s="5" t="n">
        <f aca="false">A265-A264</f>
        <v>30</v>
      </c>
      <c r="V264" s="128" t="n">
        <f aca="false">CHOOSE(F$3,A265+24,A264)</f>
        <v>45017</v>
      </c>
      <c r="W264" s="5" t="n">
        <f aca="false">V264-C$3</f>
        <v>7786</v>
      </c>
      <c r="X264" s="124" t="n">
        <f aca="false">VLOOKUP($A264,Table,MATCH(X$4,Curves,0))</f>
        <v>2</v>
      </c>
      <c r="Y264" s="129" t="n">
        <f aca="false">1/(1+CHOOSE(F$3,(X265+($K$3/10000))/2,(X264+($K$3/10000))/2))^(2*W264/365.25)</f>
        <v>1.4653575991686E-013</v>
      </c>
      <c r="Z264" s="5" t="n">
        <f aca="false">IF(AND(mthbeg&lt;=A264,mthend&gt;=A264),1,0)</f>
        <v>0</v>
      </c>
      <c r="AA264" s="5" t="n">
        <f aca="false">U264*Z264</f>
        <v>0</v>
      </c>
      <c r="AC264" s="115" t="n">
        <f aca="false">IF(G257=2,F264*(S264-Q264),F264*(Q264-S264))</f>
        <v>0</v>
      </c>
      <c r="AE264" s="116" t="n">
        <f aca="false">IF($G$3=1,F264*(R264-Q264),F264*(Q264-R264))</f>
        <v>0</v>
      </c>
      <c r="AG264" s="116" t="n">
        <f aca="false">AC264+AE264</f>
        <v>0</v>
      </c>
    </row>
    <row r="265" customFormat="false" ht="12" hidden="false" customHeight="true" outlineLevel="0" collapsed="false">
      <c r="A265" s="120" t="n">
        <f aca="false">EDATE(A264,1)</f>
        <v>45047</v>
      </c>
      <c r="B265" s="121" t="e">
        <f aca="false">VLOOKUP(A265,'Inputs-Summary'!$A$32:$E$41,5,FALSE())</f>
        <v>#N/A</v>
      </c>
      <c r="C265" s="122"/>
      <c r="D265" s="123" t="e">
        <f aca="false">B265+C265</f>
        <v>#N/A</v>
      </c>
      <c r="E265" s="111" t="n">
        <f aca="false">IF(Z265=0,0,IF(AND(Z265=1,$H$3=1),D265*U265,IF($H$3=2,D265,"N/A")))</f>
        <v>0</v>
      </c>
      <c r="F265" s="111" t="n">
        <f aca="false">E265*Y265</f>
        <v>0</v>
      </c>
      <c r="G265" s="124" t="n">
        <f aca="false">VLOOKUP($A265,Table,MATCH(G$4,Curves,0))</f>
        <v>3</v>
      </c>
      <c r="H265" s="125" t="n">
        <f aca="false">G265+$H$7</f>
        <v>3</v>
      </c>
      <c r="I265" s="124" t="n">
        <f aca="false">H265</f>
        <v>3</v>
      </c>
      <c r="J265" s="124" t="n">
        <f aca="false">VLOOKUP($A265,Table,MATCH(J$4,Curves,0))</f>
        <v>4</v>
      </c>
      <c r="K265" s="125" t="n">
        <f aca="false">J265+$K$7</f>
        <v>4</v>
      </c>
      <c r="L265" s="126" t="n">
        <f aca="false">K265</f>
        <v>4</v>
      </c>
      <c r="M265" s="124" t="n">
        <f aca="false">VLOOKUP($A265,Table,MATCH(M$4,Curves,0))</f>
        <v>4</v>
      </c>
      <c r="N265" s="125" t="n">
        <f aca="false">M265+$N$7</f>
        <v>4</v>
      </c>
      <c r="O265" s="126" t="n">
        <v>-0.04</v>
      </c>
      <c r="P265" s="114"/>
      <c r="Q265" s="126" t="n">
        <f aca="false">M265+J265+G265</f>
        <v>11</v>
      </c>
      <c r="R265" s="126" t="n">
        <f aca="false">N265+K265+H265</f>
        <v>11</v>
      </c>
      <c r="S265" s="126" t="n">
        <f aca="false">O265+L265+I265</f>
        <v>6.96</v>
      </c>
      <c r="T265" s="127"/>
      <c r="U265" s="5" t="n">
        <f aca="false">A266-A265</f>
        <v>31</v>
      </c>
      <c r="V265" s="128" t="n">
        <f aca="false">CHOOSE(F$3,A266+24,A265)</f>
        <v>45047</v>
      </c>
      <c r="W265" s="5" t="n">
        <f aca="false">V265-C$3</f>
        <v>7816</v>
      </c>
      <c r="X265" s="124" t="n">
        <f aca="false">VLOOKUP($A265,Table,MATCH(X$4,Curves,0))</f>
        <v>2</v>
      </c>
      <c r="Y265" s="129" t="n">
        <f aca="false">1/(1+CHOOSE(F$3,(X266+($K$3/10000))/2,(X265+($K$3/10000))/2))^(2*W265/365.25)</f>
        <v>1.3076547877267E-013</v>
      </c>
      <c r="Z265" s="5" t="n">
        <f aca="false">IF(AND(mthbeg&lt;=A265,mthend&gt;=A265),1,0)</f>
        <v>0</v>
      </c>
      <c r="AA265" s="5" t="n">
        <f aca="false">U265*Z265</f>
        <v>0</v>
      </c>
      <c r="AC265" s="115" t="n">
        <f aca="false">IF(G258=2,F265*(S265-Q265),F265*(Q265-S265))</f>
        <v>0</v>
      </c>
      <c r="AE265" s="116" t="n">
        <f aca="false">IF($G$3=1,F265*(R265-Q265),F265*(Q265-R265))</f>
        <v>0</v>
      </c>
      <c r="AG265" s="116" t="n">
        <f aca="false">AC265+AE265</f>
        <v>0</v>
      </c>
    </row>
    <row r="266" customFormat="false" ht="12" hidden="false" customHeight="true" outlineLevel="0" collapsed="false">
      <c r="A266" s="120" t="n">
        <f aca="false">EDATE(A265,1)</f>
        <v>45078</v>
      </c>
      <c r="B266" s="121" t="e">
        <f aca="false">VLOOKUP(A266,'Inputs-Summary'!$A$32:$E$41,5,FALSE())</f>
        <v>#N/A</v>
      </c>
      <c r="C266" s="122"/>
      <c r="D266" s="123" t="e">
        <f aca="false">B266+C266</f>
        <v>#N/A</v>
      </c>
      <c r="E266" s="111" t="n">
        <f aca="false">IF(Z266=0,0,IF(AND(Z266=1,$H$3=1),D266*U266,IF($H$3=2,D266,"N/A")))</f>
        <v>0</v>
      </c>
      <c r="F266" s="111" t="n">
        <f aca="false">E266*Y266</f>
        <v>0</v>
      </c>
      <c r="G266" s="124" t="n">
        <f aca="false">VLOOKUP($A266,Table,MATCH(G$4,Curves,0))</f>
        <v>3</v>
      </c>
      <c r="H266" s="125" t="n">
        <f aca="false">G266+$H$7</f>
        <v>3</v>
      </c>
      <c r="I266" s="124" t="n">
        <f aca="false">H266</f>
        <v>3</v>
      </c>
      <c r="J266" s="124" t="n">
        <f aca="false">VLOOKUP($A266,Table,MATCH(J$4,Curves,0))</f>
        <v>4</v>
      </c>
      <c r="K266" s="125" t="n">
        <f aca="false">J266+$K$7</f>
        <v>4</v>
      </c>
      <c r="L266" s="126" t="n">
        <f aca="false">K266</f>
        <v>4</v>
      </c>
      <c r="M266" s="124" t="n">
        <f aca="false">VLOOKUP($A266,Table,MATCH(M$4,Curves,0))</f>
        <v>4</v>
      </c>
      <c r="N266" s="125" t="n">
        <f aca="false">M266+$N$7</f>
        <v>4</v>
      </c>
      <c r="O266" s="126" t="n">
        <v>-0.04</v>
      </c>
      <c r="P266" s="114"/>
      <c r="Q266" s="126" t="n">
        <f aca="false">M266+J266+G266</f>
        <v>11</v>
      </c>
      <c r="R266" s="126" t="n">
        <f aca="false">N266+K266+H266</f>
        <v>11</v>
      </c>
      <c r="S266" s="126" t="n">
        <f aca="false">O266+L266+I266</f>
        <v>6.96</v>
      </c>
      <c r="T266" s="127"/>
      <c r="U266" s="5" t="n">
        <f aca="false">A267-A266</f>
        <v>30</v>
      </c>
      <c r="V266" s="128" t="n">
        <f aca="false">CHOOSE(F$3,A267+24,A266)</f>
        <v>45078</v>
      </c>
      <c r="W266" s="5" t="n">
        <f aca="false">V266-C$3</f>
        <v>7847</v>
      </c>
      <c r="X266" s="124" t="n">
        <f aca="false">VLOOKUP($A266,Table,MATCH(X$4,Curves,0))</f>
        <v>2</v>
      </c>
      <c r="Y266" s="129" t="n">
        <f aca="false">1/(1+CHOOSE(F$3,(X267+($K$3/10000))/2,(X266+($K$3/10000))/2))^(2*W266/365.25)</f>
        <v>1.16250343591778E-013</v>
      </c>
      <c r="Z266" s="5" t="n">
        <f aca="false">IF(AND(mthbeg&lt;=A266,mthend&gt;=A266),1,0)</f>
        <v>0</v>
      </c>
      <c r="AA266" s="5" t="n">
        <f aca="false">U266*Z266</f>
        <v>0</v>
      </c>
      <c r="AC266" s="115" t="n">
        <f aca="false">IF(G259=2,F266*(S266-Q266),F266*(Q266-S266))</f>
        <v>0</v>
      </c>
      <c r="AE266" s="116" t="n">
        <f aca="false">IF($G$3=1,F266*(R266-Q266),F266*(Q266-R266))</f>
        <v>0</v>
      </c>
      <c r="AG266" s="116" t="n">
        <f aca="false">AC266+AE266</f>
        <v>0</v>
      </c>
    </row>
    <row r="267" customFormat="false" ht="12" hidden="false" customHeight="true" outlineLevel="0" collapsed="false">
      <c r="A267" s="120" t="n">
        <f aca="false">EDATE(A266,1)</f>
        <v>45108</v>
      </c>
      <c r="B267" s="121" t="e">
        <f aca="false">VLOOKUP(A267,'Inputs-Summary'!$A$32:$E$41,5,FALSE())</f>
        <v>#N/A</v>
      </c>
      <c r="C267" s="122"/>
      <c r="D267" s="123" t="e">
        <f aca="false">B267+C267</f>
        <v>#N/A</v>
      </c>
      <c r="E267" s="111" t="n">
        <f aca="false">IF(Z267=0,0,IF(AND(Z267=1,$H$3=1),D267*U267,IF($H$3=2,D267,"N/A")))</f>
        <v>0</v>
      </c>
      <c r="F267" s="111" t="n">
        <f aca="false">E267*Y267</f>
        <v>0</v>
      </c>
      <c r="G267" s="124" t="n">
        <f aca="false">VLOOKUP($A267,Table,MATCH(G$4,Curves,0))</f>
        <v>3</v>
      </c>
      <c r="H267" s="125" t="n">
        <f aca="false">G267+$H$7</f>
        <v>3</v>
      </c>
      <c r="I267" s="124" t="n">
        <f aca="false">H267</f>
        <v>3</v>
      </c>
      <c r="J267" s="124" t="n">
        <f aca="false">VLOOKUP($A267,Table,MATCH(J$4,Curves,0))</f>
        <v>4</v>
      </c>
      <c r="K267" s="125" t="n">
        <f aca="false">J267+$K$7</f>
        <v>4</v>
      </c>
      <c r="L267" s="126" t="n">
        <f aca="false">K267</f>
        <v>4</v>
      </c>
      <c r="M267" s="124" t="n">
        <f aca="false">VLOOKUP($A267,Table,MATCH(M$4,Curves,0))</f>
        <v>4</v>
      </c>
      <c r="N267" s="125" t="n">
        <f aca="false">M267+$N$7</f>
        <v>4</v>
      </c>
      <c r="O267" s="126" t="n">
        <v>-0.04</v>
      </c>
      <c r="P267" s="114"/>
      <c r="Q267" s="126" t="n">
        <f aca="false">M267+J267+G267</f>
        <v>11</v>
      </c>
      <c r="R267" s="126" t="n">
        <f aca="false">N267+K267+H267</f>
        <v>11</v>
      </c>
      <c r="S267" s="126" t="n">
        <f aca="false">O267+L267+I267</f>
        <v>6.96</v>
      </c>
      <c r="T267" s="127"/>
      <c r="U267" s="5" t="n">
        <f aca="false">A268-A267</f>
        <v>31</v>
      </c>
      <c r="V267" s="128" t="n">
        <f aca="false">CHOOSE(F$3,A268+24,A267)</f>
        <v>45108</v>
      </c>
      <c r="W267" s="5" t="n">
        <f aca="false">V267-C$3</f>
        <v>7877</v>
      </c>
      <c r="X267" s="124" t="n">
        <f aca="false">VLOOKUP($A267,Table,MATCH(X$4,Curves,0))</f>
        <v>2</v>
      </c>
      <c r="Y267" s="129" t="n">
        <f aca="false">1/(1+CHOOSE(F$3,(X268+($K$3/10000))/2,(X267+($K$3/10000))/2))^(2*W267/365.25)</f>
        <v>1.03739400170246E-013</v>
      </c>
      <c r="Z267" s="5" t="n">
        <f aca="false">IF(AND(mthbeg&lt;=A267,mthend&gt;=A267),1,0)</f>
        <v>0</v>
      </c>
      <c r="AA267" s="5" t="n">
        <f aca="false">U267*Z267</f>
        <v>0</v>
      </c>
      <c r="AC267" s="115" t="n">
        <f aca="false">IF(G260=2,F267*(S267-Q267),F267*(Q267-S267))</f>
        <v>0</v>
      </c>
      <c r="AE267" s="116" t="n">
        <f aca="false">IF($G$3=1,F267*(R267-Q267),F267*(Q267-R267))</f>
        <v>0</v>
      </c>
      <c r="AG267" s="116" t="n">
        <f aca="false">AC267+AE267</f>
        <v>0</v>
      </c>
    </row>
    <row r="268" customFormat="false" ht="12" hidden="false" customHeight="true" outlineLevel="0" collapsed="false">
      <c r="A268" s="120" t="n">
        <f aca="false">EDATE(A267,1)</f>
        <v>45139</v>
      </c>
      <c r="B268" s="121" t="e">
        <f aca="false">VLOOKUP(A268,'Inputs-Summary'!$A$32:$E$41,5,FALSE())</f>
        <v>#N/A</v>
      </c>
      <c r="C268" s="122"/>
      <c r="D268" s="123" t="e">
        <f aca="false">B268+C268</f>
        <v>#N/A</v>
      </c>
      <c r="E268" s="111" t="n">
        <f aca="false">IF(Z268=0,0,IF(AND(Z268=1,$H$3=1),D268*U268,IF($H$3=2,D268,"N/A")))</f>
        <v>0</v>
      </c>
      <c r="F268" s="111" t="n">
        <f aca="false">E268*Y268</f>
        <v>0</v>
      </c>
      <c r="G268" s="124" t="n">
        <f aca="false">VLOOKUP($A268,Table,MATCH(G$4,Curves,0))</f>
        <v>3</v>
      </c>
      <c r="H268" s="125" t="n">
        <f aca="false">G268+$H$7</f>
        <v>3</v>
      </c>
      <c r="I268" s="124" t="n">
        <f aca="false">H268</f>
        <v>3</v>
      </c>
      <c r="J268" s="124" t="n">
        <f aca="false">VLOOKUP($A268,Table,MATCH(J$4,Curves,0))</f>
        <v>4</v>
      </c>
      <c r="K268" s="125" t="n">
        <f aca="false">J268+$K$7</f>
        <v>4</v>
      </c>
      <c r="L268" s="126" t="n">
        <f aca="false">K268</f>
        <v>4</v>
      </c>
      <c r="M268" s="124" t="n">
        <f aca="false">VLOOKUP($A268,Table,MATCH(M$4,Curves,0))</f>
        <v>4</v>
      </c>
      <c r="N268" s="125" t="n">
        <f aca="false">M268+$N$7</f>
        <v>4</v>
      </c>
      <c r="O268" s="126" t="n">
        <v>-0.04</v>
      </c>
      <c r="P268" s="114"/>
      <c r="Q268" s="126" t="n">
        <f aca="false">M268+J268+G268</f>
        <v>11</v>
      </c>
      <c r="R268" s="126" t="n">
        <f aca="false">N268+K268+H268</f>
        <v>11</v>
      </c>
      <c r="S268" s="126" t="n">
        <f aca="false">O268+L268+I268</f>
        <v>6.96</v>
      </c>
      <c r="T268" s="127"/>
      <c r="U268" s="5" t="n">
        <f aca="false">A269-A268</f>
        <v>31</v>
      </c>
      <c r="V268" s="128" t="n">
        <f aca="false">CHOOSE(F$3,A269+24,A268)</f>
        <v>45139</v>
      </c>
      <c r="W268" s="5" t="n">
        <f aca="false">V268-C$3</f>
        <v>7908</v>
      </c>
      <c r="X268" s="124" t="n">
        <f aca="false">VLOOKUP($A268,Table,MATCH(X$4,Curves,0))</f>
        <v>2</v>
      </c>
      <c r="Y268" s="129" t="n">
        <f aca="false">1/(1+CHOOSE(F$3,(X269+($K$3/10000))/2,(X268+($K$3/10000))/2))^(2*W268/365.25)</f>
        <v>9.22241942367787E-014</v>
      </c>
      <c r="Z268" s="5" t="n">
        <f aca="false">IF(AND(mthbeg&lt;=A268,mthend&gt;=A268),1,0)</f>
        <v>0</v>
      </c>
      <c r="AA268" s="5" t="n">
        <f aca="false">U268*Z268</f>
        <v>0</v>
      </c>
      <c r="AC268" s="115" t="n">
        <f aca="false">IF(G261=2,F268*(S268-Q268),F268*(Q268-S268))</f>
        <v>0</v>
      </c>
      <c r="AE268" s="116" t="n">
        <f aca="false">IF($G$3=1,F268*(R268-Q268),F268*(Q268-R268))</f>
        <v>0</v>
      </c>
      <c r="AG268" s="116" t="n">
        <f aca="false">AC268+AE268</f>
        <v>0</v>
      </c>
    </row>
    <row r="269" customFormat="false" ht="12" hidden="false" customHeight="true" outlineLevel="0" collapsed="false">
      <c r="A269" s="120" t="n">
        <f aca="false">EDATE(A268,1)</f>
        <v>45170</v>
      </c>
      <c r="B269" s="121" t="e">
        <f aca="false">VLOOKUP(A269,'Inputs-Summary'!$A$32:$E$41,5,FALSE())</f>
        <v>#N/A</v>
      </c>
      <c r="C269" s="122"/>
      <c r="D269" s="123" t="e">
        <f aca="false">B269+C269</f>
        <v>#N/A</v>
      </c>
      <c r="E269" s="111" t="n">
        <f aca="false">IF(Z269=0,0,IF(AND(Z269=1,$H$3=1),D269*U269,IF($H$3=2,D269,"N/A")))</f>
        <v>0</v>
      </c>
      <c r="F269" s="111" t="n">
        <f aca="false">E269*Y269</f>
        <v>0</v>
      </c>
      <c r="G269" s="124" t="n">
        <f aca="false">VLOOKUP($A269,Table,MATCH(G$4,Curves,0))</f>
        <v>3</v>
      </c>
      <c r="H269" s="125" t="n">
        <f aca="false">G269+$H$7</f>
        <v>3</v>
      </c>
      <c r="I269" s="124" t="n">
        <f aca="false">H269</f>
        <v>3</v>
      </c>
      <c r="J269" s="124" t="n">
        <f aca="false">VLOOKUP($A269,Table,MATCH(J$4,Curves,0))</f>
        <v>4</v>
      </c>
      <c r="K269" s="125" t="n">
        <f aca="false">J269+$K$7</f>
        <v>4</v>
      </c>
      <c r="L269" s="126" t="n">
        <f aca="false">K269</f>
        <v>4</v>
      </c>
      <c r="M269" s="124" t="n">
        <f aca="false">VLOOKUP($A269,Table,MATCH(M$4,Curves,0))</f>
        <v>4</v>
      </c>
      <c r="N269" s="125" t="n">
        <f aca="false">M269+$N$7</f>
        <v>4</v>
      </c>
      <c r="O269" s="126" t="n">
        <v>-0.04</v>
      </c>
      <c r="P269" s="114"/>
      <c r="Q269" s="126" t="n">
        <f aca="false">M269+J269+G269</f>
        <v>11</v>
      </c>
      <c r="R269" s="126" t="n">
        <f aca="false">N269+K269+H269</f>
        <v>11</v>
      </c>
      <c r="S269" s="126" t="n">
        <f aca="false">O269+L269+I269</f>
        <v>6.96</v>
      </c>
      <c r="T269" s="127"/>
      <c r="U269" s="5" t="n">
        <f aca="false">A270-A269</f>
        <v>30</v>
      </c>
      <c r="V269" s="128" t="n">
        <f aca="false">CHOOSE(F$3,A270+24,A269)</f>
        <v>45170</v>
      </c>
      <c r="W269" s="5" t="n">
        <f aca="false">V269-C$3</f>
        <v>7939</v>
      </c>
      <c r="X269" s="124" t="n">
        <f aca="false">VLOOKUP($A269,Table,MATCH(X$4,Curves,0))</f>
        <v>2</v>
      </c>
      <c r="Y269" s="129" t="n">
        <f aca="false">1/(1+CHOOSE(F$3,(X270+($K$3/10000))/2,(X269+($K$3/10000))/2))^(2*W269/365.25)</f>
        <v>8.19871908712125E-014</v>
      </c>
      <c r="Z269" s="5" t="n">
        <f aca="false">IF(AND(mthbeg&lt;=A269,mthend&gt;=A269),1,0)</f>
        <v>0</v>
      </c>
      <c r="AA269" s="5" t="n">
        <f aca="false">U269*Z269</f>
        <v>0</v>
      </c>
      <c r="AC269" s="115" t="n">
        <f aca="false">IF(G262=2,F269*(S269-Q269),F269*(Q269-S269))</f>
        <v>0</v>
      </c>
      <c r="AE269" s="116" t="n">
        <f aca="false">IF($G$3=1,F269*(R269-Q269),F269*(Q269-R269))</f>
        <v>0</v>
      </c>
      <c r="AG269" s="116" t="n">
        <f aca="false">AC269+AE269</f>
        <v>0</v>
      </c>
    </row>
    <row r="270" customFormat="false" ht="12" hidden="false" customHeight="true" outlineLevel="0" collapsed="false">
      <c r="A270" s="120" t="n">
        <f aca="false">EDATE(A269,1)</f>
        <v>45200</v>
      </c>
      <c r="B270" s="121" t="e">
        <f aca="false">VLOOKUP(A270,'Inputs-Summary'!$A$32:$E$41,5,FALSE())</f>
        <v>#N/A</v>
      </c>
      <c r="C270" s="122"/>
      <c r="D270" s="123" t="e">
        <f aca="false">B270+C270</f>
        <v>#N/A</v>
      </c>
      <c r="E270" s="111" t="n">
        <f aca="false">IF(Z270=0,0,IF(AND(Z270=1,$H$3=1),D270*U270,IF($H$3=2,D270,"N/A")))</f>
        <v>0</v>
      </c>
      <c r="F270" s="111" t="n">
        <f aca="false">E270*Y270</f>
        <v>0</v>
      </c>
      <c r="G270" s="124" t="n">
        <f aca="false">VLOOKUP($A270,Table,MATCH(G$4,Curves,0))</f>
        <v>3</v>
      </c>
      <c r="H270" s="125" t="n">
        <f aca="false">G270+$H$7</f>
        <v>3</v>
      </c>
      <c r="I270" s="124" t="n">
        <f aca="false">H270</f>
        <v>3</v>
      </c>
      <c r="J270" s="124" t="n">
        <f aca="false">VLOOKUP($A270,Table,MATCH(J$4,Curves,0))</f>
        <v>4</v>
      </c>
      <c r="K270" s="125" t="n">
        <f aca="false">J270+$K$7</f>
        <v>4</v>
      </c>
      <c r="L270" s="126" t="n">
        <f aca="false">K270</f>
        <v>4</v>
      </c>
      <c r="M270" s="124" t="n">
        <f aca="false">VLOOKUP($A270,Table,MATCH(M$4,Curves,0))</f>
        <v>4</v>
      </c>
      <c r="N270" s="125" t="n">
        <f aca="false">M270+$N$7</f>
        <v>4</v>
      </c>
      <c r="O270" s="126" t="n">
        <v>-0.04</v>
      </c>
      <c r="P270" s="114"/>
      <c r="Q270" s="126" t="n">
        <f aca="false">M270+J270+G270</f>
        <v>11</v>
      </c>
      <c r="R270" s="126" t="n">
        <f aca="false">N270+K270+H270</f>
        <v>11</v>
      </c>
      <c r="S270" s="126" t="n">
        <f aca="false">O270+L270+I270</f>
        <v>6.96</v>
      </c>
      <c r="T270" s="127"/>
      <c r="U270" s="5" t="n">
        <f aca="false">A271-A270</f>
        <v>31</v>
      </c>
      <c r="V270" s="128" t="n">
        <f aca="false">CHOOSE(F$3,A271+24,A270)</f>
        <v>45200</v>
      </c>
      <c r="W270" s="5" t="n">
        <f aca="false">V270-C$3</f>
        <v>7969</v>
      </c>
      <c r="X270" s="124" t="n">
        <f aca="false">VLOOKUP($A270,Table,MATCH(X$4,Curves,0))</f>
        <v>2</v>
      </c>
      <c r="Y270" s="129" t="n">
        <f aca="false">1/(1+CHOOSE(F$3,(X271+($K$3/10000))/2,(X270+($K$3/10000))/2))^(2*W270/365.25)</f>
        <v>7.31636719499951E-014</v>
      </c>
      <c r="Z270" s="5" t="n">
        <f aca="false">IF(AND(mthbeg&lt;=A270,mthend&gt;=A270),1,0)</f>
        <v>0</v>
      </c>
      <c r="AA270" s="5" t="n">
        <f aca="false">U270*Z270</f>
        <v>0</v>
      </c>
      <c r="AC270" s="115" t="n">
        <f aca="false">IF(G263=2,F270*(S270-Q270),F270*(Q270-S270))</f>
        <v>0</v>
      </c>
      <c r="AE270" s="116" t="n">
        <f aca="false">IF($G$3=1,F270*(R270-Q270),F270*(Q270-R270))</f>
        <v>0</v>
      </c>
      <c r="AG270" s="116" t="n">
        <f aca="false">AC270+AE270</f>
        <v>0</v>
      </c>
    </row>
    <row r="271" customFormat="false" ht="12" hidden="false" customHeight="true" outlineLevel="0" collapsed="false">
      <c r="A271" s="120" t="n">
        <f aca="false">EDATE(A270,1)</f>
        <v>45231</v>
      </c>
      <c r="B271" s="121" t="e">
        <f aca="false">VLOOKUP(A271,'Inputs-Summary'!$A$32:$E$41,5,FALSE())</f>
        <v>#N/A</v>
      </c>
      <c r="C271" s="122"/>
      <c r="D271" s="123" t="e">
        <f aca="false">B271+C271</f>
        <v>#N/A</v>
      </c>
      <c r="E271" s="111" t="n">
        <f aca="false">IF(Z271=0,0,IF(AND(Z271=1,$H$3=1),D271*U271,IF($H$3=2,D271,"N/A")))</f>
        <v>0</v>
      </c>
      <c r="F271" s="111" t="n">
        <f aca="false">E271*Y271</f>
        <v>0</v>
      </c>
      <c r="G271" s="124" t="n">
        <f aca="false">VLOOKUP($A271,Table,MATCH(G$4,Curves,0))</f>
        <v>3</v>
      </c>
      <c r="H271" s="125" t="n">
        <f aca="false">G271+$H$7</f>
        <v>3</v>
      </c>
      <c r="I271" s="124" t="n">
        <f aca="false">H271</f>
        <v>3</v>
      </c>
      <c r="J271" s="124" t="n">
        <f aca="false">VLOOKUP($A271,Table,MATCH(J$4,Curves,0))</f>
        <v>4</v>
      </c>
      <c r="K271" s="125" t="n">
        <f aca="false">J271+$K$7</f>
        <v>4</v>
      </c>
      <c r="L271" s="126" t="n">
        <f aca="false">K271</f>
        <v>4</v>
      </c>
      <c r="M271" s="124" t="n">
        <f aca="false">VLOOKUP($A271,Table,MATCH(M$4,Curves,0))</f>
        <v>4</v>
      </c>
      <c r="N271" s="125" t="n">
        <f aca="false">M271+$N$7</f>
        <v>4</v>
      </c>
      <c r="O271" s="126" t="n">
        <v>-0.04</v>
      </c>
      <c r="P271" s="114"/>
      <c r="Q271" s="126" t="n">
        <f aca="false">M271+J271+G271</f>
        <v>11</v>
      </c>
      <c r="R271" s="126" t="n">
        <f aca="false">N271+K271+H271</f>
        <v>11</v>
      </c>
      <c r="S271" s="126" t="n">
        <f aca="false">O271+L271+I271</f>
        <v>6.96</v>
      </c>
      <c r="T271" s="127"/>
      <c r="U271" s="5" t="n">
        <f aca="false">A272-A271</f>
        <v>30</v>
      </c>
      <c r="V271" s="128" t="n">
        <f aca="false">CHOOSE(F$3,A272+24,A271)</f>
        <v>45231</v>
      </c>
      <c r="W271" s="5" t="n">
        <f aca="false">V271-C$3</f>
        <v>8000</v>
      </c>
      <c r="X271" s="124" t="n">
        <f aca="false">VLOOKUP($A271,Table,MATCH(X$4,Curves,0))</f>
        <v>2</v>
      </c>
      <c r="Y271" s="129" t="n">
        <f aca="false">1/(1+CHOOSE(F$3,(X272+($K$3/10000))/2,(X271+($K$3/10000))/2))^(2*W271/365.25)</f>
        <v>6.50424109057799E-014</v>
      </c>
      <c r="Z271" s="5" t="n">
        <f aca="false">IF(AND(mthbeg&lt;=A271,mthend&gt;=A271),1,0)</f>
        <v>0</v>
      </c>
      <c r="AA271" s="5" t="n">
        <f aca="false">U271*Z271</f>
        <v>0</v>
      </c>
      <c r="AC271" s="115" t="n">
        <f aca="false">IF(G264=2,F271*(S271-Q271),F271*(Q271-S271))</f>
        <v>0</v>
      </c>
      <c r="AE271" s="116" t="n">
        <f aca="false">IF($G$3=1,F271*(R271-Q271),F271*(Q271-R271))</f>
        <v>0</v>
      </c>
      <c r="AG271" s="116" t="n">
        <f aca="false">AC271+AE271</f>
        <v>0</v>
      </c>
    </row>
    <row r="272" customFormat="false" ht="12" hidden="false" customHeight="true" outlineLevel="0" collapsed="false">
      <c r="A272" s="120" t="n">
        <f aca="false">EDATE(A271,1)</f>
        <v>45261</v>
      </c>
      <c r="B272" s="121" t="e">
        <f aca="false">VLOOKUP(A272,'Inputs-Summary'!$A$32:$E$41,5,FALSE())</f>
        <v>#N/A</v>
      </c>
      <c r="C272" s="122"/>
      <c r="D272" s="123" t="e">
        <f aca="false">B272+C272</f>
        <v>#N/A</v>
      </c>
      <c r="E272" s="111" t="n">
        <f aca="false">IF(Z272=0,0,IF(AND(Z272=1,$H$3=1),D272*U272,IF($H$3=2,D272,"N/A")))</f>
        <v>0</v>
      </c>
      <c r="F272" s="111" t="n">
        <f aca="false">E272*Y272</f>
        <v>0</v>
      </c>
      <c r="G272" s="124" t="n">
        <f aca="false">VLOOKUP($A272,Table,MATCH(G$4,Curves,0))</f>
        <v>3</v>
      </c>
      <c r="H272" s="125" t="n">
        <f aca="false">G272+$H$7</f>
        <v>3</v>
      </c>
      <c r="I272" s="124" t="n">
        <f aca="false">H272</f>
        <v>3</v>
      </c>
      <c r="J272" s="124" t="n">
        <f aca="false">VLOOKUP($A272,Table,MATCH(J$4,Curves,0))</f>
        <v>4</v>
      </c>
      <c r="K272" s="125" t="n">
        <f aca="false">J272+$K$7</f>
        <v>4</v>
      </c>
      <c r="L272" s="126" t="n">
        <f aca="false">K272</f>
        <v>4</v>
      </c>
      <c r="M272" s="124" t="n">
        <f aca="false">VLOOKUP($A272,Table,MATCH(M$4,Curves,0))</f>
        <v>4</v>
      </c>
      <c r="N272" s="125" t="n">
        <f aca="false">M272+$N$7</f>
        <v>4</v>
      </c>
      <c r="O272" s="126" t="n">
        <v>-0.04</v>
      </c>
      <c r="P272" s="114"/>
      <c r="Q272" s="126" t="n">
        <f aca="false">M272+J272+G272</f>
        <v>11</v>
      </c>
      <c r="R272" s="126" t="n">
        <f aca="false">N272+K272+H272</f>
        <v>11</v>
      </c>
      <c r="S272" s="126" t="n">
        <f aca="false">O272+L272+I272</f>
        <v>6.96</v>
      </c>
      <c r="T272" s="127"/>
      <c r="U272" s="5" t="n">
        <f aca="false">A273-A272</f>
        <v>31</v>
      </c>
      <c r="V272" s="128" t="n">
        <f aca="false">CHOOSE(F$3,A273+24,A272)</f>
        <v>45261</v>
      </c>
      <c r="W272" s="5" t="n">
        <f aca="false">V272-C$3</f>
        <v>8030</v>
      </c>
      <c r="X272" s="124" t="n">
        <f aca="false">VLOOKUP($A272,Table,MATCH(X$4,Curves,0))</f>
        <v>2</v>
      </c>
      <c r="Y272" s="129" t="n">
        <f aca="false">1/(1+CHOOSE(F$3,(X273+($K$3/10000))/2,(X272+($K$3/10000))/2))^(2*W272/365.25)</f>
        <v>5.80425010758377E-014</v>
      </c>
      <c r="Z272" s="5" t="n">
        <f aca="false">IF(AND(mthbeg&lt;=A272,mthend&gt;=A272),1,0)</f>
        <v>0</v>
      </c>
      <c r="AA272" s="5" t="n">
        <f aca="false">U272*Z272</f>
        <v>0</v>
      </c>
      <c r="AC272" s="115" t="n">
        <f aca="false">IF(G265=2,F272*(S272-Q272),F272*(Q272-S272))</f>
        <v>0</v>
      </c>
      <c r="AE272" s="116" t="n">
        <f aca="false">IF($G$3=1,F272*(R272-Q272),F272*(Q272-R272))</f>
        <v>0</v>
      </c>
      <c r="AG272" s="116" t="n">
        <f aca="false">AC272+AE272</f>
        <v>0</v>
      </c>
    </row>
    <row r="273" customFormat="false" ht="12" hidden="false" customHeight="true" outlineLevel="0" collapsed="false">
      <c r="A273" s="120" t="n">
        <f aca="false">EDATE(A272,1)</f>
        <v>45292</v>
      </c>
      <c r="B273" s="121" t="e">
        <f aca="false">VLOOKUP(A273,'Inputs-Summary'!$A$32:$E$41,5,FALSE())</f>
        <v>#N/A</v>
      </c>
      <c r="C273" s="122"/>
      <c r="D273" s="123" t="e">
        <f aca="false">B273+C273</f>
        <v>#N/A</v>
      </c>
      <c r="E273" s="111" t="n">
        <f aca="false">IF(Z273=0,0,IF(AND(Z273=1,$H$3=1),D273*U273,IF($H$3=2,D273,"N/A")))</f>
        <v>0</v>
      </c>
      <c r="F273" s="111" t="n">
        <f aca="false">E273*Y273</f>
        <v>0</v>
      </c>
      <c r="G273" s="124" t="n">
        <f aca="false">VLOOKUP($A273,Table,MATCH(G$4,Curves,0))</f>
        <v>3</v>
      </c>
      <c r="H273" s="125" t="n">
        <f aca="false">G273+$H$7</f>
        <v>3</v>
      </c>
      <c r="I273" s="124" t="n">
        <f aca="false">H273</f>
        <v>3</v>
      </c>
      <c r="J273" s="124" t="n">
        <f aca="false">VLOOKUP($A273,Table,MATCH(J$4,Curves,0))</f>
        <v>4</v>
      </c>
      <c r="K273" s="125" t="n">
        <f aca="false">J273+$K$7</f>
        <v>4</v>
      </c>
      <c r="L273" s="126" t="n">
        <f aca="false">K273</f>
        <v>4</v>
      </c>
      <c r="M273" s="124" t="n">
        <f aca="false">VLOOKUP($A273,Table,MATCH(M$4,Curves,0))</f>
        <v>4</v>
      </c>
      <c r="N273" s="125" t="n">
        <f aca="false">M273+$N$7</f>
        <v>4</v>
      </c>
      <c r="O273" s="126" t="n">
        <v>-0.04</v>
      </c>
      <c r="P273" s="114"/>
      <c r="Q273" s="126" t="n">
        <f aca="false">M273+J273+G273</f>
        <v>11</v>
      </c>
      <c r="R273" s="126" t="n">
        <f aca="false">N273+K273+H273</f>
        <v>11</v>
      </c>
      <c r="S273" s="126" t="n">
        <f aca="false">O273+L273+I273</f>
        <v>6.96</v>
      </c>
      <c r="T273" s="127"/>
      <c r="U273" s="5" t="n">
        <f aca="false">A274-A273</f>
        <v>31</v>
      </c>
      <c r="V273" s="128" t="n">
        <f aca="false">CHOOSE(F$3,A274+24,A273)</f>
        <v>45292</v>
      </c>
      <c r="W273" s="5" t="n">
        <f aca="false">V273-C$3</f>
        <v>8061</v>
      </c>
      <c r="X273" s="124" t="n">
        <f aca="false">VLOOKUP($A273,Table,MATCH(X$4,Curves,0))</f>
        <v>2</v>
      </c>
      <c r="Y273" s="129" t="n">
        <f aca="false">1/(1+CHOOSE(F$3,(X274+($K$3/10000))/2,(X273+($K$3/10000))/2))^(2*W273/365.25)</f>
        <v>5.15997093141258E-014</v>
      </c>
      <c r="Z273" s="5" t="n">
        <f aca="false">IF(AND(mthbeg&lt;=A273,mthend&gt;=A273),1,0)</f>
        <v>0</v>
      </c>
      <c r="AA273" s="5" t="n">
        <f aca="false">U273*Z273</f>
        <v>0</v>
      </c>
      <c r="AC273" s="115" t="n">
        <f aca="false">IF(G266=2,F273*(S273-Q273),F273*(Q273-S273))</f>
        <v>0</v>
      </c>
      <c r="AE273" s="116" t="n">
        <f aca="false">IF($G$3=1,F273*(R273-Q273),F273*(Q273-R273))</f>
        <v>0</v>
      </c>
      <c r="AG273" s="116" t="n">
        <f aca="false">AC273+AE273</f>
        <v>0</v>
      </c>
    </row>
    <row r="274" customFormat="false" ht="12" hidden="false" customHeight="true" outlineLevel="0" collapsed="false">
      <c r="A274" s="120" t="n">
        <f aca="false">EDATE(A273,1)</f>
        <v>45323</v>
      </c>
      <c r="B274" s="121" t="e">
        <f aca="false">VLOOKUP(A274,'Inputs-Summary'!$A$32:$E$41,5,FALSE())</f>
        <v>#N/A</v>
      </c>
      <c r="C274" s="122"/>
      <c r="D274" s="123" t="e">
        <f aca="false">B274+C274</f>
        <v>#N/A</v>
      </c>
      <c r="E274" s="111" t="n">
        <f aca="false">IF(Z274=0,0,IF(AND(Z274=1,$H$3=1),D274*U274,IF($H$3=2,D274,"N/A")))</f>
        <v>0</v>
      </c>
      <c r="F274" s="111" t="n">
        <f aca="false">E274*Y274</f>
        <v>0</v>
      </c>
      <c r="G274" s="124" t="n">
        <f aca="false">VLOOKUP($A274,Table,MATCH(G$4,Curves,0))</f>
        <v>3</v>
      </c>
      <c r="H274" s="125" t="n">
        <f aca="false">G274+$H$7</f>
        <v>3</v>
      </c>
      <c r="I274" s="124" t="n">
        <f aca="false">H274</f>
        <v>3</v>
      </c>
      <c r="J274" s="124" t="n">
        <f aca="false">VLOOKUP($A274,Table,MATCH(J$4,Curves,0))</f>
        <v>4</v>
      </c>
      <c r="K274" s="125" t="n">
        <f aca="false">J274+$K$7</f>
        <v>4</v>
      </c>
      <c r="L274" s="126" t="n">
        <f aca="false">K274</f>
        <v>4</v>
      </c>
      <c r="M274" s="124" t="n">
        <f aca="false">VLOOKUP($A274,Table,MATCH(M$4,Curves,0))</f>
        <v>4</v>
      </c>
      <c r="N274" s="125" t="n">
        <f aca="false">M274+$N$7</f>
        <v>4</v>
      </c>
      <c r="O274" s="126" t="n">
        <v>-0.04</v>
      </c>
      <c r="P274" s="114"/>
      <c r="Q274" s="126" t="n">
        <f aca="false">M274+J274+G274</f>
        <v>11</v>
      </c>
      <c r="R274" s="126" t="n">
        <f aca="false">N274+K274+H274</f>
        <v>11</v>
      </c>
      <c r="S274" s="126" t="n">
        <f aca="false">O274+L274+I274</f>
        <v>6.96</v>
      </c>
      <c r="T274" s="127"/>
      <c r="U274" s="5" t="n">
        <f aca="false">A275-A274</f>
        <v>29</v>
      </c>
      <c r="V274" s="128" t="n">
        <f aca="false">CHOOSE(F$3,A275+24,A274)</f>
        <v>45323</v>
      </c>
      <c r="W274" s="5" t="n">
        <f aca="false">V274-C$3</f>
        <v>8092</v>
      </c>
      <c r="X274" s="124" t="n">
        <f aca="false">VLOOKUP($A274,Table,MATCH(X$4,Curves,0))</f>
        <v>2</v>
      </c>
      <c r="Y274" s="129" t="n">
        <f aca="false">1/(1+CHOOSE(F$3,(X275+($K$3/10000))/2,(X274+($K$3/10000))/2))^(2*W274/365.25)</f>
        <v>4.58720756678533E-014</v>
      </c>
      <c r="Z274" s="5" t="n">
        <f aca="false">IF(AND(mthbeg&lt;=A274,mthend&gt;=A274),1,0)</f>
        <v>0</v>
      </c>
      <c r="AA274" s="5" t="n">
        <f aca="false">U274*Z274</f>
        <v>0</v>
      </c>
      <c r="AC274" s="115" t="n">
        <f aca="false">IF(G267=2,F274*(S274-Q274),F274*(Q274-S274))</f>
        <v>0</v>
      </c>
      <c r="AE274" s="116" t="n">
        <f aca="false">IF($G$3=1,F274*(R274-Q274),F274*(Q274-R274))</f>
        <v>0</v>
      </c>
      <c r="AG274" s="116" t="n">
        <f aca="false">AC274+AE274</f>
        <v>0</v>
      </c>
    </row>
    <row r="275" customFormat="false" ht="12" hidden="false" customHeight="true" outlineLevel="0" collapsed="false">
      <c r="A275" s="120" t="n">
        <f aca="false">EDATE(A274,1)</f>
        <v>45352</v>
      </c>
      <c r="B275" s="121" t="e">
        <f aca="false">VLOOKUP(A275,'Inputs-Summary'!$A$32:$E$41,5,FALSE())</f>
        <v>#N/A</v>
      </c>
      <c r="C275" s="122"/>
      <c r="D275" s="123" t="e">
        <f aca="false">B275+C275</f>
        <v>#N/A</v>
      </c>
      <c r="E275" s="111" t="n">
        <f aca="false">IF(Z275=0,0,IF(AND(Z275=1,$H$3=1),D275*U275,IF($H$3=2,D275,"N/A")))</f>
        <v>0</v>
      </c>
      <c r="F275" s="111" t="n">
        <f aca="false">E275*Y275</f>
        <v>0</v>
      </c>
      <c r="G275" s="124" t="n">
        <f aca="false">VLOOKUP($A275,Table,MATCH(G$4,Curves,0))</f>
        <v>3</v>
      </c>
      <c r="H275" s="125" t="n">
        <f aca="false">G275+$H$7</f>
        <v>3</v>
      </c>
      <c r="I275" s="124" t="n">
        <f aca="false">H275</f>
        <v>3</v>
      </c>
      <c r="J275" s="124" t="n">
        <f aca="false">VLOOKUP($A275,Table,MATCH(J$4,Curves,0))</f>
        <v>4</v>
      </c>
      <c r="K275" s="125" t="n">
        <f aca="false">J275+$K$7</f>
        <v>4</v>
      </c>
      <c r="L275" s="126" t="n">
        <f aca="false">K275</f>
        <v>4</v>
      </c>
      <c r="M275" s="124" t="n">
        <f aca="false">VLOOKUP($A275,Table,MATCH(M$4,Curves,0))</f>
        <v>4</v>
      </c>
      <c r="N275" s="125" t="n">
        <f aca="false">M275+$N$7</f>
        <v>4</v>
      </c>
      <c r="O275" s="126" t="n">
        <v>-0.04</v>
      </c>
      <c r="P275" s="114"/>
      <c r="Q275" s="126" t="n">
        <f aca="false">M275+J275+G275</f>
        <v>11</v>
      </c>
      <c r="R275" s="126" t="n">
        <f aca="false">N275+K275+H275</f>
        <v>11</v>
      </c>
      <c r="S275" s="126" t="n">
        <f aca="false">O275+L275+I275</f>
        <v>6.96</v>
      </c>
      <c r="T275" s="127"/>
      <c r="U275" s="5" t="n">
        <f aca="false">A276-A275</f>
        <v>31</v>
      </c>
      <c r="V275" s="128" t="n">
        <f aca="false">CHOOSE(F$3,A276+24,A275)</f>
        <v>45352</v>
      </c>
      <c r="W275" s="5" t="n">
        <f aca="false">V275-C$3</f>
        <v>8121</v>
      </c>
      <c r="X275" s="124" t="n">
        <f aca="false">VLOOKUP($A275,Table,MATCH(X$4,Curves,0))</f>
        <v>2</v>
      </c>
      <c r="Y275" s="129" t="n">
        <f aca="false">1/(1+CHOOSE(F$3,(X276+($K$3/10000))/2,(X275+($K$3/10000))/2))^(2*W275/365.25)</f>
        <v>4.10909545178908E-014</v>
      </c>
      <c r="Z275" s="5" t="n">
        <f aca="false">IF(AND(mthbeg&lt;=A275,mthend&gt;=A275),1,0)</f>
        <v>0</v>
      </c>
      <c r="AA275" s="5" t="n">
        <f aca="false">U275*Z275</f>
        <v>0</v>
      </c>
      <c r="AC275" s="115" t="n">
        <f aca="false">IF(G268=2,F275*(S275-Q275),F275*(Q275-S275))</f>
        <v>0</v>
      </c>
      <c r="AE275" s="116" t="n">
        <f aca="false">IF($G$3=1,F275*(R275-Q275),F275*(Q275-R275))</f>
        <v>0</v>
      </c>
      <c r="AG275" s="116" t="n">
        <f aca="false">AC275+AE275</f>
        <v>0</v>
      </c>
    </row>
    <row r="276" customFormat="false" ht="12" hidden="false" customHeight="true" outlineLevel="0" collapsed="false">
      <c r="A276" s="120" t="n">
        <f aca="false">EDATE(A275,1)</f>
        <v>45383</v>
      </c>
      <c r="B276" s="121" t="e">
        <f aca="false">VLOOKUP(A276,'Inputs-Summary'!$A$32:$E$41,5,FALSE())</f>
        <v>#N/A</v>
      </c>
      <c r="C276" s="122"/>
      <c r="D276" s="123" t="e">
        <f aca="false">B276+C276</f>
        <v>#N/A</v>
      </c>
      <c r="E276" s="111" t="n">
        <f aca="false">IF(Z276=0,0,IF(AND(Z276=1,$H$3=1),D276*U276,IF($H$3=2,D276,"N/A")))</f>
        <v>0</v>
      </c>
      <c r="F276" s="111" t="n">
        <f aca="false">E276*Y276</f>
        <v>0</v>
      </c>
      <c r="G276" s="124" t="n">
        <f aca="false">VLOOKUP($A276,Table,MATCH(G$4,Curves,0))</f>
        <v>3</v>
      </c>
      <c r="H276" s="125" t="n">
        <f aca="false">G276+$H$7</f>
        <v>3</v>
      </c>
      <c r="I276" s="124" t="n">
        <f aca="false">H276</f>
        <v>3</v>
      </c>
      <c r="J276" s="124" t="n">
        <f aca="false">VLOOKUP($A276,Table,MATCH(J$4,Curves,0))</f>
        <v>4</v>
      </c>
      <c r="K276" s="125" t="n">
        <f aca="false">J276+$K$7</f>
        <v>4</v>
      </c>
      <c r="L276" s="126" t="n">
        <f aca="false">K276</f>
        <v>4</v>
      </c>
      <c r="M276" s="124" t="n">
        <f aca="false">VLOOKUP($A276,Table,MATCH(M$4,Curves,0))</f>
        <v>4</v>
      </c>
      <c r="N276" s="125" t="n">
        <f aca="false">M276+$N$7</f>
        <v>4</v>
      </c>
      <c r="O276" s="126" t="n">
        <v>-0.04</v>
      </c>
      <c r="P276" s="114"/>
      <c r="Q276" s="126" t="n">
        <f aca="false">M276+J276+G276</f>
        <v>11</v>
      </c>
      <c r="R276" s="126" t="n">
        <f aca="false">N276+K276+H276</f>
        <v>11</v>
      </c>
      <c r="S276" s="126" t="n">
        <f aca="false">O276+L276+I276</f>
        <v>6.96</v>
      </c>
      <c r="T276" s="127"/>
      <c r="U276" s="5" t="n">
        <f aca="false">A277-A276</f>
        <v>30</v>
      </c>
      <c r="V276" s="128" t="n">
        <f aca="false">CHOOSE(F$3,A277+24,A276)</f>
        <v>45383</v>
      </c>
      <c r="W276" s="5" t="n">
        <f aca="false">V276-C$3</f>
        <v>8152</v>
      </c>
      <c r="X276" s="124" t="n">
        <f aca="false">VLOOKUP($A276,Table,MATCH(X$4,Curves,0))</f>
        <v>2</v>
      </c>
      <c r="Y276" s="129" t="n">
        <f aca="false">1/(1+CHOOSE(F$3,(X277+($K$3/10000))/2,(X276+($K$3/10000))/2))^(2*W276/365.25)</f>
        <v>3.6529806077667E-014</v>
      </c>
      <c r="Z276" s="5" t="n">
        <f aca="false">IF(AND(mthbeg&lt;=A276,mthend&gt;=A276),1,0)</f>
        <v>0</v>
      </c>
      <c r="AA276" s="5" t="n">
        <f aca="false">U276*Z276</f>
        <v>0</v>
      </c>
      <c r="AC276" s="115" t="n">
        <f aca="false">IF(G269=2,F276*(S276-Q276),F276*(Q276-S276))</f>
        <v>0</v>
      </c>
      <c r="AE276" s="116" t="n">
        <f aca="false">IF($G$3=1,F276*(R276-Q276),F276*(Q276-R276))</f>
        <v>0</v>
      </c>
      <c r="AG276" s="116" t="n">
        <f aca="false">AC276+AE276</f>
        <v>0</v>
      </c>
    </row>
    <row r="277" customFormat="false" ht="12" hidden="false" customHeight="true" outlineLevel="0" collapsed="false">
      <c r="A277" s="120" t="n">
        <f aca="false">EDATE(A276,1)</f>
        <v>45413</v>
      </c>
      <c r="B277" s="121" t="e">
        <f aca="false">VLOOKUP(A277,'Inputs-Summary'!$A$32:$E$41,5,FALSE())</f>
        <v>#N/A</v>
      </c>
      <c r="C277" s="122"/>
      <c r="D277" s="123" t="e">
        <f aca="false">B277+C277</f>
        <v>#N/A</v>
      </c>
      <c r="E277" s="111" t="n">
        <f aca="false">IF(Z277=0,0,IF(AND(Z277=1,$H$3=1),D277*U277,IF($H$3=2,D277,"N/A")))</f>
        <v>0</v>
      </c>
      <c r="F277" s="111" t="n">
        <f aca="false">E277*Y277</f>
        <v>0</v>
      </c>
      <c r="G277" s="124" t="n">
        <f aca="false">VLOOKUP($A277,Table,MATCH(G$4,Curves,0))</f>
        <v>3</v>
      </c>
      <c r="H277" s="125" t="n">
        <f aca="false">G277+$H$7</f>
        <v>3</v>
      </c>
      <c r="I277" s="124" t="n">
        <f aca="false">H277</f>
        <v>3</v>
      </c>
      <c r="J277" s="124" t="n">
        <f aca="false">VLOOKUP($A277,Table,MATCH(J$4,Curves,0))</f>
        <v>4</v>
      </c>
      <c r="K277" s="125" t="n">
        <f aca="false">J277+$K$7</f>
        <v>4</v>
      </c>
      <c r="L277" s="126" t="n">
        <f aca="false">K277</f>
        <v>4</v>
      </c>
      <c r="M277" s="124" t="n">
        <f aca="false">VLOOKUP($A277,Table,MATCH(M$4,Curves,0))</f>
        <v>4</v>
      </c>
      <c r="N277" s="125" t="n">
        <f aca="false">M277+$N$7</f>
        <v>4</v>
      </c>
      <c r="O277" s="126" t="n">
        <v>-0.04</v>
      </c>
      <c r="P277" s="114"/>
      <c r="Q277" s="126" t="n">
        <f aca="false">M277+J277+G277</f>
        <v>11</v>
      </c>
      <c r="R277" s="126" t="n">
        <f aca="false">N277+K277+H277</f>
        <v>11</v>
      </c>
      <c r="S277" s="126" t="n">
        <f aca="false">O277+L277+I277</f>
        <v>6.96</v>
      </c>
      <c r="T277" s="127"/>
      <c r="U277" s="5" t="n">
        <f aca="false">A278-A277</f>
        <v>31</v>
      </c>
      <c r="V277" s="128" t="n">
        <f aca="false">CHOOSE(F$3,A278+24,A277)</f>
        <v>45413</v>
      </c>
      <c r="W277" s="5" t="n">
        <f aca="false">V277-C$3</f>
        <v>8182</v>
      </c>
      <c r="X277" s="124" t="n">
        <f aca="false">VLOOKUP($A277,Table,MATCH(X$4,Curves,0))</f>
        <v>2</v>
      </c>
      <c r="Y277" s="129" t="n">
        <f aca="false">1/(1+CHOOSE(F$3,(X278+($K$3/10000))/2,(X277+($K$3/10000))/2))^(2*W277/365.25)</f>
        <v>3.25984427550596E-014</v>
      </c>
      <c r="Z277" s="5" t="n">
        <f aca="false">IF(AND(mthbeg&lt;=A277,mthend&gt;=A277),1,0)</f>
        <v>0</v>
      </c>
      <c r="AA277" s="5" t="n">
        <f aca="false">U277*Z277</f>
        <v>0</v>
      </c>
      <c r="AC277" s="115" t="n">
        <f aca="false">IF(G270=2,F277*(S277-Q277),F277*(Q277-S277))</f>
        <v>0</v>
      </c>
      <c r="AE277" s="116" t="n">
        <f aca="false">IF($G$3=1,F277*(R277-Q277),F277*(Q277-R277))</f>
        <v>0</v>
      </c>
      <c r="AG277" s="116" t="n">
        <f aca="false">AC277+AE277</f>
        <v>0</v>
      </c>
    </row>
    <row r="278" customFormat="false" ht="12" hidden="false" customHeight="true" outlineLevel="0" collapsed="false">
      <c r="A278" s="120" t="n">
        <f aca="false">EDATE(A277,1)</f>
        <v>45444</v>
      </c>
      <c r="B278" s="121" t="e">
        <f aca="false">VLOOKUP(A278,'Inputs-Summary'!$A$32:$E$41,5,FALSE())</f>
        <v>#N/A</v>
      </c>
      <c r="C278" s="122"/>
      <c r="D278" s="123" t="e">
        <f aca="false">B278+C278</f>
        <v>#N/A</v>
      </c>
      <c r="E278" s="111" t="n">
        <f aca="false">IF(Z278=0,0,IF(AND(Z278=1,$H$3=1),D278*U278,IF($H$3=2,D278,"N/A")))</f>
        <v>0</v>
      </c>
      <c r="F278" s="111" t="n">
        <f aca="false">E278*Y278</f>
        <v>0</v>
      </c>
      <c r="G278" s="124" t="n">
        <f aca="false">VLOOKUP($A278,Table,MATCH(G$4,Curves,0))</f>
        <v>3</v>
      </c>
      <c r="H278" s="125" t="n">
        <f aca="false">G278+$H$7</f>
        <v>3</v>
      </c>
      <c r="I278" s="124" t="n">
        <f aca="false">H278</f>
        <v>3</v>
      </c>
      <c r="J278" s="124" t="n">
        <f aca="false">VLOOKUP($A278,Table,MATCH(J$4,Curves,0))</f>
        <v>4</v>
      </c>
      <c r="K278" s="125" t="n">
        <f aca="false">J278+$K$7</f>
        <v>4</v>
      </c>
      <c r="L278" s="126" t="n">
        <f aca="false">K278</f>
        <v>4</v>
      </c>
      <c r="M278" s="124" t="n">
        <f aca="false">VLOOKUP($A278,Table,MATCH(M$4,Curves,0))</f>
        <v>4</v>
      </c>
      <c r="N278" s="125" t="n">
        <f aca="false">M278+$N$7</f>
        <v>4</v>
      </c>
      <c r="O278" s="126" t="n">
        <v>-0.04</v>
      </c>
      <c r="P278" s="114"/>
      <c r="Q278" s="126" t="n">
        <f aca="false">M278+J278+G278</f>
        <v>11</v>
      </c>
      <c r="R278" s="126" t="n">
        <f aca="false">N278+K278+H278</f>
        <v>11</v>
      </c>
      <c r="S278" s="126" t="n">
        <f aca="false">O278+L278+I278</f>
        <v>6.96</v>
      </c>
      <c r="T278" s="127"/>
      <c r="U278" s="5" t="n">
        <f aca="false">A279-A278</f>
        <v>30</v>
      </c>
      <c r="V278" s="128" t="n">
        <f aca="false">CHOOSE(F$3,A279+24,A278)</f>
        <v>45444</v>
      </c>
      <c r="W278" s="5" t="n">
        <f aca="false">V278-C$3</f>
        <v>8213</v>
      </c>
      <c r="X278" s="124" t="n">
        <f aca="false">VLOOKUP($A278,Table,MATCH(X$4,Curves,0))</f>
        <v>2</v>
      </c>
      <c r="Y278" s="129" t="n">
        <f aca="false">1/(1+CHOOSE(F$3,(X279+($K$3/10000))/2,(X278+($K$3/10000))/2))^(2*W278/365.25)</f>
        <v>2.89799739686695E-014</v>
      </c>
      <c r="Z278" s="5" t="n">
        <f aca="false">IF(AND(mthbeg&lt;=A278,mthend&gt;=A278),1,0)</f>
        <v>0</v>
      </c>
      <c r="AA278" s="5" t="n">
        <f aca="false">U278*Z278</f>
        <v>0</v>
      </c>
      <c r="AC278" s="115" t="n">
        <f aca="false">IF(G271=2,F278*(S278-Q278),F278*(Q278-S278))</f>
        <v>0</v>
      </c>
      <c r="AE278" s="116" t="n">
        <f aca="false">IF($G$3=1,F278*(R278-Q278),F278*(Q278-R278))</f>
        <v>0</v>
      </c>
      <c r="AG278" s="116" t="n">
        <f aca="false">AC278+AE278</f>
        <v>0</v>
      </c>
    </row>
    <row r="279" customFormat="false" ht="12" hidden="false" customHeight="true" outlineLevel="0" collapsed="false">
      <c r="A279" s="120" t="n">
        <f aca="false">EDATE(A278,1)</f>
        <v>45474</v>
      </c>
      <c r="B279" s="121" t="e">
        <f aca="false">VLOOKUP(A279,'Inputs-Summary'!$A$32:$E$41,5,FALSE())</f>
        <v>#N/A</v>
      </c>
      <c r="C279" s="122"/>
      <c r="D279" s="123" t="e">
        <f aca="false">B279+C279</f>
        <v>#N/A</v>
      </c>
      <c r="E279" s="111" t="n">
        <f aca="false">IF(Z279=0,0,IF(AND(Z279=1,$H$3=1),D279*U279,IF($H$3=2,D279,"N/A")))</f>
        <v>0</v>
      </c>
      <c r="F279" s="111" t="n">
        <f aca="false">E279*Y279</f>
        <v>0</v>
      </c>
      <c r="G279" s="124" t="n">
        <f aca="false">VLOOKUP($A279,Table,MATCH(G$4,Curves,0))</f>
        <v>3</v>
      </c>
      <c r="H279" s="125" t="n">
        <f aca="false">G279+$H$7</f>
        <v>3</v>
      </c>
      <c r="I279" s="124" t="n">
        <f aca="false">H279</f>
        <v>3</v>
      </c>
      <c r="J279" s="124" t="n">
        <f aca="false">VLOOKUP($A279,Table,MATCH(J$4,Curves,0))</f>
        <v>4</v>
      </c>
      <c r="K279" s="125" t="n">
        <f aca="false">J279+$K$7</f>
        <v>4</v>
      </c>
      <c r="L279" s="126" t="n">
        <f aca="false">K279</f>
        <v>4</v>
      </c>
      <c r="M279" s="124" t="n">
        <f aca="false">VLOOKUP($A279,Table,MATCH(M$4,Curves,0))</f>
        <v>4</v>
      </c>
      <c r="N279" s="125" t="n">
        <f aca="false">M279+$N$7</f>
        <v>4</v>
      </c>
      <c r="O279" s="126" t="n">
        <v>-0.04</v>
      </c>
      <c r="P279" s="114"/>
      <c r="Q279" s="126" t="n">
        <f aca="false">M279+J279+G279</f>
        <v>11</v>
      </c>
      <c r="R279" s="126" t="n">
        <f aca="false">N279+K279+H279</f>
        <v>11</v>
      </c>
      <c r="S279" s="126" t="n">
        <f aca="false">O279+L279+I279</f>
        <v>6.96</v>
      </c>
      <c r="T279" s="127"/>
      <c r="U279" s="5" t="n">
        <f aca="false">A280-A279</f>
        <v>31</v>
      </c>
      <c r="V279" s="128" t="n">
        <f aca="false">CHOOSE(F$3,A280+24,A279)</f>
        <v>45474</v>
      </c>
      <c r="W279" s="5" t="n">
        <f aca="false">V279-C$3</f>
        <v>8243</v>
      </c>
      <c r="X279" s="124" t="n">
        <f aca="false">VLOOKUP($A279,Table,MATCH(X$4,Curves,0))</f>
        <v>2</v>
      </c>
      <c r="Y279" s="129" t="n">
        <f aca="false">1/(1+CHOOSE(F$3,(X280+($K$3/10000))/2,(X279+($K$3/10000))/2))^(2*W279/365.25)</f>
        <v>2.58611288669926E-014</v>
      </c>
      <c r="Z279" s="5" t="n">
        <f aca="false">IF(AND(mthbeg&lt;=A279,mthend&gt;=A279),1,0)</f>
        <v>0</v>
      </c>
      <c r="AA279" s="5" t="n">
        <f aca="false">U279*Z279</f>
        <v>0</v>
      </c>
      <c r="AC279" s="115" t="n">
        <f aca="false">IF(G272=2,F279*(S279-Q279),F279*(Q279-S279))</f>
        <v>0</v>
      </c>
      <c r="AE279" s="116" t="n">
        <f aca="false">IF($G$3=1,F279*(R279-Q279),F279*(Q279-R279))</f>
        <v>0</v>
      </c>
      <c r="AG279" s="116" t="n">
        <f aca="false">AC279+AE279</f>
        <v>0</v>
      </c>
    </row>
    <row r="280" customFormat="false" ht="12" hidden="false" customHeight="true" outlineLevel="0" collapsed="false">
      <c r="A280" s="120" t="n">
        <f aca="false">EDATE(A279,1)</f>
        <v>45505</v>
      </c>
      <c r="B280" s="121" t="e">
        <f aca="false">VLOOKUP(A280,'Inputs-Summary'!$A$32:$E$41,5,FALSE())</f>
        <v>#N/A</v>
      </c>
      <c r="C280" s="122"/>
      <c r="D280" s="123" t="e">
        <f aca="false">B280+C280</f>
        <v>#N/A</v>
      </c>
      <c r="E280" s="111" t="n">
        <f aca="false">IF(Z280=0,0,IF(AND(Z280=1,$H$3=1),D280*U280,IF($H$3=2,D280,"N/A")))</f>
        <v>0</v>
      </c>
      <c r="F280" s="111" t="n">
        <f aca="false">E280*Y280</f>
        <v>0</v>
      </c>
      <c r="G280" s="124" t="n">
        <f aca="false">VLOOKUP($A280,Table,MATCH(G$4,Curves,0))</f>
        <v>3</v>
      </c>
      <c r="H280" s="125" t="n">
        <f aca="false">G280+$H$7</f>
        <v>3</v>
      </c>
      <c r="I280" s="124" t="n">
        <f aca="false">H280</f>
        <v>3</v>
      </c>
      <c r="J280" s="124" t="n">
        <f aca="false">VLOOKUP($A280,Table,MATCH(J$4,Curves,0))</f>
        <v>4</v>
      </c>
      <c r="K280" s="125" t="n">
        <f aca="false">J280+$K$7</f>
        <v>4</v>
      </c>
      <c r="L280" s="126" t="n">
        <f aca="false">K280</f>
        <v>4</v>
      </c>
      <c r="M280" s="124" t="n">
        <f aca="false">VLOOKUP($A280,Table,MATCH(M$4,Curves,0))</f>
        <v>4</v>
      </c>
      <c r="N280" s="125" t="n">
        <f aca="false">M280+$N$7</f>
        <v>4</v>
      </c>
      <c r="O280" s="126" t="n">
        <v>-0.04</v>
      </c>
      <c r="P280" s="114"/>
      <c r="Q280" s="126" t="n">
        <f aca="false">M280+J280+G280</f>
        <v>11</v>
      </c>
      <c r="R280" s="126" t="n">
        <f aca="false">N280+K280+H280</f>
        <v>11</v>
      </c>
      <c r="S280" s="126" t="n">
        <f aca="false">O280+L280+I280</f>
        <v>6.96</v>
      </c>
      <c r="T280" s="127"/>
      <c r="U280" s="5" t="n">
        <f aca="false">A281-A280</f>
        <v>31</v>
      </c>
      <c r="V280" s="128" t="n">
        <f aca="false">CHOOSE(F$3,A281+24,A280)</f>
        <v>45505</v>
      </c>
      <c r="W280" s="5" t="n">
        <f aca="false">V280-C$3</f>
        <v>8274</v>
      </c>
      <c r="X280" s="124" t="n">
        <f aca="false">VLOOKUP($A280,Table,MATCH(X$4,Curves,0))</f>
        <v>2</v>
      </c>
      <c r="Y280" s="129" t="n">
        <f aca="false">1/(1+CHOOSE(F$3,(X281+($K$3/10000))/2,(X280+($K$3/10000))/2))^(2*W280/365.25)</f>
        <v>2.29905105282837E-014</v>
      </c>
      <c r="Z280" s="5" t="n">
        <f aca="false">IF(AND(mthbeg&lt;=A280,mthend&gt;=A280),1,0)</f>
        <v>0</v>
      </c>
      <c r="AA280" s="5" t="n">
        <f aca="false">U280*Z280</f>
        <v>0</v>
      </c>
      <c r="AC280" s="115" t="n">
        <f aca="false">IF(G273=2,F280*(S280-Q280),F280*(Q280-S280))</f>
        <v>0</v>
      </c>
      <c r="AE280" s="116" t="n">
        <f aca="false">IF($G$3=1,F280*(R280-Q280),F280*(Q280-R280))</f>
        <v>0</v>
      </c>
      <c r="AG280" s="116" t="n">
        <f aca="false">AC280+AE280</f>
        <v>0</v>
      </c>
    </row>
    <row r="281" customFormat="false" ht="12" hidden="false" customHeight="true" outlineLevel="0" collapsed="false">
      <c r="A281" s="120" t="n">
        <f aca="false">EDATE(A280,1)</f>
        <v>45536</v>
      </c>
      <c r="B281" s="121" t="e">
        <f aca="false">VLOOKUP(A281,'Inputs-Summary'!$A$32:$E$41,5,FALSE())</f>
        <v>#N/A</v>
      </c>
      <c r="C281" s="122"/>
      <c r="D281" s="123" t="e">
        <f aca="false">B281+C281</f>
        <v>#N/A</v>
      </c>
      <c r="E281" s="111" t="n">
        <f aca="false">IF(Z281=0,0,IF(AND(Z281=1,$H$3=1),D281*U281,IF($H$3=2,D281,"N/A")))</f>
        <v>0</v>
      </c>
      <c r="F281" s="111" t="n">
        <f aca="false">E281*Y281</f>
        <v>0</v>
      </c>
      <c r="G281" s="124" t="n">
        <f aca="false">VLOOKUP($A281,Table,MATCH(G$4,Curves,0))</f>
        <v>3</v>
      </c>
      <c r="H281" s="125" t="n">
        <f aca="false">G281+$H$7</f>
        <v>3</v>
      </c>
      <c r="I281" s="124" t="n">
        <f aca="false">H281</f>
        <v>3</v>
      </c>
      <c r="J281" s="124" t="n">
        <f aca="false">VLOOKUP($A281,Table,MATCH(J$4,Curves,0))</f>
        <v>4</v>
      </c>
      <c r="K281" s="125" t="n">
        <f aca="false">J281+$K$7</f>
        <v>4</v>
      </c>
      <c r="L281" s="126" t="n">
        <f aca="false">K281</f>
        <v>4</v>
      </c>
      <c r="M281" s="124" t="n">
        <f aca="false">VLOOKUP($A281,Table,MATCH(M$4,Curves,0))</f>
        <v>4</v>
      </c>
      <c r="N281" s="125" t="n">
        <f aca="false">M281+$N$7</f>
        <v>4</v>
      </c>
      <c r="O281" s="126" t="n">
        <v>-0.04</v>
      </c>
      <c r="P281" s="114"/>
      <c r="Q281" s="126" t="n">
        <f aca="false">M281+J281+G281</f>
        <v>11</v>
      </c>
      <c r="R281" s="126" t="n">
        <f aca="false">N281+K281+H281</f>
        <v>11</v>
      </c>
      <c r="S281" s="126" t="n">
        <f aca="false">O281+L281+I281</f>
        <v>6.96</v>
      </c>
      <c r="T281" s="127"/>
      <c r="U281" s="5" t="n">
        <f aca="false">A282-A281</f>
        <v>30</v>
      </c>
      <c r="V281" s="128" t="n">
        <f aca="false">CHOOSE(F$3,A282+24,A281)</f>
        <v>45536</v>
      </c>
      <c r="W281" s="5" t="n">
        <f aca="false">V281-C$3</f>
        <v>8305</v>
      </c>
      <c r="X281" s="124" t="n">
        <f aca="false">VLOOKUP($A281,Table,MATCH(X$4,Curves,0))</f>
        <v>2</v>
      </c>
      <c r="Y281" s="129" t="n">
        <f aca="false">1/(1+CHOOSE(F$3,(X282+($K$3/10000))/2,(X281+($K$3/10000))/2))^(2*W281/365.25)</f>
        <v>2.04385344920402E-014</v>
      </c>
      <c r="Z281" s="5" t="n">
        <f aca="false">IF(AND(mthbeg&lt;=A281,mthend&gt;=A281),1,0)</f>
        <v>0</v>
      </c>
      <c r="AA281" s="5" t="n">
        <f aca="false">U281*Z281</f>
        <v>0</v>
      </c>
      <c r="AC281" s="115" t="n">
        <f aca="false">IF(G274=2,F281*(S281-Q281),F281*(Q281-S281))</f>
        <v>0</v>
      </c>
      <c r="AE281" s="116" t="n">
        <f aca="false">IF($G$3=1,F281*(R281-Q281),F281*(Q281-R281))</f>
        <v>0</v>
      </c>
      <c r="AG281" s="116" t="n">
        <f aca="false">AC281+AE281</f>
        <v>0</v>
      </c>
    </row>
    <row r="282" customFormat="false" ht="12" hidden="false" customHeight="true" outlineLevel="0" collapsed="false">
      <c r="A282" s="120" t="n">
        <f aca="false">EDATE(A281,1)</f>
        <v>45566</v>
      </c>
      <c r="B282" s="121" t="e">
        <f aca="false">VLOOKUP(A282,'Inputs-Summary'!$A$32:$E$41,5,FALSE())</f>
        <v>#N/A</v>
      </c>
      <c r="C282" s="122"/>
      <c r="D282" s="123" t="e">
        <f aca="false">B282+C282</f>
        <v>#N/A</v>
      </c>
      <c r="E282" s="111" t="n">
        <f aca="false">IF(Z282=0,0,IF(AND(Z282=1,$H$3=1),D282*U282,IF($H$3=2,D282,"N/A")))</f>
        <v>0</v>
      </c>
      <c r="F282" s="111" t="n">
        <f aca="false">E282*Y282</f>
        <v>0</v>
      </c>
      <c r="G282" s="124" t="n">
        <f aca="false">VLOOKUP($A282,Table,MATCH(G$4,Curves,0))</f>
        <v>3</v>
      </c>
      <c r="H282" s="125" t="n">
        <f aca="false">G282+$H$7</f>
        <v>3</v>
      </c>
      <c r="I282" s="124" t="n">
        <f aca="false">H282</f>
        <v>3</v>
      </c>
      <c r="J282" s="124" t="n">
        <f aca="false">VLOOKUP($A282,Table,MATCH(J$4,Curves,0))</f>
        <v>4</v>
      </c>
      <c r="K282" s="125" t="n">
        <f aca="false">J282+$K$7</f>
        <v>4</v>
      </c>
      <c r="L282" s="126" t="n">
        <f aca="false">K282</f>
        <v>4</v>
      </c>
      <c r="M282" s="124" t="n">
        <f aca="false">VLOOKUP($A282,Table,MATCH(M$4,Curves,0))</f>
        <v>4</v>
      </c>
      <c r="N282" s="125" t="n">
        <f aca="false">M282+$N$7</f>
        <v>4</v>
      </c>
      <c r="O282" s="126" t="n">
        <v>-0.04</v>
      </c>
      <c r="P282" s="114"/>
      <c r="Q282" s="126" t="n">
        <f aca="false">M282+J282+G282</f>
        <v>11</v>
      </c>
      <c r="R282" s="126" t="n">
        <f aca="false">N282+K282+H282</f>
        <v>11</v>
      </c>
      <c r="S282" s="126" t="n">
        <f aca="false">O282+L282+I282</f>
        <v>6.96</v>
      </c>
      <c r="T282" s="127"/>
      <c r="U282" s="5" t="n">
        <f aca="false">A283-A282</f>
        <v>31</v>
      </c>
      <c r="V282" s="128" t="n">
        <f aca="false">CHOOSE(F$3,A283+24,A282)</f>
        <v>45566</v>
      </c>
      <c r="W282" s="5" t="n">
        <f aca="false">V282-C$3</f>
        <v>8335</v>
      </c>
      <c r="X282" s="124" t="n">
        <f aca="false">VLOOKUP($A282,Table,MATCH(X$4,Curves,0))</f>
        <v>2</v>
      </c>
      <c r="Y282" s="129" t="n">
        <f aca="false">1/(1+CHOOSE(F$3,(X283+($K$3/10000))/2,(X282+($K$3/10000))/2))^(2*W282/365.25)</f>
        <v>1.82389250909112E-014</v>
      </c>
      <c r="Z282" s="5" t="n">
        <f aca="false">IF(AND(mthbeg&lt;=A282,mthend&gt;=A282),1,0)</f>
        <v>0</v>
      </c>
      <c r="AA282" s="5" t="n">
        <f aca="false">U282*Z282</f>
        <v>0</v>
      </c>
      <c r="AC282" s="115" t="n">
        <f aca="false">IF(G275=2,F282*(S282-Q282),F282*(Q282-S282))</f>
        <v>0</v>
      </c>
      <c r="AE282" s="116" t="n">
        <f aca="false">IF($G$3=1,F282*(R282-Q282),F282*(Q282-R282))</f>
        <v>0</v>
      </c>
      <c r="AG282" s="116" t="n">
        <f aca="false">AC282+AE282</f>
        <v>0</v>
      </c>
    </row>
    <row r="283" customFormat="false" ht="12" hidden="false" customHeight="true" outlineLevel="0" collapsed="false">
      <c r="A283" s="120" t="n">
        <f aca="false">EDATE(A282,1)</f>
        <v>45597</v>
      </c>
      <c r="B283" s="121" t="e">
        <f aca="false">VLOOKUP(A283,'Inputs-Summary'!$A$32:$E$41,5,FALSE())</f>
        <v>#N/A</v>
      </c>
      <c r="C283" s="122"/>
      <c r="D283" s="123" t="e">
        <f aca="false">B283+C283</f>
        <v>#N/A</v>
      </c>
      <c r="E283" s="111" t="n">
        <f aca="false">IF(Z283=0,0,IF(AND(Z283=1,$H$3=1),D283*U283,IF($H$3=2,D283,"N/A")))</f>
        <v>0</v>
      </c>
      <c r="F283" s="111" t="n">
        <f aca="false">E283*Y283</f>
        <v>0</v>
      </c>
      <c r="G283" s="124" t="n">
        <f aca="false">VLOOKUP($A283,Table,MATCH(G$4,Curves,0))</f>
        <v>3</v>
      </c>
      <c r="H283" s="125" t="n">
        <f aca="false">G283+$H$7</f>
        <v>3</v>
      </c>
      <c r="I283" s="124" t="n">
        <f aca="false">H283</f>
        <v>3</v>
      </c>
      <c r="J283" s="124" t="n">
        <f aca="false">VLOOKUP($A283,Table,MATCH(J$4,Curves,0))</f>
        <v>4</v>
      </c>
      <c r="K283" s="125" t="n">
        <f aca="false">J283+$K$7</f>
        <v>4</v>
      </c>
      <c r="L283" s="126" t="n">
        <f aca="false">K283</f>
        <v>4</v>
      </c>
      <c r="M283" s="124" t="n">
        <f aca="false">VLOOKUP($A283,Table,MATCH(M$4,Curves,0))</f>
        <v>4</v>
      </c>
      <c r="N283" s="125" t="n">
        <f aca="false">M283+$N$7</f>
        <v>4</v>
      </c>
      <c r="O283" s="126" t="n">
        <v>-0.04</v>
      </c>
      <c r="P283" s="114"/>
      <c r="Q283" s="126" t="n">
        <f aca="false">M283+J283+G283</f>
        <v>11</v>
      </c>
      <c r="R283" s="126" t="n">
        <f aca="false">N283+K283+H283</f>
        <v>11</v>
      </c>
      <c r="S283" s="126" t="n">
        <f aca="false">O283+L283+I283</f>
        <v>6.96</v>
      </c>
      <c r="T283" s="127"/>
      <c r="U283" s="5" t="n">
        <f aca="false">A284-A283</f>
        <v>30</v>
      </c>
      <c r="V283" s="128" t="n">
        <f aca="false">CHOOSE(F$3,A284+24,A283)</f>
        <v>45597</v>
      </c>
      <c r="W283" s="5" t="n">
        <f aca="false">V283-C$3</f>
        <v>8366</v>
      </c>
      <c r="X283" s="124" t="n">
        <f aca="false">VLOOKUP($A283,Table,MATCH(X$4,Curves,0))</f>
        <v>2</v>
      </c>
      <c r="Y283" s="129" t="n">
        <f aca="false">1/(1+CHOOSE(F$3,(X284+($K$3/10000))/2,(X283+($K$3/10000))/2))^(2*W283/365.25)</f>
        <v>1.62143811077933E-014</v>
      </c>
      <c r="Z283" s="5" t="n">
        <f aca="false">IF(AND(mthbeg&lt;=A283,mthend&gt;=A283),1,0)</f>
        <v>0</v>
      </c>
      <c r="AA283" s="5" t="n">
        <f aca="false">U283*Z283</f>
        <v>0</v>
      </c>
      <c r="AC283" s="115" t="n">
        <f aca="false">IF(G276=2,F283*(S283-Q283),F283*(Q283-S283))</f>
        <v>0</v>
      </c>
      <c r="AE283" s="116" t="n">
        <f aca="false">IF($G$3=1,F283*(R283-Q283),F283*(Q283-R283))</f>
        <v>0</v>
      </c>
      <c r="AG283" s="116" t="n">
        <f aca="false">AC283+AE283</f>
        <v>0</v>
      </c>
    </row>
    <row r="284" customFormat="false" ht="12" hidden="false" customHeight="true" outlineLevel="0" collapsed="false">
      <c r="A284" s="120" t="n">
        <f aca="false">EDATE(A283,1)</f>
        <v>45627</v>
      </c>
      <c r="B284" s="121" t="e">
        <f aca="false">VLOOKUP(A284,'Inputs-Summary'!$A$32:$E$41,5,FALSE())</f>
        <v>#N/A</v>
      </c>
      <c r="C284" s="122"/>
      <c r="D284" s="123" t="e">
        <f aca="false">B284+C284</f>
        <v>#N/A</v>
      </c>
      <c r="E284" s="111" t="n">
        <f aca="false">IF(Z284=0,0,IF(AND(Z284=1,$H$3=1),D284*U284,IF($H$3=2,D284,"N/A")))</f>
        <v>0</v>
      </c>
      <c r="F284" s="111" t="n">
        <f aca="false">E284*Y284</f>
        <v>0</v>
      </c>
      <c r="G284" s="124" t="n">
        <f aca="false">VLOOKUP($A284,Table,MATCH(G$4,Curves,0))</f>
        <v>3</v>
      </c>
      <c r="H284" s="125" t="n">
        <f aca="false">G284+$H$7</f>
        <v>3</v>
      </c>
      <c r="I284" s="124" t="n">
        <f aca="false">H284</f>
        <v>3</v>
      </c>
      <c r="J284" s="124" t="n">
        <f aca="false">VLOOKUP($A284,Table,MATCH(J$4,Curves,0))</f>
        <v>4</v>
      </c>
      <c r="K284" s="125" t="n">
        <f aca="false">J284+$K$7</f>
        <v>4</v>
      </c>
      <c r="L284" s="126" t="n">
        <f aca="false">K284</f>
        <v>4</v>
      </c>
      <c r="M284" s="124" t="n">
        <f aca="false">VLOOKUP($A284,Table,MATCH(M$4,Curves,0))</f>
        <v>4</v>
      </c>
      <c r="N284" s="125" t="n">
        <f aca="false">M284+$N$7</f>
        <v>4</v>
      </c>
      <c r="O284" s="126" t="n">
        <v>-0.04</v>
      </c>
      <c r="P284" s="114"/>
      <c r="Q284" s="126" t="n">
        <f aca="false">M284+J284+G284</f>
        <v>11</v>
      </c>
      <c r="R284" s="126" t="n">
        <f aca="false">N284+K284+H284</f>
        <v>11</v>
      </c>
      <c r="S284" s="126" t="n">
        <f aca="false">O284+L284+I284</f>
        <v>6.96</v>
      </c>
      <c r="T284" s="127"/>
      <c r="U284" s="5" t="n">
        <f aca="false">A285-A284</f>
        <v>31</v>
      </c>
      <c r="V284" s="128" t="n">
        <f aca="false">CHOOSE(F$3,A285+24,A284)</f>
        <v>45627</v>
      </c>
      <c r="W284" s="5" t="n">
        <f aca="false">V284-C$3</f>
        <v>8396</v>
      </c>
      <c r="X284" s="124" t="n">
        <f aca="false">VLOOKUP($A284,Table,MATCH(X$4,Curves,0))</f>
        <v>2</v>
      </c>
      <c r="Y284" s="129" t="n">
        <f aca="false">1/(1+CHOOSE(F$3,(X285+($K$3/10000))/2,(X284+($K$3/10000))/2))^(2*W284/365.25)</f>
        <v>1.44693780532896E-014</v>
      </c>
      <c r="Z284" s="5" t="n">
        <f aca="false">IF(AND(mthbeg&lt;=A284,mthend&gt;=A284),1,0)</f>
        <v>0</v>
      </c>
      <c r="AA284" s="5" t="n">
        <f aca="false">U284*Z284</f>
        <v>0</v>
      </c>
      <c r="AC284" s="115" t="n">
        <f aca="false">IF(G277=2,F284*(S284-Q284),F284*(Q284-S284))</f>
        <v>0</v>
      </c>
      <c r="AE284" s="116" t="n">
        <f aca="false">IF($G$3=1,F284*(R284-Q284),F284*(Q284-R284))</f>
        <v>0</v>
      </c>
      <c r="AG284" s="116" t="n">
        <f aca="false">AC284+AE284</f>
        <v>0</v>
      </c>
    </row>
    <row r="285" customFormat="false" ht="12" hidden="false" customHeight="true" outlineLevel="0" collapsed="false">
      <c r="A285" s="120" t="n">
        <f aca="false">EDATE(A284,1)</f>
        <v>45658</v>
      </c>
      <c r="B285" s="121" t="e">
        <f aca="false">VLOOKUP(A285,'Inputs-Summary'!$A$32:$E$41,5,FALSE())</f>
        <v>#N/A</v>
      </c>
      <c r="C285" s="122"/>
      <c r="D285" s="123" t="e">
        <f aca="false">B285+C285</f>
        <v>#N/A</v>
      </c>
      <c r="E285" s="111" t="n">
        <f aca="false">IF(Z285=0,0,IF(AND(Z285=1,$H$3=1),D285*U285,IF($H$3=2,D285,"N/A")))</f>
        <v>0</v>
      </c>
      <c r="F285" s="111" t="n">
        <f aca="false">E285*Y285</f>
        <v>0</v>
      </c>
      <c r="G285" s="124" t="n">
        <f aca="false">VLOOKUP($A285,Table,MATCH(G$4,Curves,0))</f>
        <v>3</v>
      </c>
      <c r="H285" s="125" t="n">
        <f aca="false">G285+$H$7</f>
        <v>3</v>
      </c>
      <c r="I285" s="124" t="n">
        <f aca="false">H285</f>
        <v>3</v>
      </c>
      <c r="J285" s="124" t="n">
        <f aca="false">VLOOKUP($A285,Table,MATCH(J$4,Curves,0))</f>
        <v>4</v>
      </c>
      <c r="K285" s="125" t="n">
        <f aca="false">J285+$K$7</f>
        <v>4</v>
      </c>
      <c r="L285" s="126" t="n">
        <f aca="false">K285</f>
        <v>4</v>
      </c>
      <c r="M285" s="124" t="n">
        <f aca="false">VLOOKUP($A285,Table,MATCH(M$4,Curves,0))</f>
        <v>4</v>
      </c>
      <c r="N285" s="125" t="n">
        <f aca="false">M285+$N$7</f>
        <v>4</v>
      </c>
      <c r="O285" s="126" t="n">
        <v>-0.04</v>
      </c>
      <c r="P285" s="114"/>
      <c r="Q285" s="126" t="n">
        <f aca="false">M285+J285+G285</f>
        <v>11</v>
      </c>
      <c r="R285" s="126" t="n">
        <f aca="false">N285+K285+H285</f>
        <v>11</v>
      </c>
      <c r="S285" s="126" t="n">
        <f aca="false">O285+L285+I285</f>
        <v>6.96</v>
      </c>
      <c r="T285" s="127"/>
      <c r="U285" s="5" t="n">
        <f aca="false">A286-A285</f>
        <v>31</v>
      </c>
      <c r="V285" s="128" t="n">
        <f aca="false">CHOOSE(F$3,A286+24,A285)</f>
        <v>45658</v>
      </c>
      <c r="W285" s="5" t="n">
        <f aca="false">V285-C$3</f>
        <v>8427</v>
      </c>
      <c r="X285" s="124" t="n">
        <f aca="false">VLOOKUP($A285,Table,MATCH(X$4,Curves,0))</f>
        <v>2</v>
      </c>
      <c r="Y285" s="129" t="n">
        <f aca="false">1/(1+CHOOSE(F$3,(X286+($K$3/10000))/2,(X285+($K$3/10000))/2))^(2*W285/365.25)</f>
        <v>1.28632586064893E-014</v>
      </c>
      <c r="Z285" s="5" t="n">
        <f aca="false">IF(AND(mthbeg&lt;=A285,mthend&gt;=A285),1,0)</f>
        <v>0</v>
      </c>
      <c r="AA285" s="5" t="n">
        <f aca="false">U285*Z285</f>
        <v>0</v>
      </c>
      <c r="AC285" s="115" t="n">
        <f aca="false">IF(G278=2,F285*(S285-Q285),F285*(Q285-S285))</f>
        <v>0</v>
      </c>
      <c r="AE285" s="116" t="n">
        <f aca="false">IF($G$3=1,F285*(R285-Q285),F285*(Q285-R285))</f>
        <v>0</v>
      </c>
      <c r="AG285" s="116" t="n">
        <f aca="false">AC285+AE285</f>
        <v>0</v>
      </c>
    </row>
    <row r="286" customFormat="false" ht="12" hidden="false" customHeight="true" outlineLevel="0" collapsed="false">
      <c r="A286" s="120" t="n">
        <f aca="false">EDATE(A285,1)</f>
        <v>45689</v>
      </c>
      <c r="B286" s="121" t="e">
        <f aca="false">VLOOKUP(A286,'Inputs-Summary'!$A$32:$E$41,5,FALSE())</f>
        <v>#N/A</v>
      </c>
      <c r="C286" s="122"/>
      <c r="D286" s="123" t="e">
        <f aca="false">B286+C286</f>
        <v>#N/A</v>
      </c>
      <c r="E286" s="111" t="n">
        <f aca="false">IF(Z286=0,0,IF(AND(Z286=1,$H$3=1),D286*U286,IF($H$3=2,D286,"N/A")))</f>
        <v>0</v>
      </c>
      <c r="F286" s="111" t="n">
        <f aca="false">E286*Y286</f>
        <v>0</v>
      </c>
      <c r="G286" s="124" t="n">
        <f aca="false">VLOOKUP($A286,Table,MATCH(G$4,Curves,0))</f>
        <v>3</v>
      </c>
      <c r="H286" s="125" t="n">
        <f aca="false">G286+$H$7</f>
        <v>3</v>
      </c>
      <c r="I286" s="124" t="n">
        <f aca="false">H286</f>
        <v>3</v>
      </c>
      <c r="J286" s="124" t="n">
        <f aca="false">VLOOKUP($A286,Table,MATCH(J$4,Curves,0))</f>
        <v>4</v>
      </c>
      <c r="K286" s="125" t="n">
        <f aca="false">J286+$K$7</f>
        <v>4</v>
      </c>
      <c r="L286" s="126" t="n">
        <f aca="false">K286</f>
        <v>4</v>
      </c>
      <c r="M286" s="124" t="n">
        <f aca="false">VLOOKUP($A286,Table,MATCH(M$4,Curves,0))</f>
        <v>4</v>
      </c>
      <c r="N286" s="125" t="n">
        <f aca="false">M286+$N$7</f>
        <v>4</v>
      </c>
      <c r="O286" s="126" t="n">
        <v>-0.04</v>
      </c>
      <c r="P286" s="114"/>
      <c r="Q286" s="126" t="n">
        <f aca="false">M286+J286+G286</f>
        <v>11</v>
      </c>
      <c r="R286" s="126" t="n">
        <f aca="false">N286+K286+H286</f>
        <v>11</v>
      </c>
      <c r="S286" s="126" t="n">
        <f aca="false">O286+L286+I286</f>
        <v>6.96</v>
      </c>
      <c r="T286" s="127"/>
      <c r="U286" s="5" t="n">
        <f aca="false">A287-A286</f>
        <v>28</v>
      </c>
      <c r="V286" s="128" t="n">
        <f aca="false">CHOOSE(F$3,A287+24,A286)</f>
        <v>45689</v>
      </c>
      <c r="W286" s="5" t="n">
        <f aca="false">V286-C$3</f>
        <v>8458</v>
      </c>
      <c r="X286" s="124" t="n">
        <f aca="false">VLOOKUP($A286,Table,MATCH(X$4,Curves,0))</f>
        <v>2</v>
      </c>
      <c r="Y286" s="129" t="n">
        <f aca="false">1/(1+CHOOSE(F$3,(X287+($K$3/10000))/2,(X286+($K$3/10000))/2))^(2*W286/365.25)</f>
        <v>1.14354204699078E-014</v>
      </c>
      <c r="Z286" s="5" t="n">
        <f aca="false">IF(AND(mthbeg&lt;=A286,mthend&gt;=A286),1,0)</f>
        <v>0</v>
      </c>
      <c r="AA286" s="5" t="n">
        <f aca="false">U286*Z286</f>
        <v>0</v>
      </c>
      <c r="AC286" s="115" t="n">
        <f aca="false">IF(G279=2,F286*(S286-Q286),F286*(Q286-S286))</f>
        <v>0</v>
      </c>
      <c r="AE286" s="116" t="n">
        <f aca="false">IF($G$3=1,F286*(R286-Q286),F286*(Q286-R286))</f>
        <v>0</v>
      </c>
      <c r="AG286" s="116" t="n">
        <f aca="false">AC286+AE286</f>
        <v>0</v>
      </c>
    </row>
    <row r="287" customFormat="false" ht="12" hidden="false" customHeight="true" outlineLevel="0" collapsed="false">
      <c r="A287" s="120" t="n">
        <f aca="false">EDATE(A286,1)</f>
        <v>45717</v>
      </c>
      <c r="B287" s="121" t="e">
        <f aca="false">VLOOKUP(A287,'Inputs-Summary'!$A$32:$E$41,5,FALSE())</f>
        <v>#N/A</v>
      </c>
      <c r="C287" s="122"/>
      <c r="D287" s="123" t="e">
        <f aca="false">B287+C287</f>
        <v>#N/A</v>
      </c>
      <c r="E287" s="111" t="n">
        <f aca="false">IF(Z287=0,0,IF(AND(Z287=1,$H$3=1),D287*U287,IF($H$3=2,D287,"N/A")))</f>
        <v>0</v>
      </c>
      <c r="F287" s="111" t="n">
        <f aca="false">E287*Y287</f>
        <v>0</v>
      </c>
      <c r="G287" s="124" t="n">
        <f aca="false">VLOOKUP($A287,Table,MATCH(G$4,Curves,0))</f>
        <v>3</v>
      </c>
      <c r="H287" s="125" t="n">
        <f aca="false">G287+$H$7</f>
        <v>3</v>
      </c>
      <c r="I287" s="124" t="n">
        <f aca="false">H287</f>
        <v>3</v>
      </c>
      <c r="J287" s="124" t="n">
        <f aca="false">VLOOKUP($A287,Table,MATCH(J$4,Curves,0))</f>
        <v>4</v>
      </c>
      <c r="K287" s="125" t="n">
        <f aca="false">J287+$K$7</f>
        <v>4</v>
      </c>
      <c r="L287" s="126" t="n">
        <f aca="false">K287</f>
        <v>4</v>
      </c>
      <c r="M287" s="124" t="n">
        <f aca="false">VLOOKUP($A287,Table,MATCH(M$4,Curves,0))</f>
        <v>4</v>
      </c>
      <c r="N287" s="125" t="n">
        <f aca="false">M287+$N$7</f>
        <v>4</v>
      </c>
      <c r="O287" s="126" t="n">
        <v>-0.04</v>
      </c>
      <c r="P287" s="114"/>
      <c r="Q287" s="126" t="n">
        <f aca="false">M287+J287+G287</f>
        <v>11</v>
      </c>
      <c r="R287" s="126" t="n">
        <f aca="false">N287+K287+H287</f>
        <v>11</v>
      </c>
      <c r="S287" s="126" t="n">
        <f aca="false">O287+L287+I287</f>
        <v>6.96</v>
      </c>
      <c r="T287" s="127"/>
      <c r="U287" s="5" t="n">
        <f aca="false">A288-A287</f>
        <v>31</v>
      </c>
      <c r="V287" s="128" t="n">
        <f aca="false">CHOOSE(F$3,A288+24,A287)</f>
        <v>45717</v>
      </c>
      <c r="W287" s="5" t="n">
        <f aca="false">V287-C$3</f>
        <v>8486</v>
      </c>
      <c r="X287" s="124" t="n">
        <f aca="false">VLOOKUP($A287,Table,MATCH(X$4,Curves,0))</f>
        <v>2</v>
      </c>
      <c r="Y287" s="129" t="n">
        <f aca="false">1/(1+CHOOSE(F$3,(X288+($K$3/10000))/2,(X287+($K$3/10000))/2))^(2*W287/365.25)</f>
        <v>1.02824907158502E-014</v>
      </c>
      <c r="Z287" s="5" t="n">
        <f aca="false">IF(AND(mthbeg&lt;=A287,mthend&gt;=A287),1,0)</f>
        <v>0</v>
      </c>
      <c r="AA287" s="5" t="n">
        <f aca="false">U287*Z287</f>
        <v>0</v>
      </c>
      <c r="AC287" s="115" t="n">
        <f aca="false">IF(G280=2,F287*(S287-Q287),F287*(Q287-S287))</f>
        <v>0</v>
      </c>
      <c r="AE287" s="116" t="n">
        <f aca="false">IF($G$3=1,F287*(R287-Q287),F287*(Q287-R287))</f>
        <v>0</v>
      </c>
      <c r="AG287" s="116" t="n">
        <f aca="false">AC287+AE287</f>
        <v>0</v>
      </c>
    </row>
    <row r="288" customFormat="false" ht="12" hidden="false" customHeight="true" outlineLevel="0" collapsed="false">
      <c r="A288" s="120" t="n">
        <f aca="false">EDATE(A287,1)</f>
        <v>45748</v>
      </c>
      <c r="B288" s="121" t="e">
        <f aca="false">VLOOKUP(A288,'Inputs-Summary'!$A$32:$E$41,5,FALSE())</f>
        <v>#N/A</v>
      </c>
      <c r="C288" s="122"/>
      <c r="D288" s="123" t="e">
        <f aca="false">B288+C288</f>
        <v>#N/A</v>
      </c>
      <c r="E288" s="111" t="n">
        <f aca="false">IF(Z288=0,0,IF(AND(Z288=1,$H$3=1),D288*U288,IF($H$3=2,D288,"N/A")))</f>
        <v>0</v>
      </c>
      <c r="F288" s="111" t="n">
        <f aca="false">E288*Y288</f>
        <v>0</v>
      </c>
      <c r="G288" s="124" t="n">
        <f aca="false">VLOOKUP($A288,Table,MATCH(G$4,Curves,0))</f>
        <v>3</v>
      </c>
      <c r="H288" s="125" t="n">
        <f aca="false">G288+$H$7</f>
        <v>3</v>
      </c>
      <c r="I288" s="124" t="n">
        <f aca="false">H288</f>
        <v>3</v>
      </c>
      <c r="J288" s="124" t="n">
        <f aca="false">VLOOKUP($A288,Table,MATCH(J$4,Curves,0))</f>
        <v>4</v>
      </c>
      <c r="K288" s="125" t="n">
        <f aca="false">J288+$K$7</f>
        <v>4</v>
      </c>
      <c r="L288" s="126" t="n">
        <f aca="false">K288</f>
        <v>4</v>
      </c>
      <c r="M288" s="124" t="n">
        <f aca="false">VLOOKUP($A288,Table,MATCH(M$4,Curves,0))</f>
        <v>4</v>
      </c>
      <c r="N288" s="125" t="n">
        <f aca="false">M288+$N$7</f>
        <v>4</v>
      </c>
      <c r="O288" s="126" t="n">
        <v>-0.04</v>
      </c>
      <c r="P288" s="114"/>
      <c r="Q288" s="126" t="n">
        <f aca="false">M288+J288+G288</f>
        <v>11</v>
      </c>
      <c r="R288" s="126" t="n">
        <f aca="false">N288+K288+H288</f>
        <v>11</v>
      </c>
      <c r="S288" s="126" t="n">
        <f aca="false">O288+L288+I288</f>
        <v>6.96</v>
      </c>
      <c r="T288" s="127"/>
      <c r="U288" s="5" t="n">
        <f aca="false">A289-A288</f>
        <v>30</v>
      </c>
      <c r="V288" s="128" t="n">
        <f aca="false">CHOOSE(F$3,A289+24,A288)</f>
        <v>45748</v>
      </c>
      <c r="W288" s="5" t="n">
        <f aca="false">V288-C$3</f>
        <v>8517</v>
      </c>
      <c r="X288" s="124" t="n">
        <f aca="false">VLOOKUP($A288,Table,MATCH(X$4,Curves,0))</f>
        <v>2</v>
      </c>
      <c r="Y288" s="129" t="n">
        <f aca="false">1/(1+CHOOSE(F$3,(X289+($K$3/10000))/2,(X288+($K$3/10000))/2))^(2*W288/365.25)</f>
        <v>9.14112111174924E-015</v>
      </c>
      <c r="Z288" s="5" t="n">
        <f aca="false">IF(AND(mthbeg&lt;=A288,mthend&gt;=A288),1,0)</f>
        <v>0</v>
      </c>
      <c r="AA288" s="5" t="n">
        <f aca="false">U288*Z288</f>
        <v>0</v>
      </c>
      <c r="AC288" s="115" t="n">
        <f aca="false">IF(G281=2,F288*(S288-Q288),F288*(Q288-S288))</f>
        <v>0</v>
      </c>
      <c r="AE288" s="116" t="n">
        <f aca="false">IF($G$3=1,F288*(R288-Q288),F288*(Q288-R288))</f>
        <v>0</v>
      </c>
      <c r="AG288" s="116" t="n">
        <f aca="false">AC288+AE288</f>
        <v>0</v>
      </c>
    </row>
    <row r="289" customFormat="false" ht="12" hidden="false" customHeight="true" outlineLevel="0" collapsed="false">
      <c r="A289" s="120" t="n">
        <f aca="false">EDATE(A288,1)</f>
        <v>45778</v>
      </c>
      <c r="B289" s="121" t="e">
        <f aca="false">VLOOKUP(A289,'Inputs-Summary'!$A$32:$E$41,5,FALSE())</f>
        <v>#N/A</v>
      </c>
      <c r="C289" s="122"/>
      <c r="D289" s="123" t="e">
        <f aca="false">B289+C289</f>
        <v>#N/A</v>
      </c>
      <c r="E289" s="111" t="n">
        <f aca="false">IF(Z289=0,0,IF(AND(Z289=1,$H$3=1),D289*U289,IF($H$3=2,D289,"N/A")))</f>
        <v>0</v>
      </c>
      <c r="F289" s="111" t="n">
        <f aca="false">E289*Y289</f>
        <v>0</v>
      </c>
      <c r="G289" s="124" t="n">
        <f aca="false">VLOOKUP($A289,Table,MATCH(G$4,Curves,0))</f>
        <v>3</v>
      </c>
      <c r="H289" s="125" t="n">
        <f aca="false">G289+$H$7</f>
        <v>3</v>
      </c>
      <c r="I289" s="124" t="n">
        <f aca="false">H289</f>
        <v>3</v>
      </c>
      <c r="J289" s="124" t="n">
        <f aca="false">VLOOKUP($A289,Table,MATCH(J$4,Curves,0))</f>
        <v>4</v>
      </c>
      <c r="K289" s="125" t="n">
        <f aca="false">J289+$K$7</f>
        <v>4</v>
      </c>
      <c r="L289" s="126" t="n">
        <f aca="false">K289</f>
        <v>4</v>
      </c>
      <c r="M289" s="124" t="n">
        <f aca="false">VLOOKUP($A289,Table,MATCH(M$4,Curves,0))</f>
        <v>4</v>
      </c>
      <c r="N289" s="125" t="n">
        <f aca="false">M289+$N$7</f>
        <v>4</v>
      </c>
      <c r="O289" s="126" t="n">
        <v>-0.04</v>
      </c>
      <c r="P289" s="114"/>
      <c r="Q289" s="126" t="n">
        <f aca="false">M289+J289+G289</f>
        <v>11</v>
      </c>
      <c r="R289" s="126" t="n">
        <f aca="false">N289+K289+H289</f>
        <v>11</v>
      </c>
      <c r="S289" s="126" t="n">
        <f aca="false">O289+L289+I289</f>
        <v>6.96</v>
      </c>
      <c r="T289" s="127"/>
      <c r="U289" s="5" t="n">
        <f aca="false">A290-A289</f>
        <v>31</v>
      </c>
      <c r="V289" s="128" t="n">
        <f aca="false">CHOOSE(F$3,A290+24,A289)</f>
        <v>45778</v>
      </c>
      <c r="W289" s="5" t="n">
        <f aca="false">V289-C$3</f>
        <v>8547</v>
      </c>
      <c r="X289" s="124" t="n">
        <f aca="false">VLOOKUP($A289,Table,MATCH(X$4,Curves,0))</f>
        <v>2</v>
      </c>
      <c r="Y289" s="129" t="n">
        <f aca="false">1/(1+CHOOSE(F$3,(X290+($K$3/10000))/2,(X289+($K$3/10000))/2))^(2*W289/365.25)</f>
        <v>8.15734725349671E-015</v>
      </c>
      <c r="Z289" s="5" t="n">
        <f aca="false">IF(AND(mthbeg&lt;=A289,mthend&gt;=A289),1,0)</f>
        <v>0</v>
      </c>
      <c r="AA289" s="5" t="n">
        <f aca="false">U289*Z289</f>
        <v>0</v>
      </c>
      <c r="AC289" s="115" t="n">
        <f aca="false">IF(G282=2,F289*(S289-Q289),F289*(Q289-S289))</f>
        <v>0</v>
      </c>
      <c r="AE289" s="116" t="n">
        <f aca="false">IF($G$3=1,F289*(R289-Q289),F289*(Q289-R289))</f>
        <v>0</v>
      </c>
      <c r="AG289" s="116" t="n">
        <f aca="false">AC289+AE289</f>
        <v>0</v>
      </c>
    </row>
    <row r="290" customFormat="false" ht="12" hidden="false" customHeight="true" outlineLevel="0" collapsed="false">
      <c r="A290" s="120" t="n">
        <f aca="false">EDATE(A289,1)</f>
        <v>45809</v>
      </c>
      <c r="B290" s="121" t="e">
        <f aca="false">VLOOKUP(A290,'Inputs-Summary'!$A$32:$E$41,5,FALSE())</f>
        <v>#N/A</v>
      </c>
      <c r="C290" s="122"/>
      <c r="D290" s="123" t="e">
        <f aca="false">B290+C290</f>
        <v>#N/A</v>
      </c>
      <c r="E290" s="111" t="n">
        <f aca="false">IF(Z290=0,0,IF(AND(Z290=1,$H$3=1),D290*U290,IF($H$3=2,D290,"N/A")))</f>
        <v>0</v>
      </c>
      <c r="F290" s="111" t="n">
        <f aca="false">E290*Y290</f>
        <v>0</v>
      </c>
      <c r="G290" s="124" t="n">
        <f aca="false">VLOOKUP($A290,Table,MATCH(G$4,Curves,0))</f>
        <v>3</v>
      </c>
      <c r="H290" s="125" t="n">
        <f aca="false">G290+$H$7</f>
        <v>3</v>
      </c>
      <c r="I290" s="124" t="n">
        <f aca="false">H290</f>
        <v>3</v>
      </c>
      <c r="J290" s="124" t="n">
        <f aca="false">VLOOKUP($A290,Table,MATCH(J$4,Curves,0))</f>
        <v>4</v>
      </c>
      <c r="K290" s="125" t="n">
        <f aca="false">J290+$K$7</f>
        <v>4</v>
      </c>
      <c r="L290" s="126" t="n">
        <f aca="false">K290</f>
        <v>4</v>
      </c>
      <c r="M290" s="124" t="n">
        <f aca="false">VLOOKUP($A290,Table,MATCH(M$4,Curves,0))</f>
        <v>4</v>
      </c>
      <c r="N290" s="125" t="n">
        <f aca="false">M290+$N$7</f>
        <v>4</v>
      </c>
      <c r="O290" s="126" t="n">
        <v>-0.04</v>
      </c>
      <c r="P290" s="114"/>
      <c r="Q290" s="126" t="n">
        <f aca="false">M290+J290+G290</f>
        <v>11</v>
      </c>
      <c r="R290" s="126" t="n">
        <f aca="false">N290+K290+H290</f>
        <v>11</v>
      </c>
      <c r="S290" s="126" t="n">
        <f aca="false">O290+L290+I290</f>
        <v>6.96</v>
      </c>
      <c r="T290" s="127"/>
      <c r="U290" s="5" t="n">
        <f aca="false">A291-A290</f>
        <v>30</v>
      </c>
      <c r="V290" s="128" t="n">
        <f aca="false">CHOOSE(F$3,A291+24,A290)</f>
        <v>45809</v>
      </c>
      <c r="W290" s="5" t="n">
        <f aca="false">V290-C$3</f>
        <v>8578</v>
      </c>
      <c r="X290" s="124" t="n">
        <f aca="false">VLOOKUP($A290,Table,MATCH(X$4,Curves,0))</f>
        <v>2</v>
      </c>
      <c r="Y290" s="129" t="n">
        <f aca="false">1/(1+CHOOSE(F$3,(X291+($K$3/10000))/2,(X290+($K$3/10000))/2))^(2*W290/365.25)</f>
        <v>7.25187128833142E-015</v>
      </c>
      <c r="Z290" s="5" t="n">
        <f aca="false">IF(AND(mthbeg&lt;=A290,mthend&gt;=A290),1,0)</f>
        <v>0</v>
      </c>
      <c r="AA290" s="5" t="n">
        <f aca="false">U290*Z290</f>
        <v>0</v>
      </c>
      <c r="AC290" s="115" t="n">
        <f aca="false">IF(G283=2,F290*(S290-Q290),F290*(Q290-S290))</f>
        <v>0</v>
      </c>
      <c r="AE290" s="116" t="n">
        <f aca="false">IF($G$3=1,F290*(R290-Q290),F290*(Q290-R290))</f>
        <v>0</v>
      </c>
      <c r="AG290" s="116" t="n">
        <f aca="false">AC290+AE290</f>
        <v>0</v>
      </c>
    </row>
    <row r="291" customFormat="false" ht="12" hidden="false" customHeight="true" outlineLevel="0" collapsed="false">
      <c r="A291" s="120" t="n">
        <f aca="false">EDATE(A290,1)</f>
        <v>45839</v>
      </c>
      <c r="B291" s="121" t="e">
        <f aca="false">VLOOKUP(A291,'Inputs-Summary'!$A$32:$E$41,5,FALSE())</f>
        <v>#N/A</v>
      </c>
      <c r="C291" s="122"/>
      <c r="D291" s="123" t="e">
        <f aca="false">B291+C291</f>
        <v>#N/A</v>
      </c>
      <c r="E291" s="111" t="n">
        <f aca="false">IF(Z291=0,0,IF(AND(Z291=1,$H$3=1),D291*U291,IF($H$3=2,D291,"N/A")))</f>
        <v>0</v>
      </c>
      <c r="F291" s="111" t="n">
        <f aca="false">E291*Y291</f>
        <v>0</v>
      </c>
      <c r="G291" s="124" t="n">
        <f aca="false">VLOOKUP($A291,Table,MATCH(G$4,Curves,0))</f>
        <v>3</v>
      </c>
      <c r="H291" s="125" t="n">
        <f aca="false">G291+$H$7</f>
        <v>3</v>
      </c>
      <c r="I291" s="124" t="n">
        <f aca="false">H291</f>
        <v>3</v>
      </c>
      <c r="J291" s="124" t="n">
        <f aca="false">VLOOKUP($A291,Table,MATCH(J$4,Curves,0))</f>
        <v>4</v>
      </c>
      <c r="K291" s="125" t="n">
        <f aca="false">J291+$K$7</f>
        <v>4</v>
      </c>
      <c r="L291" s="126" t="n">
        <f aca="false">K291</f>
        <v>4</v>
      </c>
      <c r="M291" s="124" t="n">
        <f aca="false">VLOOKUP($A291,Table,MATCH(M$4,Curves,0))</f>
        <v>4</v>
      </c>
      <c r="N291" s="125" t="n">
        <f aca="false">M291+$N$7</f>
        <v>4</v>
      </c>
      <c r="O291" s="126" t="n">
        <v>-0.04</v>
      </c>
      <c r="P291" s="114"/>
      <c r="Q291" s="126" t="n">
        <f aca="false">M291+J291+G291</f>
        <v>11</v>
      </c>
      <c r="R291" s="126" t="n">
        <f aca="false">N291+K291+H291</f>
        <v>11</v>
      </c>
      <c r="S291" s="126" t="n">
        <f aca="false">O291+L291+I291</f>
        <v>6.96</v>
      </c>
      <c r="T291" s="127"/>
      <c r="U291" s="5" t="n">
        <f aca="false">A292-A291</f>
        <v>31</v>
      </c>
      <c r="V291" s="128" t="n">
        <f aca="false">CHOOSE(F$3,A292+24,A291)</f>
        <v>45839</v>
      </c>
      <c r="W291" s="5" t="n">
        <f aca="false">V291-C$3</f>
        <v>8608</v>
      </c>
      <c r="X291" s="124" t="n">
        <f aca="false">VLOOKUP($A291,Table,MATCH(X$4,Curves,0))</f>
        <v>2</v>
      </c>
      <c r="Y291" s="129" t="n">
        <f aca="false">1/(1+CHOOSE(F$3,(X292+($K$3/10000))/2,(X291+($K$3/10000))/2))^(2*W291/365.25)</f>
        <v>6.47141981967044E-015</v>
      </c>
      <c r="Z291" s="5" t="n">
        <f aca="false">IF(AND(mthbeg&lt;=A291,mthend&gt;=A291),1,0)</f>
        <v>0</v>
      </c>
      <c r="AA291" s="5" t="n">
        <f aca="false">U291*Z291</f>
        <v>0</v>
      </c>
      <c r="AC291" s="115" t="n">
        <f aca="false">IF(G284=2,F291*(S291-Q291),F291*(Q291-S291))</f>
        <v>0</v>
      </c>
      <c r="AE291" s="116" t="n">
        <f aca="false">IF($G$3=1,F291*(R291-Q291),F291*(Q291-R291))</f>
        <v>0</v>
      </c>
      <c r="AG291" s="116" t="n">
        <f aca="false">AC291+AE291</f>
        <v>0</v>
      </c>
    </row>
    <row r="292" customFormat="false" ht="12" hidden="false" customHeight="true" outlineLevel="0" collapsed="false">
      <c r="A292" s="120" t="n">
        <f aca="false">EDATE(A291,1)</f>
        <v>45870</v>
      </c>
      <c r="B292" s="121" t="e">
        <f aca="false">VLOOKUP(A292,'Inputs-Summary'!$A$32:$E$41,5,FALSE())</f>
        <v>#N/A</v>
      </c>
      <c r="C292" s="122"/>
      <c r="D292" s="123" t="e">
        <f aca="false">B292+C292</f>
        <v>#N/A</v>
      </c>
      <c r="E292" s="111" t="n">
        <f aca="false">IF(Z292=0,0,IF(AND(Z292=1,$H$3=1),D292*U292,IF($H$3=2,D292,"N/A")))</f>
        <v>0</v>
      </c>
      <c r="F292" s="111" t="n">
        <f aca="false">E292*Y292</f>
        <v>0</v>
      </c>
      <c r="G292" s="124" t="n">
        <f aca="false">VLOOKUP($A292,Table,MATCH(G$4,Curves,0))</f>
        <v>3</v>
      </c>
      <c r="H292" s="125" t="n">
        <f aca="false">G292+$H$7</f>
        <v>3</v>
      </c>
      <c r="I292" s="124" t="n">
        <f aca="false">H292</f>
        <v>3</v>
      </c>
      <c r="J292" s="124" t="n">
        <f aca="false">VLOOKUP($A292,Table,MATCH(J$4,Curves,0))</f>
        <v>4</v>
      </c>
      <c r="K292" s="125" t="n">
        <f aca="false">J292+$K$7</f>
        <v>4</v>
      </c>
      <c r="L292" s="126" t="n">
        <f aca="false">K292</f>
        <v>4</v>
      </c>
      <c r="M292" s="124" t="n">
        <f aca="false">VLOOKUP($A292,Table,MATCH(M$4,Curves,0))</f>
        <v>4</v>
      </c>
      <c r="N292" s="125" t="n">
        <f aca="false">M292+$N$7</f>
        <v>4</v>
      </c>
      <c r="O292" s="126" t="n">
        <v>-0.04</v>
      </c>
      <c r="P292" s="114"/>
      <c r="Q292" s="126" t="n">
        <f aca="false">M292+J292+G292</f>
        <v>11</v>
      </c>
      <c r="R292" s="126" t="n">
        <f aca="false">N292+K292+H292</f>
        <v>11</v>
      </c>
      <c r="S292" s="126" t="n">
        <f aca="false">O292+L292+I292</f>
        <v>6.96</v>
      </c>
      <c r="T292" s="127"/>
      <c r="U292" s="5" t="n">
        <f aca="false">A293-A292</f>
        <v>31</v>
      </c>
      <c r="V292" s="128" t="n">
        <f aca="false">CHOOSE(F$3,A293+24,A292)</f>
        <v>45870</v>
      </c>
      <c r="W292" s="5" t="n">
        <f aca="false">V292-C$3</f>
        <v>8639</v>
      </c>
      <c r="X292" s="124" t="n">
        <f aca="false">VLOOKUP($A292,Table,MATCH(X$4,Curves,0))</f>
        <v>2</v>
      </c>
      <c r="Y292" s="129" t="n">
        <f aca="false">1/(1+CHOOSE(F$3,(X293+($K$3/10000))/2,(X292+($K$3/10000))/2))^(2*W292/365.25)</f>
        <v>5.7530839532288E-015</v>
      </c>
      <c r="Z292" s="5" t="n">
        <f aca="false">IF(AND(mthbeg&lt;=A292,mthend&gt;=A292),1,0)</f>
        <v>0</v>
      </c>
      <c r="AA292" s="5" t="n">
        <f aca="false">U292*Z292</f>
        <v>0</v>
      </c>
      <c r="AC292" s="115" t="n">
        <f aca="false">IF(G285=2,F292*(S292-Q292),F292*(Q292-S292))</f>
        <v>0</v>
      </c>
      <c r="AE292" s="116" t="n">
        <f aca="false">IF($G$3=1,F292*(R292-Q292),F292*(Q292-R292))</f>
        <v>0</v>
      </c>
      <c r="AG292" s="116" t="n">
        <f aca="false">AC292+AE292</f>
        <v>0</v>
      </c>
    </row>
    <row r="293" customFormat="false" ht="12" hidden="false" customHeight="true" outlineLevel="0" collapsed="false">
      <c r="A293" s="120" t="n">
        <f aca="false">EDATE(A292,1)</f>
        <v>45901</v>
      </c>
      <c r="B293" s="121" t="e">
        <f aca="false">VLOOKUP(A293,'Inputs-Summary'!$A$32:$E$41,5,FALSE())</f>
        <v>#N/A</v>
      </c>
      <c r="C293" s="122"/>
      <c r="D293" s="123" t="e">
        <f aca="false">B293+C293</f>
        <v>#N/A</v>
      </c>
      <c r="E293" s="111" t="n">
        <f aca="false">IF(Z293=0,0,IF(AND(Z293=1,$H$3=1),D293*U293,IF($H$3=2,D293,"N/A")))</f>
        <v>0</v>
      </c>
      <c r="F293" s="111" t="n">
        <f aca="false">E293*Y293</f>
        <v>0</v>
      </c>
      <c r="G293" s="124" t="n">
        <f aca="false">VLOOKUP($A293,Table,MATCH(G$4,Curves,0))</f>
        <v>3</v>
      </c>
      <c r="H293" s="125" t="n">
        <f aca="false">G293+$H$7</f>
        <v>3</v>
      </c>
      <c r="I293" s="124" t="n">
        <f aca="false">H293</f>
        <v>3</v>
      </c>
      <c r="J293" s="124" t="n">
        <f aca="false">VLOOKUP($A293,Table,MATCH(J$4,Curves,0))</f>
        <v>4</v>
      </c>
      <c r="K293" s="125" t="n">
        <f aca="false">J293+$K$7</f>
        <v>4</v>
      </c>
      <c r="L293" s="126" t="n">
        <f aca="false">K293</f>
        <v>4</v>
      </c>
      <c r="M293" s="124" t="n">
        <f aca="false">VLOOKUP($A293,Table,MATCH(M$4,Curves,0))</f>
        <v>4</v>
      </c>
      <c r="N293" s="125" t="n">
        <f aca="false">M293+$N$7</f>
        <v>4</v>
      </c>
      <c r="O293" s="126" t="n">
        <v>-0.04</v>
      </c>
      <c r="P293" s="114"/>
      <c r="Q293" s="126" t="n">
        <f aca="false">M293+J293+G293</f>
        <v>11</v>
      </c>
      <c r="R293" s="126" t="n">
        <f aca="false">N293+K293+H293</f>
        <v>11</v>
      </c>
      <c r="S293" s="126" t="n">
        <f aca="false">O293+L293+I293</f>
        <v>6.96</v>
      </c>
      <c r="T293" s="127"/>
      <c r="U293" s="5" t="n">
        <f aca="false">A294-A293</f>
        <v>30</v>
      </c>
      <c r="V293" s="128" t="n">
        <f aca="false">CHOOSE(F$3,A294+24,A293)</f>
        <v>45901</v>
      </c>
      <c r="W293" s="5" t="n">
        <f aca="false">V293-C$3</f>
        <v>8670</v>
      </c>
      <c r="X293" s="124" t="n">
        <f aca="false">VLOOKUP($A293,Table,MATCH(X$4,Curves,0))</f>
        <v>2</v>
      </c>
      <c r="Y293" s="129" t="n">
        <f aca="false">1/(1+CHOOSE(F$3,(X294+($K$3/10000))/2,(X293+($K$3/10000))/2))^(2*W293/365.25)</f>
        <v>5.11448428554961E-015</v>
      </c>
      <c r="Z293" s="5" t="n">
        <f aca="false">IF(AND(mthbeg&lt;=A293,mthend&gt;=A293),1,0)</f>
        <v>0</v>
      </c>
      <c r="AA293" s="5" t="n">
        <f aca="false">U293*Z293</f>
        <v>0</v>
      </c>
      <c r="AC293" s="115" t="n">
        <f aca="false">IF(G286=2,F293*(S293-Q293),F293*(Q293-S293))</f>
        <v>0</v>
      </c>
      <c r="AE293" s="116" t="n">
        <f aca="false">IF($G$3=1,F293*(R293-Q293),F293*(Q293-R293))</f>
        <v>0</v>
      </c>
      <c r="AG293" s="116" t="n">
        <f aca="false">AC293+AE293</f>
        <v>0</v>
      </c>
    </row>
    <row r="294" customFormat="false" ht="12" hidden="false" customHeight="true" outlineLevel="0" collapsed="false">
      <c r="A294" s="120" t="n">
        <f aca="false">EDATE(A293,1)</f>
        <v>45931</v>
      </c>
      <c r="B294" s="121" t="e">
        <f aca="false">VLOOKUP(A294,'Inputs-Summary'!$A$32:$E$41,5,FALSE())</f>
        <v>#N/A</v>
      </c>
      <c r="C294" s="122"/>
      <c r="D294" s="123" t="e">
        <f aca="false">B294+C294</f>
        <v>#N/A</v>
      </c>
      <c r="E294" s="111" t="n">
        <f aca="false">IF(Z294=0,0,IF(AND(Z294=1,$H$3=1),D294*U294,IF($H$3=2,D294,"N/A")))</f>
        <v>0</v>
      </c>
      <c r="F294" s="111" t="n">
        <f aca="false">E294*Y294</f>
        <v>0</v>
      </c>
      <c r="G294" s="124" t="n">
        <f aca="false">VLOOKUP($A294,Table,MATCH(G$4,Curves,0))</f>
        <v>3</v>
      </c>
      <c r="H294" s="125" t="n">
        <f aca="false">G294+$H$7</f>
        <v>3</v>
      </c>
      <c r="I294" s="124" t="n">
        <f aca="false">H294</f>
        <v>3</v>
      </c>
      <c r="J294" s="124" t="n">
        <f aca="false">VLOOKUP($A294,Table,MATCH(J$4,Curves,0))</f>
        <v>4</v>
      </c>
      <c r="K294" s="125" t="n">
        <f aca="false">J294+$K$7</f>
        <v>4</v>
      </c>
      <c r="L294" s="126" t="n">
        <f aca="false">K294</f>
        <v>4</v>
      </c>
      <c r="M294" s="124" t="n">
        <f aca="false">VLOOKUP($A294,Table,MATCH(M$4,Curves,0))</f>
        <v>4</v>
      </c>
      <c r="N294" s="125" t="n">
        <f aca="false">M294+$N$7</f>
        <v>4</v>
      </c>
      <c r="O294" s="126" t="n">
        <v>-0.04</v>
      </c>
      <c r="P294" s="114"/>
      <c r="Q294" s="126" t="n">
        <f aca="false">M294+J294+G294</f>
        <v>11</v>
      </c>
      <c r="R294" s="126" t="n">
        <f aca="false">N294+K294+H294</f>
        <v>11</v>
      </c>
      <c r="S294" s="126" t="n">
        <f aca="false">O294+L294+I294</f>
        <v>6.96</v>
      </c>
      <c r="T294" s="127"/>
      <c r="U294" s="5" t="n">
        <f aca="false">A295-A294</f>
        <v>31</v>
      </c>
      <c r="V294" s="128" t="n">
        <f aca="false">CHOOSE(F$3,A295+24,A294)</f>
        <v>45931</v>
      </c>
      <c r="W294" s="5" t="n">
        <f aca="false">V294-C$3</f>
        <v>8700</v>
      </c>
      <c r="X294" s="124" t="n">
        <f aca="false">VLOOKUP($A294,Table,MATCH(X$4,Curves,0))</f>
        <v>2</v>
      </c>
      <c r="Y294" s="129" t="n">
        <f aca="false">1/(1+CHOOSE(F$3,(X295+($K$3/10000))/2,(X294+($K$3/10000))/2))^(2*W294/365.25)</f>
        <v>4.56405990356653E-015</v>
      </c>
      <c r="Z294" s="5" t="n">
        <f aca="false">IF(AND(mthbeg&lt;=A294,mthend&gt;=A294),1,0)</f>
        <v>0</v>
      </c>
      <c r="AA294" s="5" t="n">
        <f aca="false">U294*Z294</f>
        <v>0</v>
      </c>
      <c r="AC294" s="115" t="n">
        <f aca="false">IF(G287=2,F294*(S294-Q294),F294*(Q294-S294))</f>
        <v>0</v>
      </c>
      <c r="AE294" s="116" t="n">
        <f aca="false">IF($G$3=1,F294*(R294-Q294),F294*(Q294-R294))</f>
        <v>0</v>
      </c>
      <c r="AG294" s="116" t="n">
        <f aca="false">AC294+AE294</f>
        <v>0</v>
      </c>
    </row>
    <row r="295" customFormat="false" ht="12" hidden="false" customHeight="true" outlineLevel="0" collapsed="false">
      <c r="A295" s="120" t="n">
        <f aca="false">EDATE(A294,1)</f>
        <v>45962</v>
      </c>
      <c r="B295" s="121" t="e">
        <f aca="false">VLOOKUP(A295,'Inputs-Summary'!$A$32:$E$41,5,FALSE())</f>
        <v>#N/A</v>
      </c>
      <c r="C295" s="122"/>
      <c r="D295" s="123" t="e">
        <f aca="false">B295+C295</f>
        <v>#N/A</v>
      </c>
      <c r="E295" s="111" t="n">
        <f aca="false">IF(Z295=0,0,IF(AND(Z295=1,$H$3=1),D295*U295,IF($H$3=2,D295,"N/A")))</f>
        <v>0</v>
      </c>
      <c r="F295" s="111" t="n">
        <f aca="false">E295*Y295</f>
        <v>0</v>
      </c>
      <c r="G295" s="124" t="n">
        <f aca="false">VLOOKUP($A295,Table,MATCH(G$4,Curves,0))</f>
        <v>3</v>
      </c>
      <c r="H295" s="125" t="n">
        <f aca="false">G295+$H$7</f>
        <v>3</v>
      </c>
      <c r="I295" s="124" t="n">
        <f aca="false">H295</f>
        <v>3</v>
      </c>
      <c r="J295" s="124" t="n">
        <f aca="false">VLOOKUP($A295,Table,MATCH(J$4,Curves,0))</f>
        <v>4</v>
      </c>
      <c r="K295" s="125" t="n">
        <f aca="false">J295+$K$7</f>
        <v>4</v>
      </c>
      <c r="L295" s="126" t="n">
        <f aca="false">K295</f>
        <v>4</v>
      </c>
      <c r="M295" s="124" t="n">
        <f aca="false">VLOOKUP($A295,Table,MATCH(M$4,Curves,0))</f>
        <v>4</v>
      </c>
      <c r="N295" s="125" t="n">
        <f aca="false">M295+$N$7</f>
        <v>4</v>
      </c>
      <c r="O295" s="126" t="n">
        <v>-0.04</v>
      </c>
      <c r="P295" s="114"/>
      <c r="Q295" s="126" t="n">
        <f aca="false">M295+J295+G295</f>
        <v>11</v>
      </c>
      <c r="R295" s="126" t="n">
        <f aca="false">N295+K295+H295</f>
        <v>11</v>
      </c>
      <c r="S295" s="126" t="n">
        <f aca="false">O295+L295+I295</f>
        <v>6.96</v>
      </c>
      <c r="T295" s="127"/>
      <c r="U295" s="5" t="n">
        <f aca="false">A296-A295</f>
        <v>30</v>
      </c>
      <c r="V295" s="128" t="n">
        <f aca="false">CHOOSE(F$3,A296+24,A295)</f>
        <v>45962</v>
      </c>
      <c r="W295" s="5" t="n">
        <f aca="false">V295-C$3</f>
        <v>8731</v>
      </c>
      <c r="X295" s="124" t="n">
        <f aca="false">VLOOKUP($A295,Table,MATCH(X$4,Curves,0))</f>
        <v>2</v>
      </c>
      <c r="Y295" s="129" t="n">
        <f aca="false">1/(1+CHOOSE(F$3,(X296+($K$3/10000))/2,(X295+($K$3/10000))/2))^(2*W295/365.25)</f>
        <v>4.05744342423464E-015</v>
      </c>
      <c r="Z295" s="5" t="n">
        <f aca="false">IF(AND(mthbeg&lt;=A295,mthend&gt;=A295),1,0)</f>
        <v>0</v>
      </c>
      <c r="AA295" s="5" t="n">
        <f aca="false">U295*Z295</f>
        <v>0</v>
      </c>
      <c r="AC295" s="115" t="n">
        <f aca="false">IF(G288=2,F295*(S295-Q295),F295*(Q295-S295))</f>
        <v>0</v>
      </c>
      <c r="AE295" s="116" t="n">
        <f aca="false">IF($G$3=1,F295*(R295-Q295),F295*(Q295-R295))</f>
        <v>0</v>
      </c>
      <c r="AG295" s="116" t="n">
        <f aca="false">AC295+AE295</f>
        <v>0</v>
      </c>
    </row>
    <row r="296" customFormat="false" ht="12" hidden="false" customHeight="true" outlineLevel="0" collapsed="false">
      <c r="A296" s="120" t="n">
        <f aca="false">EDATE(A295,1)</f>
        <v>45992</v>
      </c>
      <c r="B296" s="121" t="e">
        <f aca="false">VLOOKUP(A296,'Inputs-Summary'!$A$32:$E$41,5,FALSE())</f>
        <v>#N/A</v>
      </c>
      <c r="C296" s="122"/>
      <c r="D296" s="123" t="e">
        <f aca="false">B296+C296</f>
        <v>#N/A</v>
      </c>
      <c r="E296" s="111" t="n">
        <f aca="false">IF(Z296=0,0,IF(AND(Z296=1,$H$3=1),D296*U296,IF($H$3=2,D296,"N/A")))</f>
        <v>0</v>
      </c>
      <c r="F296" s="111" t="n">
        <f aca="false">E296*Y296</f>
        <v>0</v>
      </c>
      <c r="G296" s="124" t="n">
        <f aca="false">VLOOKUP($A296,Table,MATCH(G$4,Curves,0))</f>
        <v>3</v>
      </c>
      <c r="H296" s="125" t="n">
        <f aca="false">G296+$H$7</f>
        <v>3</v>
      </c>
      <c r="I296" s="124" t="n">
        <f aca="false">H296</f>
        <v>3</v>
      </c>
      <c r="J296" s="124" t="n">
        <f aca="false">VLOOKUP($A296,Table,MATCH(J$4,Curves,0))</f>
        <v>4</v>
      </c>
      <c r="K296" s="125" t="n">
        <f aca="false">J296+$K$7</f>
        <v>4</v>
      </c>
      <c r="L296" s="126" t="n">
        <f aca="false">K296</f>
        <v>4</v>
      </c>
      <c r="M296" s="124" t="n">
        <f aca="false">VLOOKUP($A296,Table,MATCH(M$4,Curves,0))</f>
        <v>4</v>
      </c>
      <c r="N296" s="125" t="n">
        <f aca="false">M296+$N$7</f>
        <v>4</v>
      </c>
      <c r="O296" s="126" t="n">
        <v>-0.04</v>
      </c>
      <c r="P296" s="114"/>
      <c r="Q296" s="126" t="n">
        <f aca="false">M296+J296+G296</f>
        <v>11</v>
      </c>
      <c r="R296" s="126" t="n">
        <f aca="false">N296+K296+H296</f>
        <v>11</v>
      </c>
      <c r="S296" s="126" t="n">
        <f aca="false">O296+L296+I296</f>
        <v>6.96</v>
      </c>
      <c r="T296" s="127"/>
      <c r="U296" s="5" t="n">
        <f aca="false">A297-A296</f>
        <v>31</v>
      </c>
      <c r="V296" s="128" t="n">
        <f aca="false">CHOOSE(F$3,A297+24,A296)</f>
        <v>45992</v>
      </c>
      <c r="W296" s="5" t="n">
        <f aca="false">V296-C$3</f>
        <v>8761</v>
      </c>
      <c r="X296" s="124" t="n">
        <f aca="false">VLOOKUP($A296,Table,MATCH(X$4,Curves,0))</f>
        <v>2</v>
      </c>
      <c r="Y296" s="129" t="n">
        <f aca="false">1/(1+CHOOSE(F$3,(X297+($K$3/10000))/2,(X296+($K$3/10000))/2))^(2*W296/365.25)</f>
        <v>3.62077852030178E-015</v>
      </c>
      <c r="Z296" s="5" t="n">
        <f aca="false">IF(AND(mthbeg&lt;=A296,mthend&gt;=A296),1,0)</f>
        <v>0</v>
      </c>
      <c r="AA296" s="5" t="n">
        <f aca="false">U296*Z296</f>
        <v>0</v>
      </c>
      <c r="AC296" s="115" t="n">
        <f aca="false">IF(G289=2,F296*(S296-Q296),F296*(Q296-S296))</f>
        <v>0</v>
      </c>
      <c r="AE296" s="116" t="n">
        <f aca="false">IF($G$3=1,F296*(R296-Q296),F296*(Q296-R296))</f>
        <v>0</v>
      </c>
      <c r="AG296" s="116" t="n">
        <f aca="false">AC296+AE296</f>
        <v>0</v>
      </c>
    </row>
    <row r="297" customFormat="false" ht="12" hidden="false" customHeight="true" outlineLevel="0" collapsed="false">
      <c r="A297" s="120" t="n">
        <f aca="false">EDATE(A296,1)</f>
        <v>46023</v>
      </c>
      <c r="B297" s="121" t="e">
        <f aca="false">VLOOKUP(A297,'Inputs-Summary'!$A$32:$E$41,5,FALSE())</f>
        <v>#N/A</v>
      </c>
      <c r="C297" s="122"/>
      <c r="D297" s="123" t="e">
        <f aca="false">B297+C297</f>
        <v>#N/A</v>
      </c>
      <c r="E297" s="111" t="n">
        <f aca="false">IF(Z297=0,0,IF(AND(Z297=1,$H$3=1),D297*U297,IF($H$3=2,D297,"N/A")))</f>
        <v>0</v>
      </c>
      <c r="F297" s="111" t="n">
        <f aca="false">E297*Y297</f>
        <v>0</v>
      </c>
      <c r="G297" s="124" t="n">
        <f aca="false">VLOOKUP($A297,Table,MATCH(G$4,Curves,0))</f>
        <v>3</v>
      </c>
      <c r="H297" s="125" t="n">
        <f aca="false">G297+$H$7</f>
        <v>3</v>
      </c>
      <c r="I297" s="124" t="n">
        <f aca="false">H297</f>
        <v>3</v>
      </c>
      <c r="J297" s="124" t="n">
        <f aca="false">VLOOKUP($A297,Table,MATCH(J$4,Curves,0))</f>
        <v>4</v>
      </c>
      <c r="K297" s="125" t="n">
        <f aca="false">J297+$K$7</f>
        <v>4</v>
      </c>
      <c r="L297" s="126" t="n">
        <f aca="false">K297</f>
        <v>4</v>
      </c>
      <c r="M297" s="124" t="n">
        <f aca="false">VLOOKUP($A297,Table,MATCH(M$4,Curves,0))</f>
        <v>4</v>
      </c>
      <c r="N297" s="125" t="n">
        <f aca="false">M297+$N$7</f>
        <v>4</v>
      </c>
      <c r="O297" s="126" t="n">
        <v>-0.04</v>
      </c>
      <c r="P297" s="114"/>
      <c r="Q297" s="126" t="n">
        <f aca="false">M297+J297+G297</f>
        <v>11</v>
      </c>
      <c r="R297" s="126" t="n">
        <f aca="false">N297+K297+H297</f>
        <v>11</v>
      </c>
      <c r="S297" s="126" t="n">
        <f aca="false">O297+L297+I297</f>
        <v>6.96</v>
      </c>
      <c r="T297" s="127"/>
      <c r="U297" s="5" t="n">
        <f aca="false">A298-A297</f>
        <v>31</v>
      </c>
      <c r="V297" s="128" t="n">
        <f aca="false">CHOOSE(F$3,A298+24,A297)</f>
        <v>46023</v>
      </c>
      <c r="W297" s="5" t="n">
        <f aca="false">V297-C$3</f>
        <v>8792</v>
      </c>
      <c r="X297" s="124" t="n">
        <f aca="false">VLOOKUP($A297,Table,MATCH(X$4,Curves,0))</f>
        <v>2</v>
      </c>
      <c r="Y297" s="129" t="n">
        <f aca="false">1/(1+CHOOSE(F$3,(X298+($K$3/10000))/2,(X297+($K$3/10000))/2))^(2*W297/365.25)</f>
        <v>3.21886747944047E-015</v>
      </c>
      <c r="Z297" s="5" t="n">
        <f aca="false">IF(AND(mthbeg&lt;=A297,mthend&gt;=A297),1,0)</f>
        <v>0</v>
      </c>
      <c r="AA297" s="5" t="n">
        <f aca="false">U297*Z297</f>
        <v>0</v>
      </c>
      <c r="AC297" s="115" t="n">
        <f aca="false">IF(G290=2,F297*(S297-Q297),F297*(Q297-S297))</f>
        <v>0</v>
      </c>
      <c r="AE297" s="116" t="n">
        <f aca="false">IF($G$3=1,F297*(R297-Q297),F297*(Q297-R297))</f>
        <v>0</v>
      </c>
      <c r="AG297" s="116" t="n">
        <f aca="false">AC297+AE297</f>
        <v>0</v>
      </c>
    </row>
    <row r="298" customFormat="false" ht="12" hidden="false" customHeight="true" outlineLevel="0" collapsed="false">
      <c r="A298" s="120" t="n">
        <f aca="false">EDATE(A297,1)</f>
        <v>46054</v>
      </c>
      <c r="B298" s="121" t="e">
        <f aca="false">VLOOKUP(A298,'Inputs-Summary'!$A$32:$E$41,5,FALSE())</f>
        <v>#N/A</v>
      </c>
      <c r="C298" s="122"/>
      <c r="D298" s="123" t="e">
        <f aca="false">B298+C298</f>
        <v>#N/A</v>
      </c>
      <c r="E298" s="111" t="n">
        <f aca="false">IF(Z298=0,0,IF(AND(Z298=1,$H$3=1),D298*U298,IF($H$3=2,D298,"N/A")))</f>
        <v>0</v>
      </c>
      <c r="F298" s="111" t="n">
        <f aca="false">E298*Y298</f>
        <v>0</v>
      </c>
      <c r="G298" s="124" t="n">
        <f aca="false">VLOOKUP($A298,Table,MATCH(G$4,Curves,0))</f>
        <v>3</v>
      </c>
      <c r="H298" s="125" t="n">
        <f aca="false">G298+$H$7</f>
        <v>3</v>
      </c>
      <c r="I298" s="124" t="n">
        <f aca="false">H298</f>
        <v>3</v>
      </c>
      <c r="J298" s="124" t="n">
        <f aca="false">VLOOKUP($A298,Table,MATCH(J$4,Curves,0))</f>
        <v>4</v>
      </c>
      <c r="K298" s="125" t="n">
        <f aca="false">J298+$K$7</f>
        <v>4</v>
      </c>
      <c r="L298" s="126" t="n">
        <f aca="false">K298</f>
        <v>4</v>
      </c>
      <c r="M298" s="124" t="n">
        <f aca="false">VLOOKUP($A298,Table,MATCH(M$4,Curves,0))</f>
        <v>4</v>
      </c>
      <c r="N298" s="125" t="n">
        <f aca="false">M298+$N$7</f>
        <v>4</v>
      </c>
      <c r="O298" s="126" t="n">
        <v>-0.04</v>
      </c>
      <c r="P298" s="114"/>
      <c r="Q298" s="126" t="n">
        <f aca="false">M298+J298+G298</f>
        <v>11</v>
      </c>
      <c r="R298" s="126" t="n">
        <f aca="false">N298+K298+H298</f>
        <v>11</v>
      </c>
      <c r="S298" s="126" t="n">
        <f aca="false">O298+L298+I298</f>
        <v>6.96</v>
      </c>
      <c r="T298" s="127"/>
      <c r="U298" s="5" t="n">
        <f aca="false">A299-A298</f>
        <v>28</v>
      </c>
      <c r="V298" s="128" t="n">
        <f aca="false">CHOOSE(F$3,A299+24,A298)</f>
        <v>46054</v>
      </c>
      <c r="W298" s="5" t="n">
        <f aca="false">V298-C$3</f>
        <v>8823</v>
      </c>
      <c r="X298" s="124" t="n">
        <f aca="false">VLOOKUP($A298,Table,MATCH(X$4,Curves,0))</f>
        <v>2</v>
      </c>
      <c r="Y298" s="129" t="n">
        <f aca="false">1/(1+CHOOSE(F$3,(X299+($K$3/10000))/2,(X298+($K$3/10000))/2))^(2*W298/365.25)</f>
        <v>2.86156907750764E-015</v>
      </c>
      <c r="Z298" s="5" t="n">
        <f aca="false">IF(AND(mthbeg&lt;=A298,mthend&gt;=A298),1,0)</f>
        <v>0</v>
      </c>
      <c r="AA298" s="5" t="n">
        <f aca="false">U298*Z298</f>
        <v>0</v>
      </c>
      <c r="AC298" s="115" t="n">
        <f aca="false">IF(G291=2,F298*(S298-Q298),F298*(Q298-S298))</f>
        <v>0</v>
      </c>
      <c r="AE298" s="116" t="n">
        <f aca="false">IF($G$3=1,F298*(R298-Q298),F298*(Q298-R298))</f>
        <v>0</v>
      </c>
      <c r="AG298" s="116" t="n">
        <f aca="false">AC298+AE298</f>
        <v>0</v>
      </c>
    </row>
    <row r="299" customFormat="false" ht="12" hidden="false" customHeight="true" outlineLevel="0" collapsed="false">
      <c r="A299" s="120" t="n">
        <f aca="false">EDATE(A298,1)</f>
        <v>46082</v>
      </c>
      <c r="B299" s="121" t="e">
        <f aca="false">VLOOKUP(A299,'Inputs-Summary'!$A$32:$E$41,5,FALSE())</f>
        <v>#N/A</v>
      </c>
      <c r="C299" s="122"/>
      <c r="D299" s="123" t="e">
        <f aca="false">B299+C299</f>
        <v>#N/A</v>
      </c>
      <c r="E299" s="111" t="n">
        <f aca="false">IF(Z299=0,0,IF(AND(Z299=1,$H$3=1),D299*U299,IF($H$3=2,D299,"N/A")))</f>
        <v>0</v>
      </c>
      <c r="F299" s="111" t="n">
        <f aca="false">E299*Y299</f>
        <v>0</v>
      </c>
      <c r="G299" s="124" t="n">
        <f aca="false">VLOOKUP($A299,Table,MATCH(G$4,Curves,0))</f>
        <v>3</v>
      </c>
      <c r="H299" s="125" t="n">
        <f aca="false">G299+$H$7</f>
        <v>3</v>
      </c>
      <c r="I299" s="124" t="n">
        <f aca="false">H299</f>
        <v>3</v>
      </c>
      <c r="J299" s="124" t="n">
        <f aca="false">VLOOKUP($A299,Table,MATCH(J$4,Curves,0))</f>
        <v>4</v>
      </c>
      <c r="K299" s="125" t="n">
        <f aca="false">J299+$K$7</f>
        <v>4</v>
      </c>
      <c r="L299" s="126" t="n">
        <f aca="false">K299</f>
        <v>4</v>
      </c>
      <c r="M299" s="124" t="n">
        <f aca="false">VLOOKUP($A299,Table,MATCH(M$4,Curves,0))</f>
        <v>4</v>
      </c>
      <c r="N299" s="125" t="n">
        <f aca="false">M299+$N$7</f>
        <v>4</v>
      </c>
      <c r="O299" s="126" t="n">
        <v>-0.04</v>
      </c>
      <c r="P299" s="114"/>
      <c r="Q299" s="126" t="n">
        <f aca="false">M299+J299+G299</f>
        <v>11</v>
      </c>
      <c r="R299" s="126" t="n">
        <f aca="false">N299+K299+H299</f>
        <v>11</v>
      </c>
      <c r="S299" s="126" t="n">
        <f aca="false">O299+L299+I299</f>
        <v>6.96</v>
      </c>
      <c r="T299" s="127"/>
      <c r="U299" s="5" t="n">
        <f aca="false">A300-A299</f>
        <v>31</v>
      </c>
      <c r="V299" s="128" t="n">
        <f aca="false">CHOOSE(F$3,A300+24,A299)</f>
        <v>46082</v>
      </c>
      <c r="W299" s="5" t="n">
        <f aca="false">V299-C$3</f>
        <v>8851</v>
      </c>
      <c r="X299" s="124" t="n">
        <f aca="false">VLOOKUP($A299,Table,MATCH(X$4,Curves,0))</f>
        <v>2</v>
      </c>
      <c r="Y299" s="129" t="n">
        <f aca="false">1/(1+CHOOSE(F$3,(X300+($K$3/10000))/2,(X299+($K$3/10000))/2))^(2*W299/365.25)</f>
        <v>2.57306301501248E-015</v>
      </c>
      <c r="Z299" s="5" t="n">
        <f aca="false">IF(AND(mthbeg&lt;=A299,mthend&gt;=A299),1,0)</f>
        <v>0</v>
      </c>
      <c r="AA299" s="5" t="n">
        <f aca="false">U299*Z299</f>
        <v>0</v>
      </c>
      <c r="AC299" s="115" t="n">
        <f aca="false">IF(G292=2,F299*(S299-Q299),F299*(Q299-S299))</f>
        <v>0</v>
      </c>
      <c r="AE299" s="116" t="n">
        <f aca="false">IF($G$3=1,F299*(R299-Q299),F299*(Q299-R299))</f>
        <v>0</v>
      </c>
      <c r="AG299" s="116" t="n">
        <f aca="false">AC299+AE299</f>
        <v>0</v>
      </c>
    </row>
    <row r="300" customFormat="false" ht="12" hidden="false" customHeight="true" outlineLevel="0" collapsed="false">
      <c r="A300" s="120" t="n">
        <f aca="false">EDATE(A299,1)</f>
        <v>46113</v>
      </c>
      <c r="B300" s="121" t="e">
        <f aca="false">VLOOKUP(A300,'Inputs-Summary'!$A$32:$E$41,5,FALSE())</f>
        <v>#N/A</v>
      </c>
      <c r="C300" s="122"/>
      <c r="D300" s="123" t="e">
        <f aca="false">B300+C300</f>
        <v>#N/A</v>
      </c>
      <c r="E300" s="111" t="n">
        <f aca="false">IF(Z300=0,0,IF(AND(Z300=1,$H$3=1),D300*U300,IF($H$3=2,D300,"N/A")))</f>
        <v>0</v>
      </c>
      <c r="F300" s="111" t="n">
        <f aca="false">E300*Y300</f>
        <v>0</v>
      </c>
      <c r="G300" s="124" t="n">
        <f aca="false">VLOOKUP($A300,Table,MATCH(G$4,Curves,0))</f>
        <v>3</v>
      </c>
      <c r="H300" s="125" t="n">
        <f aca="false">G300+$H$7</f>
        <v>3</v>
      </c>
      <c r="I300" s="124" t="n">
        <f aca="false">H300</f>
        <v>3</v>
      </c>
      <c r="J300" s="124" t="n">
        <f aca="false">VLOOKUP($A300,Table,MATCH(J$4,Curves,0))</f>
        <v>4</v>
      </c>
      <c r="K300" s="125" t="n">
        <f aca="false">J300+$K$7</f>
        <v>4</v>
      </c>
      <c r="L300" s="126" t="n">
        <f aca="false">K300</f>
        <v>4</v>
      </c>
      <c r="M300" s="124" t="n">
        <f aca="false">VLOOKUP($A300,Table,MATCH(M$4,Curves,0))</f>
        <v>4</v>
      </c>
      <c r="N300" s="125" t="n">
        <f aca="false">M300+$N$7</f>
        <v>4</v>
      </c>
      <c r="O300" s="126" t="n">
        <v>-0.04</v>
      </c>
      <c r="P300" s="114"/>
      <c r="Q300" s="126" t="n">
        <f aca="false">M300+J300+G300</f>
        <v>11</v>
      </c>
      <c r="R300" s="126" t="n">
        <f aca="false">N300+K300+H300</f>
        <v>11</v>
      </c>
      <c r="S300" s="126" t="n">
        <f aca="false">O300+L300+I300</f>
        <v>6.96</v>
      </c>
      <c r="T300" s="127"/>
      <c r="U300" s="5" t="n">
        <f aca="false">A301-A300</f>
        <v>30</v>
      </c>
      <c r="V300" s="128" t="n">
        <f aca="false">CHOOSE(F$3,A301+24,A300)</f>
        <v>46113</v>
      </c>
      <c r="W300" s="5" t="n">
        <f aca="false">V300-C$3</f>
        <v>8882</v>
      </c>
      <c r="X300" s="124" t="n">
        <f aca="false">VLOOKUP($A300,Table,MATCH(X$4,Curves,0))</f>
        <v>2</v>
      </c>
      <c r="Y300" s="129" t="n">
        <f aca="false">1/(1+CHOOSE(F$3,(X301+($K$3/10000))/2,(X300+($K$3/10000))/2))^(2*W300/365.25)</f>
        <v>2.28744973356847E-015</v>
      </c>
      <c r="Z300" s="5" t="n">
        <f aca="false">IF(AND(mthbeg&lt;=A300,mthend&gt;=A300),1,0)</f>
        <v>0</v>
      </c>
      <c r="AA300" s="5" t="n">
        <f aca="false">U300*Z300</f>
        <v>0</v>
      </c>
      <c r="AC300" s="115" t="n">
        <f aca="false">IF(G293=2,F300*(S300-Q300),F300*(Q300-S300))</f>
        <v>0</v>
      </c>
      <c r="AE300" s="116" t="n">
        <f aca="false">IF($G$3=1,F300*(R300-Q300),F300*(Q300-R300))</f>
        <v>0</v>
      </c>
      <c r="AG300" s="116" t="n">
        <f aca="false">AC300+AE300</f>
        <v>0</v>
      </c>
    </row>
    <row r="301" customFormat="false" ht="12" hidden="false" customHeight="true" outlineLevel="0" collapsed="false">
      <c r="A301" s="120" t="n">
        <f aca="false">EDATE(A300,1)</f>
        <v>46143</v>
      </c>
      <c r="B301" s="121" t="e">
        <f aca="false">VLOOKUP(A301,'Inputs-Summary'!$A$32:$E$41,5,FALSE())</f>
        <v>#N/A</v>
      </c>
      <c r="C301" s="122"/>
      <c r="D301" s="123" t="e">
        <f aca="false">B301+C301</f>
        <v>#N/A</v>
      </c>
      <c r="E301" s="111" t="n">
        <f aca="false">IF(Z301=0,0,IF(AND(Z301=1,$H$3=1),D301*U301,IF($H$3=2,D301,"N/A")))</f>
        <v>0</v>
      </c>
      <c r="F301" s="111" t="n">
        <f aca="false">E301*Y301</f>
        <v>0</v>
      </c>
      <c r="G301" s="124" t="n">
        <f aca="false">VLOOKUP($A301,Table,MATCH(G$4,Curves,0))</f>
        <v>3</v>
      </c>
      <c r="H301" s="125" t="n">
        <f aca="false">G301+$H$7</f>
        <v>3</v>
      </c>
      <c r="I301" s="124" t="n">
        <f aca="false">H301</f>
        <v>3</v>
      </c>
      <c r="J301" s="124" t="n">
        <f aca="false">VLOOKUP($A301,Table,MATCH(J$4,Curves,0))</f>
        <v>4</v>
      </c>
      <c r="K301" s="125" t="n">
        <f aca="false">J301+$K$7</f>
        <v>4</v>
      </c>
      <c r="L301" s="126" t="n">
        <f aca="false">K301</f>
        <v>4</v>
      </c>
      <c r="M301" s="124" t="n">
        <f aca="false">VLOOKUP($A301,Table,MATCH(M$4,Curves,0))</f>
        <v>4</v>
      </c>
      <c r="N301" s="125" t="n">
        <f aca="false">M301+$N$7</f>
        <v>4</v>
      </c>
      <c r="O301" s="126" t="n">
        <v>-0.04</v>
      </c>
      <c r="P301" s="114"/>
      <c r="Q301" s="126" t="n">
        <f aca="false">M301+J301+G301</f>
        <v>11</v>
      </c>
      <c r="R301" s="126" t="n">
        <f aca="false">N301+K301+H301</f>
        <v>11</v>
      </c>
      <c r="S301" s="126" t="n">
        <f aca="false">O301+L301+I301</f>
        <v>6.96</v>
      </c>
      <c r="T301" s="127"/>
      <c r="U301" s="5" t="n">
        <f aca="false">A302-A301</f>
        <v>31</v>
      </c>
      <c r="V301" s="128" t="n">
        <f aca="false">CHOOSE(F$3,A302+24,A301)</f>
        <v>46143</v>
      </c>
      <c r="W301" s="5" t="n">
        <f aca="false">V301-C$3</f>
        <v>8912</v>
      </c>
      <c r="X301" s="124" t="n">
        <f aca="false">VLOOKUP($A301,Table,MATCH(X$4,Curves,0))</f>
        <v>2</v>
      </c>
      <c r="Y301" s="129" t="n">
        <f aca="false">1/(1+CHOOSE(F$3,(X302+($K$3/10000))/2,(X301+($K$3/10000))/2))^(2*W301/365.25)</f>
        <v>2.0412727906704E-015</v>
      </c>
      <c r="Z301" s="5" t="n">
        <f aca="false">IF(AND(mthbeg&lt;=A301,mthend&gt;=A301),1,0)</f>
        <v>0</v>
      </c>
      <c r="AA301" s="5" t="n">
        <f aca="false">U301*Z301</f>
        <v>0</v>
      </c>
      <c r="AC301" s="115" t="n">
        <f aca="false">IF(G294=2,F301*(S301-Q301),F301*(Q301-S301))</f>
        <v>0</v>
      </c>
      <c r="AE301" s="116" t="n">
        <f aca="false">IF($G$3=1,F301*(R301-Q301),F301*(Q301-R301))</f>
        <v>0</v>
      </c>
      <c r="AG301" s="116" t="n">
        <f aca="false">AC301+AE301</f>
        <v>0</v>
      </c>
    </row>
    <row r="302" customFormat="false" ht="12" hidden="false" customHeight="true" outlineLevel="0" collapsed="false">
      <c r="A302" s="120" t="n">
        <f aca="false">EDATE(A301,1)</f>
        <v>46174</v>
      </c>
      <c r="B302" s="121" t="e">
        <f aca="false">VLOOKUP(A302,'Inputs-Summary'!$A$32:$E$41,5,FALSE())</f>
        <v>#N/A</v>
      </c>
      <c r="C302" s="122"/>
      <c r="D302" s="123" t="e">
        <f aca="false">B302+C302</f>
        <v>#N/A</v>
      </c>
      <c r="E302" s="111" t="n">
        <f aca="false">IF(Z302=0,0,IF(AND(Z302=1,$H$3=1),D302*U302,IF($H$3=2,D302,"N/A")))</f>
        <v>0</v>
      </c>
      <c r="F302" s="111" t="n">
        <f aca="false">E302*Y302</f>
        <v>0</v>
      </c>
      <c r="G302" s="124" t="n">
        <f aca="false">VLOOKUP($A302,Table,MATCH(G$4,Curves,0))</f>
        <v>3</v>
      </c>
      <c r="H302" s="125" t="n">
        <f aca="false">G302+$H$7</f>
        <v>3</v>
      </c>
      <c r="I302" s="124" t="n">
        <f aca="false">H302</f>
        <v>3</v>
      </c>
      <c r="J302" s="124" t="n">
        <f aca="false">VLOOKUP($A302,Table,MATCH(J$4,Curves,0))</f>
        <v>4</v>
      </c>
      <c r="K302" s="125" t="n">
        <f aca="false">J302+$K$7</f>
        <v>4</v>
      </c>
      <c r="L302" s="126" t="n">
        <f aca="false">K302</f>
        <v>4</v>
      </c>
      <c r="M302" s="124" t="n">
        <f aca="false">VLOOKUP($A302,Table,MATCH(M$4,Curves,0))</f>
        <v>4</v>
      </c>
      <c r="N302" s="125" t="n">
        <f aca="false">M302+$N$7</f>
        <v>4</v>
      </c>
      <c r="O302" s="126" t="n">
        <v>-0.04</v>
      </c>
      <c r="P302" s="114"/>
      <c r="Q302" s="126" t="n">
        <f aca="false">M302+J302+G302</f>
        <v>11</v>
      </c>
      <c r="R302" s="126" t="n">
        <f aca="false">N302+K302+H302</f>
        <v>11</v>
      </c>
      <c r="S302" s="126" t="n">
        <f aca="false">O302+L302+I302</f>
        <v>6.96</v>
      </c>
      <c r="T302" s="127"/>
      <c r="U302" s="5" t="n">
        <f aca="false">A303-A302</f>
        <v>30</v>
      </c>
      <c r="V302" s="128" t="n">
        <f aca="false">CHOOSE(F$3,A303+24,A302)</f>
        <v>46174</v>
      </c>
      <c r="W302" s="5" t="n">
        <f aca="false">V302-C$3</f>
        <v>8943</v>
      </c>
      <c r="X302" s="124" t="n">
        <f aca="false">VLOOKUP($A302,Table,MATCH(X$4,Curves,0))</f>
        <v>2</v>
      </c>
      <c r="Y302" s="129" t="n">
        <f aca="false">1/(1+CHOOSE(F$3,(X303+($K$3/10000))/2,(X302+($K$3/10000))/2))^(2*W302/365.25)</f>
        <v>1.81468890342622E-015</v>
      </c>
      <c r="Z302" s="5" t="n">
        <f aca="false">IF(AND(mthbeg&lt;=A302,mthend&gt;=A302),1,0)</f>
        <v>0</v>
      </c>
      <c r="AA302" s="5" t="n">
        <f aca="false">U302*Z302</f>
        <v>0</v>
      </c>
      <c r="AC302" s="115" t="n">
        <f aca="false">IF(G295=2,F302*(S302-Q302),F302*(Q302-S302))</f>
        <v>0</v>
      </c>
      <c r="AE302" s="116" t="n">
        <f aca="false">IF($G$3=1,F302*(R302-Q302),F302*(Q302-R302))</f>
        <v>0</v>
      </c>
      <c r="AG302" s="116" t="n">
        <f aca="false">AC302+AE302</f>
        <v>0</v>
      </c>
    </row>
    <row r="303" customFormat="false" ht="12" hidden="false" customHeight="true" outlineLevel="0" collapsed="false">
      <c r="A303" s="120" t="n">
        <f aca="false">EDATE(A302,1)</f>
        <v>46204</v>
      </c>
      <c r="B303" s="121" t="e">
        <f aca="false">VLOOKUP(A303,'Inputs-Summary'!$A$32:$E$41,5,FALSE())</f>
        <v>#N/A</v>
      </c>
      <c r="C303" s="122"/>
      <c r="D303" s="123" t="e">
        <f aca="false">B303+C303</f>
        <v>#N/A</v>
      </c>
      <c r="E303" s="111" t="n">
        <f aca="false">IF(Z303=0,0,IF(AND(Z303=1,$H$3=1),D303*U303,IF($H$3=2,D303,"N/A")))</f>
        <v>0</v>
      </c>
      <c r="F303" s="111" t="n">
        <f aca="false">E303*Y303</f>
        <v>0</v>
      </c>
      <c r="G303" s="124" t="n">
        <f aca="false">VLOOKUP($A303,Table,MATCH(G$4,Curves,0))</f>
        <v>3</v>
      </c>
      <c r="H303" s="125" t="n">
        <f aca="false">G303+$H$7</f>
        <v>3</v>
      </c>
      <c r="I303" s="124" t="n">
        <f aca="false">H303</f>
        <v>3</v>
      </c>
      <c r="J303" s="124" t="n">
        <f aca="false">VLOOKUP($A303,Table,MATCH(J$4,Curves,0))</f>
        <v>4</v>
      </c>
      <c r="K303" s="125" t="n">
        <f aca="false">J303+$K$7</f>
        <v>4</v>
      </c>
      <c r="L303" s="126" t="n">
        <f aca="false">K303</f>
        <v>4</v>
      </c>
      <c r="M303" s="124" t="n">
        <f aca="false">VLOOKUP($A303,Table,MATCH(M$4,Curves,0))</f>
        <v>4</v>
      </c>
      <c r="N303" s="125" t="n">
        <f aca="false">M303+$N$7</f>
        <v>4</v>
      </c>
      <c r="O303" s="126" t="n">
        <v>-0.04</v>
      </c>
      <c r="P303" s="114"/>
      <c r="Q303" s="126" t="n">
        <f aca="false">M303+J303+G303</f>
        <v>11</v>
      </c>
      <c r="R303" s="126" t="n">
        <f aca="false">N303+K303+H303</f>
        <v>11</v>
      </c>
      <c r="S303" s="126" t="n">
        <f aca="false">O303+L303+I303</f>
        <v>6.96</v>
      </c>
      <c r="T303" s="127"/>
      <c r="U303" s="5" t="n">
        <f aca="false">A304-A303</f>
        <v>31</v>
      </c>
      <c r="V303" s="128" t="n">
        <f aca="false">CHOOSE(F$3,A304+24,A303)</f>
        <v>46204</v>
      </c>
      <c r="W303" s="5" t="n">
        <f aca="false">V303-C$3</f>
        <v>8973</v>
      </c>
      <c r="X303" s="124" t="n">
        <f aca="false">VLOOKUP($A303,Table,MATCH(X$4,Curves,0))</f>
        <v>2</v>
      </c>
      <c r="Y303" s="129" t="n">
        <f aca="false">1/(1+CHOOSE(F$3,(X304+($K$3/10000))/2,(X303+($K$3/10000))/2))^(2*W303/365.25)</f>
        <v>1.61939081228103E-015</v>
      </c>
      <c r="Z303" s="5" t="n">
        <f aca="false">IF(AND(mthbeg&lt;=A303,mthend&gt;=A303),1,0)</f>
        <v>0</v>
      </c>
      <c r="AA303" s="5" t="n">
        <f aca="false">U303*Z303</f>
        <v>0</v>
      </c>
      <c r="AC303" s="115" t="n">
        <f aca="false">IF(G296=2,F303*(S303-Q303),F303*(Q303-S303))</f>
        <v>0</v>
      </c>
      <c r="AE303" s="116" t="n">
        <f aca="false">IF($G$3=1,F303*(R303-Q303),F303*(Q303-R303))</f>
        <v>0</v>
      </c>
      <c r="AG303" s="116" t="n">
        <f aca="false">AC303+AE303</f>
        <v>0</v>
      </c>
    </row>
    <row r="304" customFormat="false" ht="12" hidden="false" customHeight="true" outlineLevel="0" collapsed="false">
      <c r="A304" s="120" t="n">
        <f aca="false">EDATE(A303,1)</f>
        <v>46235</v>
      </c>
      <c r="B304" s="121" t="e">
        <f aca="false">VLOOKUP(A304,'Inputs-Summary'!$A$32:$E$41,5,FALSE())</f>
        <v>#N/A</v>
      </c>
      <c r="C304" s="122"/>
      <c r="D304" s="123" t="e">
        <f aca="false">B304+C304</f>
        <v>#N/A</v>
      </c>
      <c r="E304" s="111" t="n">
        <f aca="false">IF(Z304=0,0,IF(AND(Z304=1,$H$3=1),D304*U304,IF($H$3=2,D304,"N/A")))</f>
        <v>0</v>
      </c>
      <c r="F304" s="111" t="n">
        <f aca="false">E304*Y304</f>
        <v>0</v>
      </c>
      <c r="G304" s="124" t="n">
        <f aca="false">VLOOKUP($A304,Table,MATCH(G$4,Curves,0))</f>
        <v>3</v>
      </c>
      <c r="H304" s="125" t="n">
        <f aca="false">G304+$H$7</f>
        <v>3</v>
      </c>
      <c r="I304" s="124" t="n">
        <f aca="false">H304</f>
        <v>3</v>
      </c>
      <c r="J304" s="124" t="n">
        <f aca="false">VLOOKUP($A304,Table,MATCH(J$4,Curves,0))</f>
        <v>4</v>
      </c>
      <c r="K304" s="125" t="n">
        <f aca="false">J304+$K$7</f>
        <v>4</v>
      </c>
      <c r="L304" s="126" t="n">
        <f aca="false">K304</f>
        <v>4</v>
      </c>
      <c r="M304" s="124" t="n">
        <f aca="false">VLOOKUP($A304,Table,MATCH(M$4,Curves,0))</f>
        <v>4</v>
      </c>
      <c r="N304" s="125" t="n">
        <f aca="false">M304+$N$7</f>
        <v>4</v>
      </c>
      <c r="O304" s="126" t="n">
        <v>-0.04</v>
      </c>
      <c r="P304" s="114"/>
      <c r="Q304" s="126" t="n">
        <f aca="false">M304+J304+G304</f>
        <v>11</v>
      </c>
      <c r="R304" s="126" t="n">
        <f aca="false">N304+K304+H304</f>
        <v>11</v>
      </c>
      <c r="S304" s="126" t="n">
        <f aca="false">O304+L304+I304</f>
        <v>6.96</v>
      </c>
      <c r="T304" s="127"/>
      <c r="U304" s="5" t="n">
        <f aca="false">A305-A304</f>
        <v>31</v>
      </c>
      <c r="V304" s="128" t="n">
        <f aca="false">CHOOSE(F$3,A305+24,A304)</f>
        <v>46235</v>
      </c>
      <c r="W304" s="5" t="n">
        <f aca="false">V304-C$3</f>
        <v>9004</v>
      </c>
      <c r="X304" s="124" t="n">
        <f aca="false">VLOOKUP($A304,Table,MATCH(X$4,Curves,0))</f>
        <v>2</v>
      </c>
      <c r="Y304" s="129" t="n">
        <f aca="false">1/(1+CHOOSE(F$3,(X305+($K$3/10000))/2,(X304+($K$3/10000))/2))^(2*W304/365.25)</f>
        <v>1.43963636354141E-015</v>
      </c>
      <c r="Z304" s="5" t="n">
        <f aca="false">IF(AND(mthbeg&lt;=A304,mthend&gt;=A304),1,0)</f>
        <v>0</v>
      </c>
      <c r="AA304" s="5" t="n">
        <f aca="false">U304*Z304</f>
        <v>0</v>
      </c>
      <c r="AC304" s="115" t="n">
        <f aca="false">IF(G297=2,F304*(S304-Q304),F304*(Q304-S304))</f>
        <v>0</v>
      </c>
      <c r="AE304" s="116" t="n">
        <f aca="false">IF($G$3=1,F304*(R304-Q304),F304*(Q304-R304))</f>
        <v>0</v>
      </c>
      <c r="AG304" s="116" t="n">
        <f aca="false">AC304+AE304</f>
        <v>0</v>
      </c>
    </row>
    <row r="305" customFormat="false" ht="12" hidden="false" customHeight="true" outlineLevel="0" collapsed="false">
      <c r="A305" s="120" t="n">
        <f aca="false">EDATE(A304,1)</f>
        <v>46266</v>
      </c>
      <c r="B305" s="121" t="e">
        <f aca="false">VLOOKUP(A305,'Inputs-Summary'!$A$32:$E$41,5,FALSE())</f>
        <v>#N/A</v>
      </c>
      <c r="C305" s="122"/>
      <c r="D305" s="123" t="e">
        <f aca="false">B305+C305</f>
        <v>#N/A</v>
      </c>
      <c r="E305" s="111" t="n">
        <f aca="false">IF(Z305=0,0,IF(AND(Z305=1,$H$3=1),D305*U305,IF($H$3=2,D305,"N/A")))</f>
        <v>0</v>
      </c>
      <c r="F305" s="111" t="n">
        <f aca="false">E305*Y305</f>
        <v>0</v>
      </c>
      <c r="G305" s="124" t="n">
        <f aca="false">VLOOKUP($A305,Table,MATCH(G$4,Curves,0))</f>
        <v>3</v>
      </c>
      <c r="H305" s="125" t="n">
        <f aca="false">G305+$H$7</f>
        <v>3</v>
      </c>
      <c r="I305" s="124" t="n">
        <f aca="false">H305</f>
        <v>3</v>
      </c>
      <c r="J305" s="124" t="n">
        <f aca="false">VLOOKUP($A305,Table,MATCH(J$4,Curves,0))</f>
        <v>4</v>
      </c>
      <c r="K305" s="125" t="n">
        <f aca="false">J305+$K$7</f>
        <v>4</v>
      </c>
      <c r="L305" s="126" t="n">
        <f aca="false">K305</f>
        <v>4</v>
      </c>
      <c r="M305" s="124" t="n">
        <f aca="false">VLOOKUP($A305,Table,MATCH(M$4,Curves,0))</f>
        <v>4</v>
      </c>
      <c r="N305" s="125" t="n">
        <f aca="false">M305+$N$7</f>
        <v>4</v>
      </c>
      <c r="O305" s="126" t="n">
        <v>-0.04</v>
      </c>
      <c r="P305" s="114"/>
      <c r="Q305" s="126" t="n">
        <f aca="false">M305+J305+G305</f>
        <v>11</v>
      </c>
      <c r="R305" s="126" t="n">
        <f aca="false">N305+K305+H305</f>
        <v>11</v>
      </c>
      <c r="S305" s="126" t="n">
        <f aca="false">O305+L305+I305</f>
        <v>6.96</v>
      </c>
      <c r="T305" s="127"/>
      <c r="U305" s="5" t="n">
        <f aca="false">A306-A305</f>
        <v>30</v>
      </c>
      <c r="V305" s="128" t="n">
        <f aca="false">CHOOSE(F$3,A306+24,A305)</f>
        <v>46266</v>
      </c>
      <c r="W305" s="5" t="n">
        <f aca="false">V305-C$3</f>
        <v>9035</v>
      </c>
      <c r="X305" s="124" t="n">
        <f aca="false">VLOOKUP($A305,Table,MATCH(X$4,Curves,0))</f>
        <v>2</v>
      </c>
      <c r="Y305" s="129" t="n">
        <f aca="false">1/(1+CHOOSE(F$3,(X306+($K$3/10000))/2,(X305+($K$3/10000))/2))^(2*W305/365.25)</f>
        <v>1.27983488822651E-015</v>
      </c>
      <c r="Z305" s="5" t="n">
        <f aca="false">IF(AND(mthbeg&lt;=A305,mthend&gt;=A305),1,0)</f>
        <v>0</v>
      </c>
      <c r="AA305" s="5" t="n">
        <f aca="false">U305*Z305</f>
        <v>0</v>
      </c>
      <c r="AC305" s="115" t="n">
        <f aca="false">IF(G298=2,F305*(S305-Q305),F305*(Q305-S305))</f>
        <v>0</v>
      </c>
      <c r="AE305" s="116" t="n">
        <f aca="false">IF($G$3=1,F305*(R305-Q305),F305*(Q305-R305))</f>
        <v>0</v>
      </c>
      <c r="AG305" s="116" t="n">
        <f aca="false">AC305+AE305</f>
        <v>0</v>
      </c>
    </row>
    <row r="306" customFormat="false" ht="12" hidden="false" customHeight="true" outlineLevel="0" collapsed="false">
      <c r="A306" s="120" t="n">
        <f aca="false">EDATE(A305,1)</f>
        <v>46296</v>
      </c>
      <c r="B306" s="121" t="e">
        <f aca="false">VLOOKUP(A306,'Inputs-Summary'!$A$32:$E$41,5,FALSE())</f>
        <v>#N/A</v>
      </c>
      <c r="C306" s="122"/>
      <c r="D306" s="123" t="e">
        <f aca="false">B306+C306</f>
        <v>#N/A</v>
      </c>
      <c r="E306" s="111" t="n">
        <f aca="false">IF(Z306=0,0,IF(AND(Z306=1,$H$3=1),D306*U306,IF($H$3=2,D306,"N/A")))</f>
        <v>0</v>
      </c>
      <c r="F306" s="111" t="n">
        <f aca="false">E306*Y306</f>
        <v>0</v>
      </c>
      <c r="G306" s="124" t="n">
        <f aca="false">VLOOKUP($A306,Table,MATCH(G$4,Curves,0))</f>
        <v>3</v>
      </c>
      <c r="H306" s="125" t="n">
        <f aca="false">G306+$H$7</f>
        <v>3</v>
      </c>
      <c r="I306" s="124" t="n">
        <f aca="false">H306</f>
        <v>3</v>
      </c>
      <c r="J306" s="124" t="n">
        <f aca="false">VLOOKUP($A306,Table,MATCH(J$4,Curves,0))</f>
        <v>4</v>
      </c>
      <c r="K306" s="125" t="n">
        <f aca="false">J306+$K$7</f>
        <v>4</v>
      </c>
      <c r="L306" s="126" t="n">
        <f aca="false">K306</f>
        <v>4</v>
      </c>
      <c r="M306" s="124" t="n">
        <f aca="false">VLOOKUP($A306,Table,MATCH(M$4,Curves,0))</f>
        <v>4</v>
      </c>
      <c r="N306" s="125" t="n">
        <f aca="false">M306+$N$7</f>
        <v>4</v>
      </c>
      <c r="O306" s="126" t="n">
        <v>-0.04</v>
      </c>
      <c r="P306" s="114"/>
      <c r="Q306" s="126" t="n">
        <f aca="false">M306+J306+G306</f>
        <v>11</v>
      </c>
      <c r="R306" s="126" t="n">
        <f aca="false">N306+K306+H306</f>
        <v>11</v>
      </c>
      <c r="S306" s="126" t="n">
        <f aca="false">O306+L306+I306</f>
        <v>6.96</v>
      </c>
      <c r="T306" s="127"/>
      <c r="U306" s="5" t="n">
        <f aca="false">A307-A306</f>
        <v>31</v>
      </c>
      <c r="V306" s="128" t="n">
        <f aca="false">CHOOSE(F$3,A307+24,A306)</f>
        <v>46296</v>
      </c>
      <c r="W306" s="5" t="n">
        <f aca="false">V306-C$3</f>
        <v>9065</v>
      </c>
      <c r="X306" s="124" t="n">
        <f aca="false">VLOOKUP($A306,Table,MATCH(X$4,Curves,0))</f>
        <v>2</v>
      </c>
      <c r="Y306" s="129" t="n">
        <f aca="false">1/(1+CHOOSE(F$3,(X307+($K$3/10000))/2,(X306+($K$3/10000))/2))^(2*W306/365.25)</f>
        <v>1.14209816091212E-015</v>
      </c>
      <c r="Z306" s="5" t="n">
        <f aca="false">IF(AND(mthbeg&lt;=A306,mthend&gt;=A306),1,0)</f>
        <v>0</v>
      </c>
      <c r="AA306" s="5" t="n">
        <f aca="false">U306*Z306</f>
        <v>0</v>
      </c>
      <c r="AC306" s="115" t="n">
        <f aca="false">IF(G299=2,F306*(S306-Q306),F306*(Q306-S306))</f>
        <v>0</v>
      </c>
      <c r="AE306" s="116" t="n">
        <f aca="false">IF($G$3=1,F306*(R306-Q306),F306*(Q306-R306))</f>
        <v>0</v>
      </c>
      <c r="AG306" s="116" t="n">
        <f aca="false">AC306+AE306</f>
        <v>0</v>
      </c>
    </row>
    <row r="307" customFormat="false" ht="12" hidden="false" customHeight="true" outlineLevel="0" collapsed="false">
      <c r="A307" s="120" t="n">
        <f aca="false">EDATE(A306,1)</f>
        <v>46327</v>
      </c>
      <c r="B307" s="121" t="e">
        <f aca="false">VLOOKUP(A307,'Inputs-Summary'!$A$32:$E$41,5,FALSE())</f>
        <v>#N/A</v>
      </c>
      <c r="C307" s="122"/>
      <c r="D307" s="123" t="e">
        <f aca="false">B307+C307</f>
        <v>#N/A</v>
      </c>
      <c r="E307" s="111" t="n">
        <f aca="false">IF(Z307=0,0,IF(AND(Z307=1,$H$3=1),D307*U307,IF($H$3=2,D307,"N/A")))</f>
        <v>0</v>
      </c>
      <c r="F307" s="111" t="n">
        <f aca="false">E307*Y307</f>
        <v>0</v>
      </c>
      <c r="G307" s="124" t="n">
        <f aca="false">VLOOKUP($A307,Table,MATCH(G$4,Curves,0))</f>
        <v>3</v>
      </c>
      <c r="H307" s="125" t="n">
        <f aca="false">G307+$H$7</f>
        <v>3</v>
      </c>
      <c r="I307" s="124" t="n">
        <f aca="false">H307</f>
        <v>3</v>
      </c>
      <c r="J307" s="124" t="n">
        <f aca="false">VLOOKUP($A307,Table,MATCH(J$4,Curves,0))</f>
        <v>4</v>
      </c>
      <c r="K307" s="125" t="n">
        <f aca="false">J307+$K$7</f>
        <v>4</v>
      </c>
      <c r="L307" s="126" t="n">
        <f aca="false">K307</f>
        <v>4</v>
      </c>
      <c r="M307" s="124" t="n">
        <f aca="false">VLOOKUP($A307,Table,MATCH(M$4,Curves,0))</f>
        <v>4</v>
      </c>
      <c r="N307" s="125" t="n">
        <f aca="false">M307+$N$7</f>
        <v>4</v>
      </c>
      <c r="O307" s="126" t="n">
        <v>-0.04</v>
      </c>
      <c r="P307" s="114"/>
      <c r="Q307" s="126" t="n">
        <f aca="false">M307+J307+G307</f>
        <v>11</v>
      </c>
      <c r="R307" s="126" t="n">
        <f aca="false">N307+K307+H307</f>
        <v>11</v>
      </c>
      <c r="S307" s="126" t="n">
        <f aca="false">O307+L307+I307</f>
        <v>6.96</v>
      </c>
      <c r="T307" s="127"/>
      <c r="U307" s="5" t="n">
        <f aca="false">A308-A307</f>
        <v>30</v>
      </c>
      <c r="V307" s="128" t="n">
        <f aca="false">CHOOSE(F$3,A308+24,A307)</f>
        <v>46327</v>
      </c>
      <c r="W307" s="5" t="n">
        <f aca="false">V307-C$3</f>
        <v>9096</v>
      </c>
      <c r="X307" s="124" t="n">
        <f aca="false">VLOOKUP($A307,Table,MATCH(X$4,Curves,0))</f>
        <v>2</v>
      </c>
      <c r="Y307" s="129" t="n">
        <f aca="false">1/(1+CHOOSE(F$3,(X308+($K$3/10000))/2,(X307+($K$3/10000))/2))^(2*W307/365.25)</f>
        <v>1.01532380615824E-015</v>
      </c>
      <c r="Z307" s="5" t="n">
        <f aca="false">IF(AND(mthbeg&lt;=A307,mthend&gt;=A307),1,0)</f>
        <v>0</v>
      </c>
      <c r="AA307" s="5" t="n">
        <f aca="false">U307*Z307</f>
        <v>0</v>
      </c>
      <c r="AC307" s="115" t="n">
        <f aca="false">IF(G300=2,F307*(S307-Q307),F307*(Q307-S307))</f>
        <v>0</v>
      </c>
      <c r="AE307" s="116" t="n">
        <f aca="false">IF($G$3=1,F307*(R307-Q307),F307*(Q307-R307))</f>
        <v>0</v>
      </c>
      <c r="AG307" s="116" t="n">
        <f aca="false">AC307+AE307</f>
        <v>0</v>
      </c>
    </row>
    <row r="308" customFormat="false" ht="12" hidden="false" customHeight="true" outlineLevel="0" collapsed="false">
      <c r="A308" s="120" t="n">
        <f aca="false">EDATE(A307,1)</f>
        <v>46357</v>
      </c>
      <c r="B308" s="121" t="e">
        <f aca="false">VLOOKUP(A308,'Inputs-Summary'!$A$32:$E$41,5,FALSE())</f>
        <v>#N/A</v>
      </c>
      <c r="C308" s="122"/>
      <c r="D308" s="123" t="e">
        <f aca="false">B308+C308</f>
        <v>#N/A</v>
      </c>
      <c r="E308" s="111" t="n">
        <f aca="false">IF(Z308=0,0,IF(AND(Z308=1,$H$3=1),D308*U308,IF($H$3=2,D308,"N/A")))</f>
        <v>0</v>
      </c>
      <c r="F308" s="111" t="n">
        <f aca="false">E308*Y308</f>
        <v>0</v>
      </c>
      <c r="G308" s="124" t="n">
        <f aca="false">VLOOKUP($A308,Table,MATCH(G$4,Curves,0))</f>
        <v>3</v>
      </c>
      <c r="H308" s="125" t="n">
        <f aca="false">G308+$H$7</f>
        <v>3</v>
      </c>
      <c r="I308" s="124" t="n">
        <f aca="false">H308</f>
        <v>3</v>
      </c>
      <c r="J308" s="124" t="n">
        <f aca="false">VLOOKUP($A308,Table,MATCH(J$4,Curves,0))</f>
        <v>4</v>
      </c>
      <c r="K308" s="125" t="n">
        <f aca="false">J308+$K$7</f>
        <v>4</v>
      </c>
      <c r="L308" s="126" t="n">
        <f aca="false">K308</f>
        <v>4</v>
      </c>
      <c r="M308" s="124" t="n">
        <f aca="false">VLOOKUP($A308,Table,MATCH(M$4,Curves,0))</f>
        <v>4</v>
      </c>
      <c r="N308" s="125" t="n">
        <f aca="false">M308+$N$7</f>
        <v>4</v>
      </c>
      <c r="O308" s="126" t="n">
        <v>-0.04</v>
      </c>
      <c r="P308" s="114"/>
      <c r="Q308" s="126" t="n">
        <f aca="false">M308+J308+G308</f>
        <v>11</v>
      </c>
      <c r="R308" s="126" t="n">
        <f aca="false">N308+K308+H308</f>
        <v>11</v>
      </c>
      <c r="S308" s="126" t="n">
        <f aca="false">O308+L308+I308</f>
        <v>6.96</v>
      </c>
      <c r="T308" s="127"/>
      <c r="U308" s="5" t="n">
        <f aca="false">A309-A308</f>
        <v>31</v>
      </c>
      <c r="V308" s="128" t="n">
        <f aca="false">CHOOSE(F$3,A309+24,A308)</f>
        <v>46357</v>
      </c>
      <c r="W308" s="5" t="n">
        <f aca="false">V308-C$3</f>
        <v>9126</v>
      </c>
      <c r="X308" s="124" t="n">
        <f aca="false">VLOOKUP($A308,Table,MATCH(X$4,Curves,0))</f>
        <v>2</v>
      </c>
      <c r="Y308" s="129" t="n">
        <f aca="false">1/(1+CHOOSE(F$3,(X309+($K$3/10000))/2,(X308+($K$3/10000))/2))^(2*W308/365.25)</f>
        <v>9.06053946810674E-016</v>
      </c>
      <c r="Z308" s="5" t="n">
        <f aca="false">IF(AND(mthbeg&lt;=A308,mthend&gt;=A308),1,0)</f>
        <v>0</v>
      </c>
      <c r="AA308" s="5" t="n">
        <f aca="false">U308*Z308</f>
        <v>0</v>
      </c>
      <c r="AC308" s="115" t="n">
        <f aca="false">IF(G301=2,F308*(S308-Q308),F308*(Q308-S308))</f>
        <v>0</v>
      </c>
      <c r="AE308" s="116" t="n">
        <f aca="false">IF($G$3=1,F308*(R308-Q308),F308*(Q308-R308))</f>
        <v>0</v>
      </c>
      <c r="AG308" s="116" t="n">
        <f aca="false">AC308+AE308</f>
        <v>0</v>
      </c>
    </row>
    <row r="309" customFormat="false" ht="12" hidden="false" customHeight="true" outlineLevel="0" collapsed="false">
      <c r="A309" s="120" t="n">
        <f aca="false">EDATE(A308,1)</f>
        <v>46388</v>
      </c>
      <c r="B309" s="121" t="e">
        <f aca="false">VLOOKUP(A309,'Inputs-Summary'!$A$32:$E$41,5,FALSE())</f>
        <v>#N/A</v>
      </c>
      <c r="C309" s="122"/>
      <c r="D309" s="123" t="e">
        <f aca="false">B309+C309</f>
        <v>#N/A</v>
      </c>
      <c r="E309" s="111" t="n">
        <f aca="false">IF(Z309=0,0,IF(AND(Z309=1,$H$3=1),D309*U309,IF($H$3=2,D309,"N/A")))</f>
        <v>0</v>
      </c>
      <c r="F309" s="111" t="n">
        <f aca="false">E309*Y309</f>
        <v>0</v>
      </c>
      <c r="G309" s="124" t="n">
        <f aca="false">VLOOKUP($A309,Table,MATCH(G$4,Curves,0))</f>
        <v>3</v>
      </c>
      <c r="H309" s="125" t="n">
        <f aca="false">G309+$H$7</f>
        <v>3</v>
      </c>
      <c r="I309" s="124" t="n">
        <f aca="false">H309</f>
        <v>3</v>
      </c>
      <c r="J309" s="124" t="n">
        <f aca="false">VLOOKUP($A309,Table,MATCH(J$4,Curves,0))</f>
        <v>4</v>
      </c>
      <c r="K309" s="125" t="n">
        <f aca="false">J309+$K$7</f>
        <v>4</v>
      </c>
      <c r="L309" s="126" t="n">
        <f aca="false">K309</f>
        <v>4</v>
      </c>
      <c r="M309" s="124" t="n">
        <f aca="false">VLOOKUP($A309,Table,MATCH(M$4,Curves,0))</f>
        <v>4</v>
      </c>
      <c r="N309" s="125" t="n">
        <f aca="false">M309+$N$7</f>
        <v>4</v>
      </c>
      <c r="O309" s="126" t="n">
        <v>-0.04</v>
      </c>
      <c r="P309" s="114"/>
      <c r="Q309" s="126" t="n">
        <f aca="false">M309+J309+G309</f>
        <v>11</v>
      </c>
      <c r="R309" s="126" t="n">
        <f aca="false">N309+K309+H309</f>
        <v>11</v>
      </c>
      <c r="S309" s="126" t="n">
        <f aca="false">O309+L309+I309</f>
        <v>6.96</v>
      </c>
      <c r="T309" s="127"/>
      <c r="U309" s="5" t="n">
        <f aca="false">A310-A309</f>
        <v>31</v>
      </c>
      <c r="V309" s="128" t="n">
        <f aca="false">CHOOSE(F$3,A310+24,A309)</f>
        <v>46388</v>
      </c>
      <c r="W309" s="5" t="n">
        <f aca="false">V309-C$3</f>
        <v>9157</v>
      </c>
      <c r="X309" s="124" t="n">
        <f aca="false">VLOOKUP($A309,Table,MATCH(X$4,Curves,0))</f>
        <v>2</v>
      </c>
      <c r="Y309" s="129" t="n">
        <f aca="false">1/(1+CHOOSE(F$3,(X310+($K$3/10000))/2,(X309+($K$3/10000))/2))^(2*W309/365.25)</f>
        <v>8.05480801340063E-016</v>
      </c>
      <c r="Z309" s="5" t="n">
        <f aca="false">IF(AND(mthbeg&lt;=A309,mthend&gt;=A309),1,0)</f>
        <v>0</v>
      </c>
      <c r="AA309" s="5" t="n">
        <f aca="false">U309*Z309</f>
        <v>0</v>
      </c>
      <c r="AC309" s="115" t="n">
        <f aca="false">IF(G302=2,F309*(S309-Q309),F309*(Q309-S309))</f>
        <v>0</v>
      </c>
      <c r="AE309" s="116" t="n">
        <f aca="false">IF($G$3=1,F309*(R309-Q309),F309*(Q309-R309))</f>
        <v>0</v>
      </c>
      <c r="AG309" s="116" t="n">
        <f aca="false">AC309+AE309</f>
        <v>0</v>
      </c>
    </row>
    <row r="310" customFormat="false" ht="12" hidden="false" customHeight="true" outlineLevel="0" collapsed="false">
      <c r="A310" s="120" t="n">
        <f aca="false">EDATE(A309,1)</f>
        <v>46419</v>
      </c>
      <c r="B310" s="121" t="e">
        <f aca="false">VLOOKUP(A310,'Inputs-Summary'!$A$32:$E$41,5,FALSE())</f>
        <v>#N/A</v>
      </c>
      <c r="C310" s="122"/>
      <c r="D310" s="123" t="e">
        <f aca="false">B310+C310</f>
        <v>#N/A</v>
      </c>
      <c r="E310" s="111" t="n">
        <f aca="false">IF(Z310=0,0,IF(AND(Z310=1,$H$3=1),D310*U310,IF($H$3=2,D310,"N/A")))</f>
        <v>0</v>
      </c>
      <c r="F310" s="111" t="n">
        <f aca="false">E310*Y310</f>
        <v>0</v>
      </c>
      <c r="G310" s="124" t="n">
        <f aca="false">VLOOKUP($A310,Table,MATCH(G$4,Curves,0))</f>
        <v>3</v>
      </c>
      <c r="H310" s="125" t="n">
        <f aca="false">G310+$H$7</f>
        <v>3</v>
      </c>
      <c r="I310" s="124" t="n">
        <f aca="false">H310</f>
        <v>3</v>
      </c>
      <c r="J310" s="124" t="n">
        <f aca="false">VLOOKUP($A310,Table,MATCH(J$4,Curves,0))</f>
        <v>4</v>
      </c>
      <c r="K310" s="125" t="n">
        <f aca="false">J310+$K$7</f>
        <v>4</v>
      </c>
      <c r="L310" s="126" t="n">
        <f aca="false">K310</f>
        <v>4</v>
      </c>
      <c r="M310" s="124" t="n">
        <f aca="false">VLOOKUP($A310,Table,MATCH(M$4,Curves,0))</f>
        <v>4</v>
      </c>
      <c r="N310" s="125" t="n">
        <f aca="false">M310+$N$7</f>
        <v>4</v>
      </c>
      <c r="O310" s="126" t="n">
        <v>-0.04</v>
      </c>
      <c r="P310" s="114"/>
      <c r="Q310" s="126" t="n">
        <f aca="false">M310+J310+G310</f>
        <v>11</v>
      </c>
      <c r="R310" s="126" t="n">
        <f aca="false">N310+K310+H310</f>
        <v>11</v>
      </c>
      <c r="S310" s="126" t="n">
        <f aca="false">O310+L310+I310</f>
        <v>6.96</v>
      </c>
      <c r="T310" s="127"/>
      <c r="U310" s="5" t="n">
        <f aca="false">A311-A310</f>
        <v>28</v>
      </c>
      <c r="V310" s="128" t="n">
        <f aca="false">CHOOSE(F$3,A311+24,A310)</f>
        <v>46419</v>
      </c>
      <c r="W310" s="5" t="n">
        <f aca="false">V310-C$3</f>
        <v>9188</v>
      </c>
      <c r="X310" s="124" t="n">
        <f aca="false">VLOOKUP($A310,Table,MATCH(X$4,Curves,0))</f>
        <v>2</v>
      </c>
      <c r="Y310" s="129" t="n">
        <f aca="false">1/(1+CHOOSE(F$3,(X311+($K$3/10000))/2,(X310+($K$3/10000))/2))^(2*W310/365.25)</f>
        <v>7.16071403486751E-016</v>
      </c>
      <c r="Z310" s="5" t="n">
        <f aca="false">IF(AND(mthbeg&lt;=A310,mthend&gt;=A310),1,0)</f>
        <v>0</v>
      </c>
      <c r="AA310" s="5" t="n">
        <f aca="false">U310*Z310</f>
        <v>0</v>
      </c>
      <c r="AC310" s="115" t="n">
        <f aca="false">IF(G303=2,F310*(S310-Q310),F310*(Q310-S310))</f>
        <v>0</v>
      </c>
      <c r="AE310" s="116" t="n">
        <f aca="false">IF($G$3=1,F310*(R310-Q310),F310*(Q310-R310))</f>
        <v>0</v>
      </c>
      <c r="AG310" s="116" t="n">
        <f aca="false">AC310+AE310</f>
        <v>0</v>
      </c>
    </row>
    <row r="311" customFormat="false" ht="12" hidden="false" customHeight="true" outlineLevel="0" collapsed="false">
      <c r="A311" s="120" t="n">
        <f aca="false">EDATE(A310,1)</f>
        <v>46447</v>
      </c>
      <c r="B311" s="121" t="e">
        <f aca="false">VLOOKUP(A311,'Inputs-Summary'!$A$32:$E$41,5,FALSE())</f>
        <v>#N/A</v>
      </c>
      <c r="C311" s="122"/>
      <c r="D311" s="123" t="e">
        <f aca="false">B311+C311</f>
        <v>#N/A</v>
      </c>
      <c r="E311" s="111" t="n">
        <f aca="false">IF(Z311=0,0,IF(AND(Z311=1,$H$3=1),D311*U311,IF($H$3=2,D311,"N/A")))</f>
        <v>0</v>
      </c>
      <c r="F311" s="111" t="n">
        <f aca="false">E311*Y311</f>
        <v>0</v>
      </c>
      <c r="G311" s="124" t="n">
        <f aca="false">VLOOKUP($A311,Table,MATCH(G$4,Curves,0))</f>
        <v>3</v>
      </c>
      <c r="H311" s="125" t="n">
        <f aca="false">G311+$H$7</f>
        <v>3</v>
      </c>
      <c r="I311" s="124" t="n">
        <f aca="false">H311</f>
        <v>3</v>
      </c>
      <c r="J311" s="124" t="n">
        <f aca="false">VLOOKUP($A311,Table,MATCH(J$4,Curves,0))</f>
        <v>4</v>
      </c>
      <c r="K311" s="125" t="n">
        <f aca="false">J311+$K$7</f>
        <v>4</v>
      </c>
      <c r="L311" s="126" t="n">
        <f aca="false">K311</f>
        <v>4</v>
      </c>
      <c r="M311" s="124" t="n">
        <f aca="false">VLOOKUP($A311,Table,MATCH(M$4,Curves,0))</f>
        <v>4</v>
      </c>
      <c r="N311" s="125" t="n">
        <f aca="false">M311+$N$7</f>
        <v>4</v>
      </c>
      <c r="O311" s="126" t="n">
        <v>-0.04</v>
      </c>
      <c r="P311" s="114"/>
      <c r="Q311" s="126" t="n">
        <f aca="false">M311+J311+G311</f>
        <v>11</v>
      </c>
      <c r="R311" s="126" t="n">
        <f aca="false">N311+K311+H311</f>
        <v>11</v>
      </c>
      <c r="S311" s="126" t="n">
        <f aca="false">O311+L311+I311</f>
        <v>6.96</v>
      </c>
      <c r="T311" s="127"/>
      <c r="U311" s="5" t="n">
        <f aca="false">A312-A311</f>
        <v>31</v>
      </c>
      <c r="V311" s="128" t="n">
        <f aca="false">CHOOSE(F$3,A312+24,A311)</f>
        <v>46447</v>
      </c>
      <c r="W311" s="5" t="n">
        <f aca="false">V311-C$3</f>
        <v>9216</v>
      </c>
      <c r="X311" s="124" t="n">
        <f aca="false">VLOOKUP($A311,Table,MATCH(X$4,Curves,0))</f>
        <v>2</v>
      </c>
      <c r="Y311" s="129" t="n">
        <f aca="false">1/(1+CHOOSE(F$3,(X312+($K$3/10000))/2,(X311+($K$3/10000))/2))^(2*W311/365.25)</f>
        <v>6.43876416928787E-016</v>
      </c>
      <c r="Z311" s="5" t="n">
        <f aca="false">IF(AND(mthbeg&lt;=A311,mthend&gt;=A311),1,0)</f>
        <v>0</v>
      </c>
      <c r="AA311" s="5" t="n">
        <f aca="false">U311*Z311</f>
        <v>0</v>
      </c>
      <c r="AC311" s="115" t="n">
        <f aca="false">IF(G304=2,F311*(S311-Q311),F311*(Q311-S311))</f>
        <v>0</v>
      </c>
      <c r="AE311" s="116" t="n">
        <f aca="false">IF($G$3=1,F311*(R311-Q311),F311*(Q311-R311))</f>
        <v>0</v>
      </c>
      <c r="AG311" s="116" t="n">
        <f aca="false">AC311+AE311</f>
        <v>0</v>
      </c>
    </row>
    <row r="312" customFormat="false" ht="12" hidden="false" customHeight="true" outlineLevel="0" collapsed="false">
      <c r="A312" s="120" t="n">
        <f aca="false">EDATE(A311,1)</f>
        <v>46478</v>
      </c>
      <c r="B312" s="121" t="e">
        <f aca="false">VLOOKUP(A312,'Inputs-Summary'!$A$32:$E$41,5,FALSE())</f>
        <v>#N/A</v>
      </c>
      <c r="C312" s="122"/>
      <c r="D312" s="123" t="e">
        <f aca="false">B312+C312</f>
        <v>#N/A</v>
      </c>
      <c r="E312" s="111" t="n">
        <f aca="false">IF(Z312=0,0,IF(AND(Z312=1,$H$3=1),D312*U312,IF($H$3=2,D312,"N/A")))</f>
        <v>0</v>
      </c>
      <c r="F312" s="111" t="n">
        <f aca="false">E312*Y312</f>
        <v>0</v>
      </c>
      <c r="G312" s="124" t="n">
        <f aca="false">VLOOKUP($A312,Table,MATCH(G$4,Curves,0))</f>
        <v>3</v>
      </c>
      <c r="H312" s="125" t="n">
        <f aca="false">G312+$H$7</f>
        <v>3</v>
      </c>
      <c r="I312" s="124" t="n">
        <f aca="false">H312</f>
        <v>3</v>
      </c>
      <c r="J312" s="124" t="n">
        <f aca="false">VLOOKUP($A312,Table,MATCH(J$4,Curves,0))</f>
        <v>4</v>
      </c>
      <c r="K312" s="125" t="n">
        <f aca="false">J312+$K$7</f>
        <v>4</v>
      </c>
      <c r="L312" s="126" t="n">
        <f aca="false">K312</f>
        <v>4</v>
      </c>
      <c r="M312" s="124" t="n">
        <f aca="false">VLOOKUP($A312,Table,MATCH(M$4,Curves,0))</f>
        <v>4</v>
      </c>
      <c r="N312" s="125" t="n">
        <f aca="false">M312+$N$7</f>
        <v>4</v>
      </c>
      <c r="O312" s="126" t="n">
        <v>-0.04</v>
      </c>
      <c r="P312" s="114"/>
      <c r="Q312" s="126" t="n">
        <f aca="false">M312+J312+G312</f>
        <v>11</v>
      </c>
      <c r="R312" s="126" t="n">
        <f aca="false">N312+K312+H312</f>
        <v>11</v>
      </c>
      <c r="S312" s="126" t="n">
        <f aca="false">O312+L312+I312</f>
        <v>6.96</v>
      </c>
      <c r="T312" s="127"/>
      <c r="U312" s="5" t="n">
        <f aca="false">A313-A312</f>
        <v>30</v>
      </c>
      <c r="V312" s="128" t="n">
        <f aca="false">CHOOSE(F$3,A313+24,A312)</f>
        <v>46478</v>
      </c>
      <c r="W312" s="5" t="n">
        <f aca="false">V312-C$3</f>
        <v>9247</v>
      </c>
      <c r="X312" s="124" t="n">
        <f aca="false">VLOOKUP($A312,Table,MATCH(X$4,Curves,0))</f>
        <v>2</v>
      </c>
      <c r="Y312" s="129" t="n">
        <f aca="false">1/(1+CHOOSE(F$3,(X313+($K$3/10000))/2,(X312+($K$3/10000))/2))^(2*W312/365.25)</f>
        <v>5.72405312175235E-016</v>
      </c>
      <c r="Z312" s="5" t="n">
        <f aca="false">IF(AND(mthbeg&lt;=A312,mthend&gt;=A312),1,0)</f>
        <v>0</v>
      </c>
      <c r="AA312" s="5" t="n">
        <f aca="false">U312*Z312</f>
        <v>0</v>
      </c>
      <c r="AC312" s="115" t="n">
        <f aca="false">IF(G305=2,F312*(S312-Q312),F312*(Q312-S312))</f>
        <v>0</v>
      </c>
      <c r="AE312" s="116" t="n">
        <f aca="false">IF($G$3=1,F312*(R312-Q312),F312*(Q312-R312))</f>
        <v>0</v>
      </c>
      <c r="AG312" s="116" t="n">
        <f aca="false">AC312+AE312</f>
        <v>0</v>
      </c>
    </row>
    <row r="313" customFormat="false" ht="12" hidden="false" customHeight="true" outlineLevel="0" collapsed="false">
      <c r="A313" s="120" t="n">
        <f aca="false">EDATE(A312,1)</f>
        <v>46508</v>
      </c>
      <c r="B313" s="121" t="e">
        <f aca="false">VLOOKUP(A313,'Inputs-Summary'!$A$32:$E$41,5,FALSE())</f>
        <v>#N/A</v>
      </c>
      <c r="C313" s="122"/>
      <c r="D313" s="123" t="e">
        <f aca="false">B313+C313</f>
        <v>#N/A</v>
      </c>
      <c r="E313" s="111" t="n">
        <f aca="false">IF(Z313=0,0,IF(AND(Z313=1,$H$3=1),D313*U313,IF($H$3=2,D313,"N/A")))</f>
        <v>0</v>
      </c>
      <c r="F313" s="111" t="n">
        <f aca="false">E313*Y313</f>
        <v>0</v>
      </c>
      <c r="G313" s="124" t="n">
        <f aca="false">VLOOKUP($A313,Table,MATCH(G$4,Curves,0))</f>
        <v>3</v>
      </c>
      <c r="H313" s="125" t="n">
        <f aca="false">G313+$H$7</f>
        <v>3</v>
      </c>
      <c r="I313" s="124" t="n">
        <f aca="false">H313</f>
        <v>3</v>
      </c>
      <c r="J313" s="124" t="n">
        <f aca="false">VLOOKUP($A313,Table,MATCH(J$4,Curves,0))</f>
        <v>4</v>
      </c>
      <c r="K313" s="125" t="n">
        <f aca="false">J313+$K$7</f>
        <v>4</v>
      </c>
      <c r="L313" s="126" t="n">
        <f aca="false">K313</f>
        <v>4</v>
      </c>
      <c r="M313" s="124" t="n">
        <f aca="false">VLOOKUP($A313,Table,MATCH(M$4,Curves,0))</f>
        <v>4</v>
      </c>
      <c r="N313" s="125" t="n">
        <f aca="false">M313+$N$7</f>
        <v>4</v>
      </c>
      <c r="O313" s="126" t="n">
        <v>-0.04</v>
      </c>
      <c r="P313" s="114"/>
      <c r="Q313" s="126" t="n">
        <f aca="false">M313+J313+G313</f>
        <v>11</v>
      </c>
      <c r="R313" s="126" t="n">
        <f aca="false">N313+K313+H313</f>
        <v>11</v>
      </c>
      <c r="S313" s="126" t="n">
        <f aca="false">O313+L313+I313</f>
        <v>6.96</v>
      </c>
      <c r="T313" s="127"/>
      <c r="U313" s="5" t="n">
        <f aca="false">A314-A313</f>
        <v>31</v>
      </c>
      <c r="V313" s="128" t="n">
        <f aca="false">CHOOSE(F$3,A314+24,A313)</f>
        <v>46508</v>
      </c>
      <c r="W313" s="5" t="n">
        <f aca="false">V313-C$3</f>
        <v>9277</v>
      </c>
      <c r="X313" s="124" t="n">
        <f aca="false">VLOOKUP($A313,Table,MATCH(X$4,Curves,0))</f>
        <v>2</v>
      </c>
      <c r="Y313" s="129" t="n">
        <f aca="false">1/(1+CHOOSE(F$3,(X314+($K$3/10000))/2,(X313+($K$3/10000))/2))^(2*W313/365.25)</f>
        <v>5.10802651455743E-016</v>
      </c>
      <c r="Z313" s="5" t="n">
        <f aca="false">IF(AND(mthbeg&lt;=A313,mthend&gt;=A313),1,0)</f>
        <v>0</v>
      </c>
      <c r="AA313" s="5" t="n">
        <f aca="false">U313*Z313</f>
        <v>0</v>
      </c>
      <c r="AC313" s="115" t="n">
        <f aca="false">IF(G306=2,F313*(S313-Q313),F313*(Q313-S313))</f>
        <v>0</v>
      </c>
      <c r="AE313" s="116" t="n">
        <f aca="false">IF($G$3=1,F313*(R313-Q313),F313*(Q313-R313))</f>
        <v>0</v>
      </c>
      <c r="AG313" s="116" t="n">
        <f aca="false">AC313+AE313</f>
        <v>0</v>
      </c>
    </row>
    <row r="314" customFormat="false" ht="12" hidden="false" customHeight="true" outlineLevel="0" collapsed="false">
      <c r="A314" s="120" t="n">
        <f aca="false">EDATE(A313,1)</f>
        <v>46539</v>
      </c>
      <c r="B314" s="121" t="e">
        <f aca="false">VLOOKUP(A314,'Inputs-Summary'!$A$32:$E$41,5,FALSE())</f>
        <v>#N/A</v>
      </c>
      <c r="C314" s="122"/>
      <c r="D314" s="123" t="e">
        <f aca="false">B314+C314</f>
        <v>#N/A</v>
      </c>
      <c r="E314" s="111" t="n">
        <f aca="false">IF(Z314=0,0,IF(AND(Z314=1,$H$3=1),D314*U314,IF($H$3=2,D314,"N/A")))</f>
        <v>0</v>
      </c>
      <c r="F314" s="111" t="n">
        <f aca="false">E314*Y314</f>
        <v>0</v>
      </c>
      <c r="G314" s="124" t="n">
        <f aca="false">VLOOKUP($A314,Table,MATCH(G$4,Curves,0))</f>
        <v>3</v>
      </c>
      <c r="H314" s="125" t="n">
        <f aca="false">G314+$H$7</f>
        <v>3</v>
      </c>
      <c r="I314" s="124" t="n">
        <f aca="false">H314</f>
        <v>3</v>
      </c>
      <c r="J314" s="124" t="n">
        <f aca="false">VLOOKUP($A314,Table,MATCH(J$4,Curves,0))</f>
        <v>4</v>
      </c>
      <c r="K314" s="125" t="n">
        <f aca="false">J314+$K$7</f>
        <v>4</v>
      </c>
      <c r="L314" s="126" t="n">
        <f aca="false">K314</f>
        <v>4</v>
      </c>
      <c r="M314" s="124" t="n">
        <f aca="false">VLOOKUP($A314,Table,MATCH(M$4,Curves,0))</f>
        <v>4</v>
      </c>
      <c r="N314" s="125" t="n">
        <f aca="false">M314+$N$7</f>
        <v>4</v>
      </c>
      <c r="O314" s="126" t="n">
        <v>-0.04</v>
      </c>
      <c r="P314" s="114"/>
      <c r="Q314" s="126" t="n">
        <f aca="false">M314+J314+G314</f>
        <v>11</v>
      </c>
      <c r="R314" s="126" t="n">
        <f aca="false">N314+K314+H314</f>
        <v>11</v>
      </c>
      <c r="S314" s="126" t="n">
        <f aca="false">O314+L314+I314</f>
        <v>6.96</v>
      </c>
      <c r="T314" s="127"/>
      <c r="U314" s="5" t="n">
        <f aca="false">A315-A314</f>
        <v>30</v>
      </c>
      <c r="V314" s="128" t="n">
        <f aca="false">CHOOSE(F$3,A315+24,A314)</f>
        <v>46539</v>
      </c>
      <c r="W314" s="5" t="n">
        <f aca="false">V314-C$3</f>
        <v>9308</v>
      </c>
      <c r="X314" s="124" t="n">
        <f aca="false">VLOOKUP($A314,Table,MATCH(X$4,Curves,0))</f>
        <v>2</v>
      </c>
      <c r="Y314" s="129" t="n">
        <f aca="false">1/(1+CHOOSE(F$3,(X315+($K$3/10000))/2,(X314+($K$3/10000))/2))^(2*W314/365.25)</f>
        <v>4.54102904655382E-016</v>
      </c>
      <c r="Z314" s="5" t="n">
        <f aca="false">IF(AND(mthbeg&lt;=A314,mthend&gt;=A314),1,0)</f>
        <v>0</v>
      </c>
      <c r="AA314" s="5" t="n">
        <f aca="false">U314*Z314</f>
        <v>0</v>
      </c>
      <c r="AC314" s="115" t="n">
        <f aca="false">IF(G307=2,F314*(S314-Q314),F314*(Q314-S314))</f>
        <v>0</v>
      </c>
      <c r="AE314" s="116" t="n">
        <f aca="false">IF($G$3=1,F314*(R314-Q314),F314*(Q314-R314))</f>
        <v>0</v>
      </c>
      <c r="AG314" s="116" t="n">
        <f aca="false">AC314+AE314</f>
        <v>0</v>
      </c>
    </row>
    <row r="315" customFormat="false" ht="12" hidden="false" customHeight="true" outlineLevel="0" collapsed="false">
      <c r="A315" s="120" t="n">
        <f aca="false">EDATE(A314,1)</f>
        <v>46569</v>
      </c>
      <c r="B315" s="121" t="e">
        <f aca="false">VLOOKUP(A315,'Inputs-Summary'!$A$32:$E$41,5,FALSE())</f>
        <v>#N/A</v>
      </c>
      <c r="C315" s="122"/>
      <c r="D315" s="123" t="e">
        <f aca="false">B315+C315</f>
        <v>#N/A</v>
      </c>
      <c r="E315" s="111" t="n">
        <f aca="false">IF(Z315=0,0,IF(AND(Z315=1,$H$3=1),D315*U315,IF($H$3=2,D315,"N/A")))</f>
        <v>0</v>
      </c>
      <c r="F315" s="111" t="n">
        <f aca="false">E315*Y315</f>
        <v>0</v>
      </c>
      <c r="G315" s="124" t="n">
        <f aca="false">VLOOKUP($A315,Table,MATCH(G$4,Curves,0))</f>
        <v>3</v>
      </c>
      <c r="H315" s="125" t="n">
        <f aca="false">G315+$H$7</f>
        <v>3</v>
      </c>
      <c r="I315" s="124" t="n">
        <f aca="false">H315</f>
        <v>3</v>
      </c>
      <c r="J315" s="124" t="n">
        <f aca="false">VLOOKUP($A315,Table,MATCH(J$4,Curves,0))</f>
        <v>4</v>
      </c>
      <c r="K315" s="125" t="n">
        <f aca="false">J315+$K$7</f>
        <v>4</v>
      </c>
      <c r="L315" s="126" t="n">
        <f aca="false">K315</f>
        <v>4</v>
      </c>
      <c r="M315" s="124" t="n">
        <f aca="false">VLOOKUP($A315,Table,MATCH(M$4,Curves,0))</f>
        <v>4</v>
      </c>
      <c r="N315" s="125" t="n">
        <f aca="false">M315+$N$7</f>
        <v>4</v>
      </c>
      <c r="O315" s="126" t="n">
        <v>-0.04</v>
      </c>
      <c r="P315" s="114"/>
      <c r="Q315" s="126" t="n">
        <f aca="false">M315+J315+G315</f>
        <v>11</v>
      </c>
      <c r="R315" s="126" t="n">
        <f aca="false">N315+K315+H315</f>
        <v>11</v>
      </c>
      <c r="S315" s="126" t="n">
        <f aca="false">O315+L315+I315</f>
        <v>6.96</v>
      </c>
      <c r="T315" s="127"/>
      <c r="U315" s="5" t="n">
        <f aca="false">A316-A315</f>
        <v>31</v>
      </c>
      <c r="V315" s="128" t="n">
        <f aca="false">CHOOSE(F$3,A316+24,A315)</f>
        <v>46569</v>
      </c>
      <c r="W315" s="5" t="n">
        <f aca="false">V315-C$3</f>
        <v>9338</v>
      </c>
      <c r="X315" s="124" t="n">
        <f aca="false">VLOOKUP($A315,Table,MATCH(X$4,Curves,0))</f>
        <v>2</v>
      </c>
      <c r="Y315" s="129" t="n">
        <f aca="false">1/(1+CHOOSE(F$3,(X316+($K$3/10000))/2,(X315+($K$3/10000))/2))^(2*W315/365.25)</f>
        <v>4.05232031915025E-016</v>
      </c>
      <c r="Z315" s="5" t="n">
        <f aca="false">IF(AND(mthbeg&lt;=A315,mthend&gt;=A315),1,0)</f>
        <v>0</v>
      </c>
      <c r="AA315" s="5" t="n">
        <f aca="false">U315*Z315</f>
        <v>0</v>
      </c>
      <c r="AC315" s="115" t="n">
        <f aca="false">IF(G308=2,F315*(S315-Q315),F315*(Q315-S315))</f>
        <v>0</v>
      </c>
      <c r="AE315" s="116" t="n">
        <f aca="false">IF($G$3=1,F315*(R315-Q315),F315*(Q315-R315))</f>
        <v>0</v>
      </c>
      <c r="AG315" s="116" t="n">
        <f aca="false">AC315+AE315</f>
        <v>0</v>
      </c>
    </row>
    <row r="316" customFormat="false" ht="12" hidden="false" customHeight="true" outlineLevel="0" collapsed="false">
      <c r="A316" s="120" t="n">
        <f aca="false">EDATE(A315,1)</f>
        <v>46600</v>
      </c>
      <c r="B316" s="121" t="e">
        <f aca="false">VLOOKUP(A316,'Inputs-Summary'!$A$32:$E$41,5,FALSE())</f>
        <v>#N/A</v>
      </c>
      <c r="C316" s="122"/>
      <c r="D316" s="123" t="e">
        <f aca="false">B316+C316</f>
        <v>#N/A</v>
      </c>
      <c r="E316" s="111" t="n">
        <f aca="false">IF(Z316=0,0,IF(AND(Z316=1,$H$3=1),D316*U316,IF($H$3=2,D316,"N/A")))</f>
        <v>0</v>
      </c>
      <c r="F316" s="111" t="n">
        <f aca="false">E316*Y316</f>
        <v>0</v>
      </c>
      <c r="G316" s="124" t="n">
        <f aca="false">VLOOKUP($A316,Table,MATCH(G$4,Curves,0))</f>
        <v>3</v>
      </c>
      <c r="H316" s="125" t="n">
        <f aca="false">G316+$H$7</f>
        <v>3</v>
      </c>
      <c r="I316" s="124" t="n">
        <f aca="false">H316</f>
        <v>3</v>
      </c>
      <c r="J316" s="124" t="n">
        <f aca="false">VLOOKUP($A316,Table,MATCH(J$4,Curves,0))</f>
        <v>4</v>
      </c>
      <c r="K316" s="125" t="n">
        <f aca="false">J316+$K$7</f>
        <v>4</v>
      </c>
      <c r="L316" s="126" t="n">
        <f aca="false">K316</f>
        <v>4</v>
      </c>
      <c r="M316" s="124" t="n">
        <f aca="false">VLOOKUP($A316,Table,MATCH(M$4,Curves,0))</f>
        <v>4</v>
      </c>
      <c r="N316" s="125" t="n">
        <f aca="false">M316+$N$7</f>
        <v>4</v>
      </c>
      <c r="O316" s="126" t="n">
        <v>-0.04</v>
      </c>
      <c r="P316" s="114"/>
      <c r="Q316" s="126" t="n">
        <f aca="false">M316+J316+G316</f>
        <v>11</v>
      </c>
      <c r="R316" s="126" t="n">
        <f aca="false">N316+K316+H316</f>
        <v>11</v>
      </c>
      <c r="S316" s="126" t="n">
        <f aca="false">O316+L316+I316</f>
        <v>6.96</v>
      </c>
      <c r="T316" s="127"/>
      <c r="U316" s="5" t="n">
        <f aca="false">A317-A316</f>
        <v>31</v>
      </c>
      <c r="V316" s="128" t="n">
        <f aca="false">CHOOSE(F$3,A317+24,A316)</f>
        <v>46600</v>
      </c>
      <c r="W316" s="5" t="n">
        <f aca="false">V316-C$3</f>
        <v>9369</v>
      </c>
      <c r="X316" s="124" t="n">
        <f aca="false">VLOOKUP($A316,Table,MATCH(X$4,Curves,0))</f>
        <v>2</v>
      </c>
      <c r="Y316" s="129" t="n">
        <f aca="false">1/(1+CHOOSE(F$3,(X317+($K$3/10000))/2,(X316+($K$3/10000))/2))^(2*W316/365.25)</f>
        <v>3.60250758737417E-016</v>
      </c>
      <c r="Z316" s="5" t="n">
        <f aca="false">IF(AND(mthbeg&lt;=A316,mthend&gt;=A316),1,0)</f>
        <v>0</v>
      </c>
      <c r="AA316" s="5" t="n">
        <f aca="false">U316*Z316</f>
        <v>0</v>
      </c>
      <c r="AC316" s="115" t="n">
        <f aca="false">IF(G309=2,F316*(S316-Q316),F316*(Q316-S316))</f>
        <v>0</v>
      </c>
      <c r="AE316" s="116" t="n">
        <f aca="false">IF($G$3=1,F316*(R316-Q316),F316*(Q316-R316))</f>
        <v>0</v>
      </c>
      <c r="AG316" s="116" t="n">
        <f aca="false">AC316+AE316</f>
        <v>0</v>
      </c>
    </row>
    <row r="317" customFormat="false" ht="12" hidden="false" customHeight="true" outlineLevel="0" collapsed="false">
      <c r="A317" s="120" t="n">
        <f aca="false">EDATE(A316,1)</f>
        <v>46631</v>
      </c>
      <c r="B317" s="121" t="e">
        <f aca="false">VLOOKUP(A317,'Inputs-Summary'!$A$32:$E$41,5,FALSE())</f>
        <v>#N/A</v>
      </c>
      <c r="C317" s="122"/>
      <c r="D317" s="123" t="e">
        <f aca="false">B317+C317</f>
        <v>#N/A</v>
      </c>
      <c r="E317" s="111" t="n">
        <f aca="false">IF(Z317=0,0,IF(AND(Z317=1,$H$3=1),D317*U317,IF($H$3=2,D317,"N/A")))</f>
        <v>0</v>
      </c>
      <c r="F317" s="111" t="n">
        <f aca="false">E317*Y317</f>
        <v>0</v>
      </c>
      <c r="G317" s="124" t="n">
        <f aca="false">VLOOKUP($A317,Table,MATCH(G$4,Curves,0))</f>
        <v>3</v>
      </c>
      <c r="H317" s="125" t="n">
        <f aca="false">G317+$H$7</f>
        <v>3</v>
      </c>
      <c r="I317" s="124" t="n">
        <f aca="false">H317</f>
        <v>3</v>
      </c>
      <c r="J317" s="124" t="n">
        <f aca="false">VLOOKUP($A317,Table,MATCH(J$4,Curves,0))</f>
        <v>4</v>
      </c>
      <c r="K317" s="125" t="n">
        <f aca="false">J317+$K$7</f>
        <v>4</v>
      </c>
      <c r="L317" s="126" t="n">
        <f aca="false">K317</f>
        <v>4</v>
      </c>
      <c r="M317" s="124" t="n">
        <f aca="false">VLOOKUP($A317,Table,MATCH(M$4,Curves,0))</f>
        <v>4</v>
      </c>
      <c r="N317" s="125" t="n">
        <f aca="false">M317+$N$7</f>
        <v>4</v>
      </c>
      <c r="O317" s="126" t="n">
        <v>-0.04</v>
      </c>
      <c r="P317" s="114"/>
      <c r="Q317" s="126" t="n">
        <f aca="false">M317+J317+G317</f>
        <v>11</v>
      </c>
      <c r="R317" s="126" t="n">
        <f aca="false">N317+K317+H317</f>
        <v>11</v>
      </c>
      <c r="S317" s="126" t="n">
        <f aca="false">O317+L317+I317</f>
        <v>6.96</v>
      </c>
      <c r="T317" s="127"/>
      <c r="U317" s="5" t="n">
        <f aca="false">A318-A317</f>
        <v>30</v>
      </c>
      <c r="V317" s="128" t="n">
        <f aca="false">CHOOSE(F$3,A318+24,A317)</f>
        <v>46631</v>
      </c>
      <c r="W317" s="5" t="n">
        <f aca="false">V317-C$3</f>
        <v>9400</v>
      </c>
      <c r="X317" s="124" t="n">
        <f aca="false">VLOOKUP($A317,Table,MATCH(X$4,Curves,0))</f>
        <v>2</v>
      </c>
      <c r="Y317" s="129" t="n">
        <f aca="false">1/(1+CHOOSE(F$3,(X318+($K$3/10000))/2,(X317+($K$3/10000))/2))^(2*W317/365.25)</f>
        <v>3.20262464340674E-016</v>
      </c>
      <c r="Z317" s="5" t="n">
        <f aca="false">IF(AND(mthbeg&lt;=A317,mthend&gt;=A317),1,0)</f>
        <v>0</v>
      </c>
      <c r="AA317" s="5" t="n">
        <f aca="false">U317*Z317</f>
        <v>0</v>
      </c>
      <c r="AC317" s="115" t="n">
        <f aca="false">IF(G310=2,F317*(S317-Q317),F317*(Q317-S317))</f>
        <v>0</v>
      </c>
      <c r="AE317" s="116" t="n">
        <f aca="false">IF($G$3=1,F317*(R317-Q317),F317*(Q317-R317))</f>
        <v>0</v>
      </c>
      <c r="AG317" s="116" t="n">
        <f aca="false">AC317+AE317</f>
        <v>0</v>
      </c>
    </row>
    <row r="318" customFormat="false" ht="12" hidden="false" customHeight="true" outlineLevel="0" collapsed="false">
      <c r="A318" s="120" t="n">
        <f aca="false">EDATE(A317,1)</f>
        <v>46661</v>
      </c>
      <c r="B318" s="121" t="e">
        <f aca="false">VLOOKUP(A318,'Inputs-Summary'!$A$32:$E$41,5,FALSE())</f>
        <v>#N/A</v>
      </c>
      <c r="C318" s="122"/>
      <c r="D318" s="123" t="e">
        <f aca="false">B318+C318</f>
        <v>#N/A</v>
      </c>
      <c r="E318" s="111" t="n">
        <f aca="false">IF(Z318=0,0,IF(AND(Z318=1,$H$3=1),D318*U318,IF($H$3=2,D318,"N/A")))</f>
        <v>0</v>
      </c>
      <c r="F318" s="111" t="n">
        <f aca="false">E318*Y318</f>
        <v>0</v>
      </c>
      <c r="G318" s="124" t="n">
        <f aca="false">VLOOKUP($A318,Table,MATCH(G$4,Curves,0))</f>
        <v>3</v>
      </c>
      <c r="H318" s="125" t="n">
        <f aca="false">G318+$H$7</f>
        <v>3</v>
      </c>
      <c r="I318" s="124" t="n">
        <f aca="false">H318</f>
        <v>3</v>
      </c>
      <c r="J318" s="124" t="n">
        <f aca="false">VLOOKUP($A318,Table,MATCH(J$4,Curves,0))</f>
        <v>4</v>
      </c>
      <c r="K318" s="125" t="n">
        <f aca="false">J318+$K$7</f>
        <v>4</v>
      </c>
      <c r="L318" s="126" t="n">
        <f aca="false">K318</f>
        <v>4</v>
      </c>
      <c r="M318" s="124" t="n">
        <f aca="false">VLOOKUP($A318,Table,MATCH(M$4,Curves,0))</f>
        <v>4</v>
      </c>
      <c r="N318" s="125" t="n">
        <f aca="false">M318+$N$7</f>
        <v>4</v>
      </c>
      <c r="O318" s="126" t="n">
        <v>-0.04</v>
      </c>
      <c r="P318" s="114"/>
      <c r="Q318" s="126" t="n">
        <f aca="false">M318+J318+G318</f>
        <v>11</v>
      </c>
      <c r="R318" s="126" t="n">
        <f aca="false">N318+K318+H318</f>
        <v>11</v>
      </c>
      <c r="S318" s="126" t="n">
        <f aca="false">O318+L318+I318</f>
        <v>6.96</v>
      </c>
      <c r="T318" s="127"/>
      <c r="U318" s="5" t="n">
        <f aca="false">A319-A318</f>
        <v>31</v>
      </c>
      <c r="V318" s="128" t="n">
        <f aca="false">CHOOSE(F$3,A319+24,A318)</f>
        <v>46661</v>
      </c>
      <c r="W318" s="5" t="n">
        <f aca="false">V318-C$3</f>
        <v>9430</v>
      </c>
      <c r="X318" s="124" t="n">
        <f aca="false">VLOOKUP($A318,Table,MATCH(X$4,Curves,0))</f>
        <v>2</v>
      </c>
      <c r="Y318" s="129" t="n">
        <f aca="false">1/(1+CHOOSE(F$3,(X319+($K$3/10000))/2,(X318+($K$3/10000))/2))^(2*W318/365.25)</f>
        <v>2.85795593554668E-016</v>
      </c>
      <c r="Z318" s="5" t="n">
        <f aca="false">IF(AND(mthbeg&lt;=A318,mthend&gt;=A318),1,0)</f>
        <v>0</v>
      </c>
      <c r="AA318" s="5" t="n">
        <f aca="false">U318*Z318</f>
        <v>0</v>
      </c>
      <c r="AC318" s="115" t="n">
        <f aca="false">IF(G311=2,F318*(S318-Q318),F318*(Q318-S318))</f>
        <v>0</v>
      </c>
      <c r="AE318" s="116" t="n">
        <f aca="false">IF($G$3=1,F318*(R318-Q318),F318*(Q318-R318))</f>
        <v>0</v>
      </c>
      <c r="AG318" s="116" t="n">
        <f aca="false">AC318+AE318</f>
        <v>0</v>
      </c>
    </row>
    <row r="319" customFormat="false" ht="12" hidden="false" customHeight="true" outlineLevel="0" collapsed="false">
      <c r="A319" s="120" t="n">
        <f aca="false">EDATE(A318,1)</f>
        <v>46692</v>
      </c>
      <c r="B319" s="121" t="e">
        <f aca="false">VLOOKUP(A319,'Inputs-Summary'!$A$32:$E$41,5,FALSE())</f>
        <v>#N/A</v>
      </c>
      <c r="C319" s="122"/>
      <c r="D319" s="123" t="e">
        <f aca="false">B319+C319</f>
        <v>#N/A</v>
      </c>
      <c r="E319" s="111" t="n">
        <f aca="false">IF(Z319=0,0,IF(AND(Z319=1,$H$3=1),D319*U319,IF($H$3=2,D319,"N/A")))</f>
        <v>0</v>
      </c>
      <c r="F319" s="111" t="n">
        <f aca="false">E319*Y319</f>
        <v>0</v>
      </c>
      <c r="G319" s="124" t="n">
        <f aca="false">VLOOKUP($A319,Table,MATCH(G$4,Curves,0))</f>
        <v>3</v>
      </c>
      <c r="H319" s="125" t="n">
        <f aca="false">G319+$H$7</f>
        <v>3</v>
      </c>
      <c r="I319" s="124" t="n">
        <f aca="false">H319</f>
        <v>3</v>
      </c>
      <c r="J319" s="124" t="n">
        <f aca="false">VLOOKUP($A319,Table,MATCH(J$4,Curves,0))</f>
        <v>4</v>
      </c>
      <c r="K319" s="125" t="n">
        <f aca="false">J319+$K$7</f>
        <v>4</v>
      </c>
      <c r="L319" s="126" t="n">
        <f aca="false">K319</f>
        <v>4</v>
      </c>
      <c r="M319" s="124" t="n">
        <f aca="false">VLOOKUP($A319,Table,MATCH(M$4,Curves,0))</f>
        <v>4</v>
      </c>
      <c r="N319" s="125" t="n">
        <f aca="false">M319+$N$7</f>
        <v>4</v>
      </c>
      <c r="O319" s="126" t="n">
        <v>-0.04</v>
      </c>
      <c r="P319" s="114"/>
      <c r="Q319" s="126" t="n">
        <f aca="false">M319+J319+G319</f>
        <v>11</v>
      </c>
      <c r="R319" s="126" t="n">
        <f aca="false">N319+K319+H319</f>
        <v>11</v>
      </c>
      <c r="S319" s="126" t="n">
        <f aca="false">O319+L319+I319</f>
        <v>6.96</v>
      </c>
      <c r="T319" s="127"/>
      <c r="U319" s="5" t="n">
        <f aca="false">A320-A319</f>
        <v>30</v>
      </c>
      <c r="V319" s="128" t="n">
        <f aca="false">CHOOSE(F$3,A320+24,A319)</f>
        <v>46692</v>
      </c>
      <c r="W319" s="5" t="n">
        <f aca="false">V319-C$3</f>
        <v>9461</v>
      </c>
      <c r="X319" s="124" t="n">
        <f aca="false">VLOOKUP($A319,Table,MATCH(X$4,Curves,0))</f>
        <v>2</v>
      </c>
      <c r="Y319" s="129" t="n">
        <f aca="false">1/(1+CHOOSE(F$3,(X320+($K$3/10000))/2,(X319+($K$3/10000))/2))^(2*W319/365.25)</f>
        <v>2.54071917600703E-016</v>
      </c>
      <c r="Z319" s="5" t="n">
        <f aca="false">IF(AND(mthbeg&lt;=A319,mthend&gt;=A319),1,0)</f>
        <v>0</v>
      </c>
      <c r="AA319" s="5" t="n">
        <f aca="false">U319*Z319</f>
        <v>0</v>
      </c>
      <c r="AC319" s="115" t="n">
        <f aca="false">IF(G312=2,F319*(S319-Q319),F319*(Q319-S319))</f>
        <v>0</v>
      </c>
      <c r="AE319" s="116" t="n">
        <f aca="false">IF($G$3=1,F319*(R319-Q319),F319*(Q319-R319))</f>
        <v>0</v>
      </c>
      <c r="AG319" s="116" t="n">
        <f aca="false">AC319+AE319</f>
        <v>0</v>
      </c>
    </row>
    <row r="320" customFormat="false" ht="12" hidden="false" customHeight="true" outlineLevel="0" collapsed="false">
      <c r="A320" s="120" t="n">
        <f aca="false">EDATE(A319,1)</f>
        <v>46722</v>
      </c>
      <c r="B320" s="121" t="e">
        <f aca="false">VLOOKUP(A320,'Inputs-Summary'!$A$32:$E$41,5,FALSE())</f>
        <v>#N/A</v>
      </c>
      <c r="C320" s="122"/>
      <c r="D320" s="123" t="e">
        <f aca="false">B320+C320</f>
        <v>#N/A</v>
      </c>
      <c r="E320" s="111" t="n">
        <f aca="false">IF(Z320=0,0,IF(AND(Z320=1,$H$3=1),D320*U320,IF($H$3=2,D320,"N/A")))</f>
        <v>0</v>
      </c>
      <c r="F320" s="111" t="n">
        <f aca="false">E320*Y320</f>
        <v>0</v>
      </c>
      <c r="G320" s="124" t="n">
        <f aca="false">VLOOKUP($A320,Table,MATCH(G$4,Curves,0))</f>
        <v>3</v>
      </c>
      <c r="H320" s="125" t="n">
        <f aca="false">G320+$H$7</f>
        <v>3</v>
      </c>
      <c r="I320" s="124" t="n">
        <f aca="false">H320</f>
        <v>3</v>
      </c>
      <c r="J320" s="124" t="n">
        <f aca="false">VLOOKUP($A320,Table,MATCH(J$4,Curves,0))</f>
        <v>4</v>
      </c>
      <c r="K320" s="125" t="n">
        <f aca="false">J320+$K$7</f>
        <v>4</v>
      </c>
      <c r="L320" s="126" t="n">
        <f aca="false">K320</f>
        <v>4</v>
      </c>
      <c r="M320" s="124" t="n">
        <f aca="false">VLOOKUP($A320,Table,MATCH(M$4,Curves,0))</f>
        <v>4</v>
      </c>
      <c r="N320" s="125" t="n">
        <f aca="false">M320+$N$7</f>
        <v>4</v>
      </c>
      <c r="O320" s="126" t="n">
        <v>-0.04</v>
      </c>
      <c r="P320" s="114"/>
      <c r="Q320" s="126" t="n">
        <f aca="false">M320+J320+G320</f>
        <v>11</v>
      </c>
      <c r="R320" s="126" t="n">
        <f aca="false">N320+K320+H320</f>
        <v>11</v>
      </c>
      <c r="S320" s="126" t="n">
        <f aca="false">O320+L320+I320</f>
        <v>6.96</v>
      </c>
      <c r="T320" s="127"/>
      <c r="U320" s="5" t="n">
        <f aca="false">A321-A320</f>
        <v>31</v>
      </c>
      <c r="V320" s="128" t="n">
        <f aca="false">CHOOSE(F$3,A321+24,A320)</f>
        <v>46722</v>
      </c>
      <c r="W320" s="5" t="n">
        <f aca="false">V320-C$3</f>
        <v>9491</v>
      </c>
      <c r="X320" s="124" t="n">
        <f aca="false">VLOOKUP($A320,Table,MATCH(X$4,Curves,0))</f>
        <v>2</v>
      </c>
      <c r="Y320" s="129" t="n">
        <f aca="false">1/(1+CHOOSE(F$3,(X321+($K$3/10000))/2,(X320+($K$3/10000))/2))^(2*W320/365.25)</f>
        <v>2.26728519827491E-016</v>
      </c>
      <c r="Z320" s="5" t="n">
        <f aca="false">IF(AND(mthbeg&lt;=A320,mthend&gt;=A320),1,0)</f>
        <v>0</v>
      </c>
      <c r="AA320" s="5" t="n">
        <f aca="false">U320*Z320</f>
        <v>0</v>
      </c>
      <c r="AC320" s="115" t="n">
        <f aca="false">IF(G313=2,F320*(S320-Q320),F320*(Q320-S320))</f>
        <v>0</v>
      </c>
      <c r="AE320" s="116" t="n">
        <f aca="false">IF($G$3=1,F320*(R320-Q320),F320*(Q320-R320))</f>
        <v>0</v>
      </c>
      <c r="AG320" s="116" t="n">
        <f aca="false">AC320+AE320</f>
        <v>0</v>
      </c>
    </row>
    <row r="321" customFormat="false" ht="12" hidden="false" customHeight="true" outlineLevel="0" collapsed="false">
      <c r="A321" s="120" t="n">
        <f aca="false">EDATE(A320,1)</f>
        <v>46753</v>
      </c>
      <c r="B321" s="121" t="e">
        <f aca="false">VLOOKUP(A321,'Inputs-Summary'!$A$32:$E$41,5,FALSE())</f>
        <v>#N/A</v>
      </c>
      <c r="C321" s="122"/>
      <c r="D321" s="123" t="e">
        <f aca="false">B321+C321</f>
        <v>#N/A</v>
      </c>
      <c r="E321" s="111" t="n">
        <f aca="false">IF(Z321=0,0,IF(AND(Z321=1,$H$3=1),D321*U321,IF($H$3=2,D321,"N/A")))</f>
        <v>0</v>
      </c>
      <c r="F321" s="111" t="n">
        <f aca="false">E321*Y321</f>
        <v>0</v>
      </c>
      <c r="G321" s="124" t="n">
        <f aca="false">VLOOKUP($A321,Table,MATCH(G$4,Curves,0))</f>
        <v>3</v>
      </c>
      <c r="H321" s="125" t="n">
        <f aca="false">G321+$H$7</f>
        <v>3</v>
      </c>
      <c r="I321" s="124" t="n">
        <f aca="false">H321</f>
        <v>3</v>
      </c>
      <c r="J321" s="124" t="n">
        <f aca="false">VLOOKUP($A321,Table,MATCH(J$4,Curves,0))</f>
        <v>4</v>
      </c>
      <c r="K321" s="125" t="n">
        <f aca="false">J321+$K$7</f>
        <v>4</v>
      </c>
      <c r="L321" s="126" t="n">
        <f aca="false">K321</f>
        <v>4</v>
      </c>
      <c r="M321" s="124" t="n">
        <f aca="false">VLOOKUP($A321,Table,MATCH(M$4,Curves,0))</f>
        <v>4</v>
      </c>
      <c r="N321" s="125" t="n">
        <f aca="false">M321+$N$7</f>
        <v>4</v>
      </c>
      <c r="O321" s="126" t="n">
        <v>-0.04</v>
      </c>
      <c r="P321" s="114"/>
      <c r="Q321" s="126" t="n">
        <f aca="false">M321+J321+G321</f>
        <v>11</v>
      </c>
      <c r="R321" s="126" t="n">
        <f aca="false">N321+K321+H321</f>
        <v>11</v>
      </c>
      <c r="S321" s="126" t="n">
        <f aca="false">O321+L321+I321</f>
        <v>6.96</v>
      </c>
      <c r="T321" s="127"/>
      <c r="U321" s="5" t="n">
        <f aca="false">A322-A321</f>
        <v>31</v>
      </c>
      <c r="V321" s="128" t="n">
        <f aca="false">CHOOSE(F$3,A322+24,A321)</f>
        <v>46753</v>
      </c>
      <c r="W321" s="5" t="n">
        <f aca="false">V321-C$3</f>
        <v>9522</v>
      </c>
      <c r="X321" s="124" t="n">
        <f aca="false">VLOOKUP($A321,Table,MATCH(X$4,Curves,0))</f>
        <v>2</v>
      </c>
      <c r="Y321" s="129" t="n">
        <f aca="false">1/(1+CHOOSE(F$3,(X322+($K$3/10000))/2,(X321+($K$3/10000))/2))^(2*W321/365.25)</f>
        <v>2.01561364508304E-016</v>
      </c>
      <c r="Z321" s="5" t="n">
        <f aca="false">IF(AND(mthbeg&lt;=A321,mthend&gt;=A321),1,0)</f>
        <v>0</v>
      </c>
      <c r="AA321" s="5" t="n">
        <f aca="false">U321*Z321</f>
        <v>0</v>
      </c>
      <c r="AC321" s="115" t="n">
        <f aca="false">IF(G314=2,F321*(S321-Q321),F321*(Q321-S321))</f>
        <v>0</v>
      </c>
      <c r="AE321" s="116" t="n">
        <f aca="false">IF($G$3=1,F321*(R321-Q321),F321*(Q321-R321))</f>
        <v>0</v>
      </c>
      <c r="AG321" s="116" t="n">
        <f aca="false">AC321+AE321</f>
        <v>0</v>
      </c>
    </row>
    <row r="322" customFormat="false" ht="12" hidden="false" customHeight="true" outlineLevel="0" collapsed="false">
      <c r="A322" s="120" t="n">
        <f aca="false">EDATE(A321,1)</f>
        <v>46784</v>
      </c>
      <c r="B322" s="121" t="e">
        <f aca="false">VLOOKUP(A322,'Inputs-Summary'!$A$32:$E$41,5,FALSE())</f>
        <v>#N/A</v>
      </c>
      <c r="C322" s="122"/>
      <c r="D322" s="123" t="e">
        <f aca="false">B322+C322</f>
        <v>#N/A</v>
      </c>
      <c r="E322" s="111" t="n">
        <f aca="false">IF(Z322=0,0,IF(AND(Z322=1,$H$3=1),D322*U322,IF($H$3=2,D322,"N/A")))</f>
        <v>0</v>
      </c>
      <c r="F322" s="111" t="n">
        <f aca="false">E322*Y322</f>
        <v>0</v>
      </c>
      <c r="G322" s="124" t="n">
        <f aca="false">VLOOKUP($A322,Table,MATCH(G$4,Curves,0))</f>
        <v>3</v>
      </c>
      <c r="H322" s="125" t="n">
        <f aca="false">G322+$H$7</f>
        <v>3</v>
      </c>
      <c r="I322" s="124" t="n">
        <f aca="false">H322</f>
        <v>3</v>
      </c>
      <c r="J322" s="124" t="n">
        <f aca="false">VLOOKUP($A322,Table,MATCH(J$4,Curves,0))</f>
        <v>4</v>
      </c>
      <c r="K322" s="125" t="n">
        <f aca="false">J322+$K$7</f>
        <v>4</v>
      </c>
      <c r="L322" s="126" t="n">
        <f aca="false">K322</f>
        <v>4</v>
      </c>
      <c r="M322" s="124" t="n">
        <f aca="false">VLOOKUP($A322,Table,MATCH(M$4,Curves,0))</f>
        <v>4</v>
      </c>
      <c r="N322" s="125" t="n">
        <f aca="false">M322+$N$7</f>
        <v>4</v>
      </c>
      <c r="O322" s="126" t="n">
        <v>-0.04</v>
      </c>
      <c r="P322" s="114"/>
      <c r="Q322" s="126" t="n">
        <f aca="false">M322+J322+G322</f>
        <v>11</v>
      </c>
      <c r="R322" s="126" t="n">
        <f aca="false">N322+K322+H322</f>
        <v>11</v>
      </c>
      <c r="S322" s="126" t="n">
        <f aca="false">O322+L322+I322</f>
        <v>6.96</v>
      </c>
      <c r="T322" s="127"/>
      <c r="U322" s="5" t="n">
        <f aca="false">A323-A322</f>
        <v>29</v>
      </c>
      <c r="V322" s="128" t="n">
        <f aca="false">CHOOSE(F$3,A323+24,A322)</f>
        <v>46784</v>
      </c>
      <c r="W322" s="5" t="n">
        <f aca="false">V322-C$3</f>
        <v>9553</v>
      </c>
      <c r="X322" s="124" t="n">
        <f aca="false">VLOOKUP($A322,Table,MATCH(X$4,Curves,0))</f>
        <v>2</v>
      </c>
      <c r="Y322" s="129" t="n">
        <f aca="false">1/(1+CHOOSE(F$3,(X323+($K$3/10000))/2,(X322+($K$3/10000))/2))^(2*W322/365.25)</f>
        <v>1.79187795577552E-016</v>
      </c>
      <c r="Z322" s="5" t="n">
        <f aca="false">IF(AND(mthbeg&lt;=A322,mthend&gt;=A322),1,0)</f>
        <v>0</v>
      </c>
      <c r="AA322" s="5" t="n">
        <f aca="false">U322*Z322</f>
        <v>0</v>
      </c>
      <c r="AC322" s="115" t="n">
        <f aca="false">IF(G315=2,F322*(S322-Q322),F322*(Q322-S322))</f>
        <v>0</v>
      </c>
      <c r="AE322" s="116" t="n">
        <f aca="false">IF($G$3=1,F322*(R322-Q322),F322*(Q322-R322))</f>
        <v>0</v>
      </c>
      <c r="AG322" s="116" t="n">
        <f aca="false">AC322+AE322</f>
        <v>0</v>
      </c>
    </row>
    <row r="323" customFormat="false" ht="12" hidden="false" customHeight="true" outlineLevel="0" collapsed="false">
      <c r="A323" s="120" t="n">
        <f aca="false">EDATE(A322,1)</f>
        <v>46813</v>
      </c>
      <c r="B323" s="121" t="e">
        <f aca="false">VLOOKUP(A323,'Inputs-Summary'!$A$32:$E$41,5,FALSE())</f>
        <v>#N/A</v>
      </c>
      <c r="C323" s="122"/>
      <c r="D323" s="123" t="e">
        <f aca="false">B323+C323</f>
        <v>#N/A</v>
      </c>
      <c r="E323" s="111" t="n">
        <f aca="false">IF(Z323=0,0,IF(AND(Z323=1,$H$3=1),D323*U323,IF($H$3=2,D323,"N/A")))</f>
        <v>0</v>
      </c>
      <c r="F323" s="111" t="n">
        <f aca="false">E323*Y323</f>
        <v>0</v>
      </c>
      <c r="G323" s="124" t="n">
        <f aca="false">VLOOKUP($A323,Table,MATCH(G$4,Curves,0))</f>
        <v>3</v>
      </c>
      <c r="H323" s="125" t="n">
        <f aca="false">G323+$H$7</f>
        <v>3</v>
      </c>
      <c r="I323" s="124" t="n">
        <f aca="false">H323</f>
        <v>3</v>
      </c>
      <c r="J323" s="124" t="n">
        <f aca="false">VLOOKUP($A323,Table,MATCH(J$4,Curves,0))</f>
        <v>4</v>
      </c>
      <c r="K323" s="125" t="n">
        <f aca="false">J323+$K$7</f>
        <v>4</v>
      </c>
      <c r="L323" s="126" t="n">
        <f aca="false">K323</f>
        <v>4</v>
      </c>
      <c r="M323" s="124" t="n">
        <f aca="false">VLOOKUP($A323,Table,MATCH(M$4,Curves,0))</f>
        <v>4</v>
      </c>
      <c r="N323" s="125" t="n">
        <f aca="false">M323+$N$7</f>
        <v>4</v>
      </c>
      <c r="O323" s="126" t="n">
        <v>-0.04</v>
      </c>
      <c r="P323" s="114"/>
      <c r="Q323" s="126" t="n">
        <f aca="false">M323+J323+G323</f>
        <v>11</v>
      </c>
      <c r="R323" s="126" t="n">
        <f aca="false">N323+K323+H323</f>
        <v>11</v>
      </c>
      <c r="S323" s="126" t="n">
        <f aca="false">O323+L323+I323</f>
        <v>6.96</v>
      </c>
      <c r="T323" s="127"/>
      <c r="U323" s="5" t="n">
        <f aca="false">A324-A323</f>
        <v>31</v>
      </c>
      <c r="V323" s="128" t="n">
        <f aca="false">CHOOSE(F$3,A324+24,A323)</f>
        <v>46813</v>
      </c>
      <c r="W323" s="5" t="n">
        <f aca="false">V323-C$3</f>
        <v>9582</v>
      </c>
      <c r="X323" s="124" t="n">
        <f aca="false">VLOOKUP($A323,Table,MATCH(X$4,Curves,0))</f>
        <v>2</v>
      </c>
      <c r="Y323" s="129" t="n">
        <f aca="false">1/(1+CHOOSE(F$3,(X324+($K$3/10000))/2,(X323+($K$3/10000))/2))^(2*W323/365.25)</f>
        <v>1.60511541085511E-016</v>
      </c>
      <c r="Z323" s="5" t="n">
        <f aca="false">IF(AND(mthbeg&lt;=A323,mthend&gt;=A323),1,0)</f>
        <v>0</v>
      </c>
      <c r="AA323" s="5" t="n">
        <f aca="false">U323*Z323</f>
        <v>0</v>
      </c>
      <c r="AC323" s="115" t="n">
        <f aca="false">IF(G316=2,F323*(S323-Q323),F323*(Q323-S323))</f>
        <v>0</v>
      </c>
      <c r="AE323" s="116" t="n">
        <f aca="false">IF($G$3=1,F323*(R323-Q323),F323*(Q323-R323))</f>
        <v>0</v>
      </c>
      <c r="AG323" s="116" t="n">
        <f aca="false">AC323+AE323</f>
        <v>0</v>
      </c>
    </row>
    <row r="324" customFormat="false" ht="12" hidden="false" customHeight="true" outlineLevel="0" collapsed="false">
      <c r="A324" s="120" t="n">
        <f aca="false">EDATE(A323,1)</f>
        <v>46844</v>
      </c>
      <c r="B324" s="121" t="e">
        <f aca="false">VLOOKUP(A324,'Inputs-Summary'!$A$32:$E$41,5,FALSE())</f>
        <v>#N/A</v>
      </c>
      <c r="C324" s="122"/>
      <c r="D324" s="123" t="e">
        <f aca="false">B324+C324</f>
        <v>#N/A</v>
      </c>
      <c r="E324" s="111" t="n">
        <f aca="false">IF(Z324=0,0,IF(AND(Z324=1,$H$3=1),D324*U324,IF($H$3=2,D324,"N/A")))</f>
        <v>0</v>
      </c>
      <c r="F324" s="111" t="n">
        <f aca="false">E324*Y324</f>
        <v>0</v>
      </c>
      <c r="G324" s="124" t="n">
        <f aca="false">VLOOKUP($A324,Table,MATCH(G$4,Curves,0))</f>
        <v>3</v>
      </c>
      <c r="H324" s="125" t="n">
        <f aca="false">G324+$H$7</f>
        <v>3</v>
      </c>
      <c r="I324" s="124" t="n">
        <f aca="false">H324</f>
        <v>3</v>
      </c>
      <c r="J324" s="124" t="n">
        <f aca="false">VLOOKUP($A324,Table,MATCH(J$4,Curves,0))</f>
        <v>4</v>
      </c>
      <c r="K324" s="125" t="n">
        <f aca="false">J324+$K$7</f>
        <v>4</v>
      </c>
      <c r="L324" s="126" t="n">
        <f aca="false">K324</f>
        <v>4</v>
      </c>
      <c r="M324" s="124" t="n">
        <f aca="false">VLOOKUP($A324,Table,MATCH(M$4,Curves,0))</f>
        <v>4</v>
      </c>
      <c r="N324" s="125" t="n">
        <f aca="false">M324+$N$7</f>
        <v>4</v>
      </c>
      <c r="O324" s="126" t="n">
        <v>-0.04</v>
      </c>
      <c r="P324" s="114"/>
      <c r="Q324" s="126" t="n">
        <f aca="false">M324+J324+G324</f>
        <v>11</v>
      </c>
      <c r="R324" s="126" t="n">
        <f aca="false">N324+K324+H324</f>
        <v>11</v>
      </c>
      <c r="S324" s="126" t="n">
        <f aca="false">O324+L324+I324</f>
        <v>6.96</v>
      </c>
      <c r="T324" s="127"/>
      <c r="U324" s="5" t="n">
        <f aca="false">A325-A324</f>
        <v>30</v>
      </c>
      <c r="V324" s="128" t="n">
        <f aca="false">CHOOSE(F$3,A325+24,A324)</f>
        <v>46844</v>
      </c>
      <c r="W324" s="5" t="n">
        <f aca="false">V324-C$3</f>
        <v>9613</v>
      </c>
      <c r="X324" s="124" t="n">
        <f aca="false">VLOOKUP($A324,Table,MATCH(X$4,Curves,0))</f>
        <v>2</v>
      </c>
      <c r="Y324" s="129" t="n">
        <f aca="false">1/(1+CHOOSE(F$3,(X325+($K$3/10000))/2,(X324+($K$3/10000))/2))^(2*W324/365.25)</f>
        <v>1.42694554990887E-016</v>
      </c>
      <c r="Z324" s="5" t="n">
        <f aca="false">IF(AND(mthbeg&lt;=A324,mthend&gt;=A324),1,0)</f>
        <v>0</v>
      </c>
      <c r="AA324" s="5" t="n">
        <f aca="false">U324*Z324</f>
        <v>0</v>
      </c>
      <c r="AC324" s="115" t="n">
        <f aca="false">IF(G317=2,F324*(S324-Q324),F324*(Q324-S324))</f>
        <v>0</v>
      </c>
      <c r="AE324" s="116" t="n">
        <f aca="false">IF($G$3=1,F324*(R324-Q324),F324*(Q324-R324))</f>
        <v>0</v>
      </c>
      <c r="AG324" s="116" t="n">
        <f aca="false">AC324+AE324</f>
        <v>0</v>
      </c>
    </row>
    <row r="325" customFormat="false" ht="12" hidden="false" customHeight="true" outlineLevel="0" collapsed="false">
      <c r="A325" s="120" t="n">
        <f aca="false">EDATE(A324,1)</f>
        <v>46874</v>
      </c>
      <c r="B325" s="121" t="e">
        <f aca="false">VLOOKUP(A325,'Inputs-Summary'!$A$32:$E$41,5,FALSE())</f>
        <v>#N/A</v>
      </c>
      <c r="C325" s="122"/>
      <c r="D325" s="123" t="e">
        <f aca="false">B325+C325</f>
        <v>#N/A</v>
      </c>
      <c r="E325" s="111" t="n">
        <f aca="false">IF(Z325=0,0,IF(AND(Z325=1,$H$3=1),D325*U325,IF($H$3=2,D325,"N/A")))</f>
        <v>0</v>
      </c>
      <c r="F325" s="111" t="n">
        <f aca="false">E325*Y325</f>
        <v>0</v>
      </c>
      <c r="G325" s="124" t="n">
        <f aca="false">VLOOKUP($A325,Table,MATCH(G$4,Curves,0))</f>
        <v>3</v>
      </c>
      <c r="H325" s="125" t="n">
        <f aca="false">G325+$H$7</f>
        <v>3</v>
      </c>
      <c r="I325" s="124" t="n">
        <f aca="false">H325</f>
        <v>3</v>
      </c>
      <c r="J325" s="124" t="n">
        <f aca="false">VLOOKUP($A325,Table,MATCH(J$4,Curves,0))</f>
        <v>4</v>
      </c>
      <c r="K325" s="125" t="n">
        <f aca="false">J325+$K$7</f>
        <v>4</v>
      </c>
      <c r="L325" s="126" t="n">
        <f aca="false">K325</f>
        <v>4</v>
      </c>
      <c r="M325" s="124" t="n">
        <f aca="false">VLOOKUP($A325,Table,MATCH(M$4,Curves,0))</f>
        <v>4</v>
      </c>
      <c r="N325" s="125" t="n">
        <f aca="false">M325+$N$7</f>
        <v>4</v>
      </c>
      <c r="O325" s="126" t="n">
        <v>-0.04</v>
      </c>
      <c r="P325" s="114"/>
      <c r="Q325" s="126" t="n">
        <f aca="false">M325+J325+G325</f>
        <v>11</v>
      </c>
      <c r="R325" s="126" t="n">
        <f aca="false">N325+K325+H325</f>
        <v>11</v>
      </c>
      <c r="S325" s="126" t="n">
        <f aca="false">O325+L325+I325</f>
        <v>6.96</v>
      </c>
      <c r="T325" s="127"/>
      <c r="U325" s="5" t="n">
        <f aca="false">A326-A325</f>
        <v>31</v>
      </c>
      <c r="V325" s="128" t="n">
        <f aca="false">CHOOSE(F$3,A326+24,A325)</f>
        <v>46874</v>
      </c>
      <c r="W325" s="5" t="n">
        <f aca="false">V325-C$3</f>
        <v>9643</v>
      </c>
      <c r="X325" s="124" t="n">
        <f aca="false">VLOOKUP($A325,Table,MATCH(X$4,Curves,0))</f>
        <v>2</v>
      </c>
      <c r="Y325" s="129" t="n">
        <f aca="false">1/(1+CHOOSE(F$3,(X326+($K$3/10000))/2,(X325+($K$3/10000))/2))^(2*W325/365.25)</f>
        <v>1.27337667011952E-016</v>
      </c>
      <c r="Z325" s="5" t="n">
        <f aca="false">IF(AND(mthbeg&lt;=A325,mthend&gt;=A325),1,0)</f>
        <v>0</v>
      </c>
      <c r="AA325" s="5" t="n">
        <f aca="false">U325*Z325</f>
        <v>0</v>
      </c>
      <c r="AC325" s="115" t="n">
        <f aca="false">IF(G318=2,F325*(S325-Q325),F325*(Q325-S325))</f>
        <v>0</v>
      </c>
      <c r="AE325" s="116" t="n">
        <f aca="false">IF($G$3=1,F325*(R325-Q325),F325*(Q325-R325))</f>
        <v>0</v>
      </c>
      <c r="AG325" s="116" t="n">
        <f aca="false">AC325+AE325</f>
        <v>0</v>
      </c>
    </row>
    <row r="326" customFormat="false" ht="12" hidden="false" customHeight="true" outlineLevel="0" collapsed="false">
      <c r="A326" s="120" t="n">
        <f aca="false">EDATE(A325,1)</f>
        <v>46905</v>
      </c>
      <c r="B326" s="121" t="e">
        <f aca="false">VLOOKUP(A326,'Inputs-Summary'!$A$32:$E$41,5,FALSE())</f>
        <v>#N/A</v>
      </c>
      <c r="C326" s="122"/>
      <c r="D326" s="123" t="e">
        <f aca="false">B326+C326</f>
        <v>#N/A</v>
      </c>
      <c r="E326" s="111" t="n">
        <f aca="false">IF(Z326=0,0,IF(AND(Z326=1,$H$3=1),D326*U326,IF($H$3=2,D326,"N/A")))</f>
        <v>0</v>
      </c>
      <c r="F326" s="111" t="n">
        <f aca="false">E326*Y326</f>
        <v>0</v>
      </c>
      <c r="G326" s="124" t="n">
        <f aca="false">VLOOKUP($A326,Table,MATCH(G$4,Curves,0))</f>
        <v>3</v>
      </c>
      <c r="H326" s="125" t="n">
        <f aca="false">G326+$H$7</f>
        <v>3</v>
      </c>
      <c r="I326" s="124" t="n">
        <f aca="false">H326</f>
        <v>3</v>
      </c>
      <c r="J326" s="124" t="n">
        <f aca="false">VLOOKUP($A326,Table,MATCH(J$4,Curves,0))</f>
        <v>4</v>
      </c>
      <c r="K326" s="125" t="n">
        <f aca="false">J326+$K$7</f>
        <v>4</v>
      </c>
      <c r="L326" s="126" t="n">
        <f aca="false">K326</f>
        <v>4</v>
      </c>
      <c r="M326" s="124" t="n">
        <f aca="false">VLOOKUP($A326,Table,MATCH(M$4,Curves,0))</f>
        <v>4</v>
      </c>
      <c r="N326" s="125" t="n">
        <f aca="false">M326+$N$7</f>
        <v>4</v>
      </c>
      <c r="O326" s="126" t="n">
        <v>-0.04</v>
      </c>
      <c r="P326" s="114"/>
      <c r="Q326" s="126" t="n">
        <f aca="false">M326+J326+G326</f>
        <v>11</v>
      </c>
      <c r="R326" s="126" t="n">
        <f aca="false">N326+K326+H326</f>
        <v>11</v>
      </c>
      <c r="S326" s="126" t="n">
        <f aca="false">O326+L326+I326</f>
        <v>6.96</v>
      </c>
      <c r="T326" s="127"/>
      <c r="U326" s="5" t="n">
        <f aca="false">A327-A326</f>
        <v>30</v>
      </c>
      <c r="V326" s="128" t="n">
        <f aca="false">CHOOSE(F$3,A327+24,A326)</f>
        <v>46905</v>
      </c>
      <c r="W326" s="5" t="n">
        <f aca="false">V326-C$3</f>
        <v>9674</v>
      </c>
      <c r="X326" s="124" t="n">
        <f aca="false">VLOOKUP($A326,Table,MATCH(X$4,Curves,0))</f>
        <v>2</v>
      </c>
      <c r="Y326" s="129" t="n">
        <f aca="false">1/(1+CHOOSE(F$3,(X327+($K$3/10000))/2,(X326+($K$3/10000))/2))^(2*W326/365.25)</f>
        <v>1.13203023315115E-016</v>
      </c>
      <c r="Z326" s="5" t="n">
        <f aca="false">IF(AND(mthbeg&lt;=A326,mthend&gt;=A326),1,0)</f>
        <v>0</v>
      </c>
      <c r="AA326" s="5" t="n">
        <f aca="false">U326*Z326</f>
        <v>0</v>
      </c>
      <c r="AC326" s="115" t="n">
        <f aca="false">IF(G319=2,F326*(S326-Q326),F326*(Q326-S326))</f>
        <v>0</v>
      </c>
      <c r="AE326" s="116" t="n">
        <f aca="false">IF($G$3=1,F326*(R326-Q326),F326*(Q326-R326))</f>
        <v>0</v>
      </c>
      <c r="AG326" s="116" t="n">
        <f aca="false">AC326+AE326</f>
        <v>0</v>
      </c>
    </row>
    <row r="327" customFormat="false" ht="12" hidden="false" customHeight="true" outlineLevel="0" collapsed="false">
      <c r="A327" s="120" t="n">
        <f aca="false">EDATE(A326,1)</f>
        <v>46935</v>
      </c>
      <c r="B327" s="121" t="e">
        <f aca="false">VLOOKUP(A327,'Inputs-Summary'!$A$32:$E$41,5,FALSE())</f>
        <v>#N/A</v>
      </c>
      <c r="C327" s="122"/>
      <c r="D327" s="123" t="e">
        <f aca="false">B327+C327</f>
        <v>#N/A</v>
      </c>
      <c r="E327" s="111" t="n">
        <f aca="false">IF(Z327=0,0,IF(AND(Z327=1,$H$3=1),D327*U327,IF($H$3=2,D327,"N/A")))</f>
        <v>0</v>
      </c>
      <c r="F327" s="111" t="n">
        <f aca="false">E327*Y327</f>
        <v>0</v>
      </c>
      <c r="G327" s="124" t="n">
        <f aca="false">VLOOKUP($A327,Table,MATCH(G$4,Curves,0))</f>
        <v>3</v>
      </c>
      <c r="H327" s="125" t="n">
        <f aca="false">G327+$H$7</f>
        <v>3</v>
      </c>
      <c r="I327" s="124" t="n">
        <f aca="false">H327</f>
        <v>3</v>
      </c>
      <c r="J327" s="124" t="n">
        <f aca="false">VLOOKUP($A327,Table,MATCH(J$4,Curves,0))</f>
        <v>4</v>
      </c>
      <c r="K327" s="125" t="n">
        <f aca="false">J327+$K$7</f>
        <v>4</v>
      </c>
      <c r="L327" s="126" t="n">
        <f aca="false">K327</f>
        <v>4</v>
      </c>
      <c r="M327" s="124" t="n">
        <f aca="false">VLOOKUP($A327,Table,MATCH(M$4,Curves,0))</f>
        <v>4</v>
      </c>
      <c r="N327" s="125" t="n">
        <f aca="false">M327+$N$7</f>
        <v>4</v>
      </c>
      <c r="O327" s="126" t="n">
        <v>-0.04</v>
      </c>
      <c r="P327" s="114"/>
      <c r="Q327" s="126" t="n">
        <f aca="false">M327+J327+G327</f>
        <v>11</v>
      </c>
      <c r="R327" s="126" t="n">
        <f aca="false">N327+K327+H327</f>
        <v>11</v>
      </c>
      <c r="S327" s="126" t="n">
        <f aca="false">O327+L327+I327</f>
        <v>6.96</v>
      </c>
      <c r="T327" s="127"/>
      <c r="U327" s="5" t="n">
        <f aca="false">A328-A327</f>
        <v>31</v>
      </c>
      <c r="V327" s="128" t="n">
        <f aca="false">CHOOSE(F$3,A328+24,A327)</f>
        <v>46935</v>
      </c>
      <c r="W327" s="5" t="n">
        <f aca="false">V327-C$3</f>
        <v>9704</v>
      </c>
      <c r="X327" s="124" t="n">
        <f aca="false">VLOOKUP($A327,Table,MATCH(X$4,Curves,0))</f>
        <v>2</v>
      </c>
      <c r="Y327" s="129" t="n">
        <f aca="false">1/(1+CHOOSE(F$3,(X328+($K$3/10000))/2,(X327+($K$3/10000))/2))^(2*W327/365.25)</f>
        <v>1.0102003463669E-016</v>
      </c>
      <c r="Z327" s="5" t="n">
        <f aca="false">IF(AND(mthbeg&lt;=A327,mthend&gt;=A327),1,0)</f>
        <v>0</v>
      </c>
      <c r="AA327" s="5" t="n">
        <f aca="false">U327*Z327</f>
        <v>0</v>
      </c>
      <c r="AC327" s="115" t="n">
        <f aca="false">IF(G320=2,F327*(S327-Q327),F327*(Q327-S327))</f>
        <v>0</v>
      </c>
      <c r="AE327" s="116" t="n">
        <f aca="false">IF($G$3=1,F327*(R327-Q327),F327*(Q327-R327))</f>
        <v>0</v>
      </c>
      <c r="AG327" s="116" t="n">
        <f aca="false">AC327+AE327</f>
        <v>0</v>
      </c>
    </row>
    <row r="328" customFormat="false" ht="12" hidden="false" customHeight="true" outlineLevel="0" collapsed="false">
      <c r="A328" s="120" t="n">
        <f aca="false">EDATE(A327,1)</f>
        <v>46966</v>
      </c>
      <c r="B328" s="121" t="e">
        <f aca="false">VLOOKUP(A328,'Inputs-Summary'!$A$32:$E$41,5,FALSE())</f>
        <v>#N/A</v>
      </c>
      <c r="C328" s="122"/>
      <c r="D328" s="123" t="e">
        <f aca="false">B328+C328</f>
        <v>#N/A</v>
      </c>
      <c r="E328" s="111" t="n">
        <f aca="false">IF(Z328=0,0,IF(AND(Z328=1,$H$3=1),D328*U328,IF($H$3=2,D328,"N/A")))</f>
        <v>0</v>
      </c>
      <c r="F328" s="111" t="n">
        <f aca="false">E328*Y328</f>
        <v>0</v>
      </c>
      <c r="G328" s="124" t="n">
        <f aca="false">VLOOKUP($A328,Table,MATCH(G$4,Curves,0))</f>
        <v>3</v>
      </c>
      <c r="H328" s="125" t="n">
        <f aca="false">G328+$H$7</f>
        <v>3</v>
      </c>
      <c r="I328" s="124" t="n">
        <f aca="false">H328</f>
        <v>3</v>
      </c>
      <c r="J328" s="124" t="n">
        <f aca="false">VLOOKUP($A328,Table,MATCH(J$4,Curves,0))</f>
        <v>4</v>
      </c>
      <c r="K328" s="125" t="n">
        <f aca="false">J328+$K$7</f>
        <v>4</v>
      </c>
      <c r="L328" s="126" t="n">
        <f aca="false">K328</f>
        <v>4</v>
      </c>
      <c r="M328" s="124" t="n">
        <f aca="false">VLOOKUP($A328,Table,MATCH(M$4,Curves,0))</f>
        <v>4</v>
      </c>
      <c r="N328" s="125" t="n">
        <f aca="false">M328+$N$7</f>
        <v>4</v>
      </c>
      <c r="O328" s="126" t="n">
        <v>-0.04</v>
      </c>
      <c r="P328" s="114"/>
      <c r="Q328" s="126" t="n">
        <f aca="false">M328+J328+G328</f>
        <v>11</v>
      </c>
      <c r="R328" s="126" t="n">
        <f aca="false">N328+K328+H328</f>
        <v>11</v>
      </c>
      <c r="S328" s="126" t="n">
        <f aca="false">O328+L328+I328</f>
        <v>6.96</v>
      </c>
      <c r="T328" s="127"/>
      <c r="U328" s="5" t="n">
        <f aca="false">A329-A328</f>
        <v>31</v>
      </c>
      <c r="V328" s="128" t="n">
        <f aca="false">CHOOSE(F$3,A329+24,A328)</f>
        <v>46966</v>
      </c>
      <c r="W328" s="5" t="n">
        <f aca="false">V328-C$3</f>
        <v>9735</v>
      </c>
      <c r="X328" s="124" t="n">
        <f aca="false">VLOOKUP($A328,Table,MATCH(X$4,Curves,0))</f>
        <v>2</v>
      </c>
      <c r="Y328" s="129" t="n">
        <f aca="false">1/(1+CHOOSE(F$3,(X329+($K$3/10000))/2,(X328+($K$3/10000))/2))^(2*W328/365.25)</f>
        <v>8.98066817511082E-017</v>
      </c>
      <c r="Z328" s="5" t="n">
        <f aca="false">IF(AND(mthbeg&lt;=A328,mthend&gt;=A328),1,0)</f>
        <v>0</v>
      </c>
      <c r="AA328" s="5" t="n">
        <f aca="false">U328*Z328</f>
        <v>0</v>
      </c>
      <c r="AC328" s="115" t="n">
        <f aca="false">IF(G321=2,F328*(S328-Q328),F328*(Q328-S328))</f>
        <v>0</v>
      </c>
      <c r="AE328" s="116" t="n">
        <f aca="false">IF($G$3=1,F328*(R328-Q328),F328*(Q328-R328))</f>
        <v>0</v>
      </c>
      <c r="AG328" s="116" t="n">
        <f aca="false">AC328+AE328</f>
        <v>0</v>
      </c>
    </row>
    <row r="329" customFormat="false" ht="12" hidden="false" customHeight="true" outlineLevel="0" collapsed="false">
      <c r="A329" s="120" t="n">
        <f aca="false">EDATE(A328,1)</f>
        <v>46997</v>
      </c>
      <c r="B329" s="121" t="e">
        <f aca="false">VLOOKUP(A329,'Inputs-Summary'!$A$32:$E$41,5,FALSE())</f>
        <v>#N/A</v>
      </c>
      <c r="C329" s="122"/>
      <c r="D329" s="123" t="e">
        <f aca="false">B329+C329</f>
        <v>#N/A</v>
      </c>
      <c r="E329" s="111" t="n">
        <f aca="false">IF(Z329=0,0,IF(AND(Z329=1,$H$3=1),D329*U329,IF($H$3=2,D329,"N/A")))</f>
        <v>0</v>
      </c>
      <c r="F329" s="111" t="n">
        <f aca="false">E329*Y329</f>
        <v>0</v>
      </c>
      <c r="G329" s="124" t="n">
        <f aca="false">VLOOKUP($A329,Table,MATCH(G$4,Curves,0))</f>
        <v>3</v>
      </c>
      <c r="H329" s="125" t="n">
        <f aca="false">G329+$H$7</f>
        <v>3</v>
      </c>
      <c r="I329" s="124" t="n">
        <f aca="false">H329</f>
        <v>3</v>
      </c>
      <c r="J329" s="124" t="n">
        <f aca="false">VLOOKUP($A329,Table,MATCH(J$4,Curves,0))</f>
        <v>4</v>
      </c>
      <c r="K329" s="125" t="n">
        <f aca="false">J329+$K$7</f>
        <v>4</v>
      </c>
      <c r="L329" s="126" t="n">
        <f aca="false">K329</f>
        <v>4</v>
      </c>
      <c r="M329" s="124" t="n">
        <f aca="false">VLOOKUP($A329,Table,MATCH(M$4,Curves,0))</f>
        <v>4</v>
      </c>
      <c r="N329" s="125" t="n">
        <f aca="false">M329+$N$7</f>
        <v>4</v>
      </c>
      <c r="O329" s="126" t="n">
        <v>-0.04</v>
      </c>
      <c r="P329" s="114"/>
      <c r="Q329" s="126" t="n">
        <f aca="false">M329+J329+G329</f>
        <v>11</v>
      </c>
      <c r="R329" s="126" t="n">
        <f aca="false">N329+K329+H329</f>
        <v>11</v>
      </c>
      <c r="S329" s="126" t="n">
        <f aca="false">O329+L329+I329</f>
        <v>6.96</v>
      </c>
      <c r="T329" s="127"/>
      <c r="U329" s="5" t="n">
        <f aca="false">A330-A329</f>
        <v>30</v>
      </c>
      <c r="V329" s="128" t="n">
        <f aca="false">CHOOSE(F$3,A330+24,A329)</f>
        <v>46997</v>
      </c>
      <c r="W329" s="5" t="n">
        <f aca="false">V329-C$3</f>
        <v>9766</v>
      </c>
      <c r="X329" s="124" t="n">
        <f aca="false">VLOOKUP($A329,Table,MATCH(X$4,Curves,0))</f>
        <v>2</v>
      </c>
      <c r="Y329" s="129" t="n">
        <f aca="false">1/(1+CHOOSE(F$3,(X330+($K$3/10000))/2,(X329+($K$3/10000))/2))^(2*W329/365.25)</f>
        <v>7.98380253595319E-017</v>
      </c>
      <c r="Z329" s="5" t="n">
        <f aca="false">IF(AND(mthbeg&lt;=A329,mthend&gt;=A329),1,0)</f>
        <v>0</v>
      </c>
      <c r="AA329" s="5" t="n">
        <f aca="false">U329*Z329</f>
        <v>0</v>
      </c>
      <c r="AC329" s="115" t="n">
        <f aca="false">IF(G322=2,F329*(S329-Q329),F329*(Q329-S329))</f>
        <v>0</v>
      </c>
      <c r="AE329" s="116" t="n">
        <f aca="false">IF($G$3=1,F329*(R329-Q329),F329*(Q329-R329))</f>
        <v>0</v>
      </c>
      <c r="AG329" s="116" t="n">
        <f aca="false">AC329+AE329</f>
        <v>0</v>
      </c>
    </row>
    <row r="330" customFormat="false" ht="12" hidden="false" customHeight="true" outlineLevel="0" collapsed="false">
      <c r="A330" s="120" t="n">
        <f aca="false">EDATE(A329,1)</f>
        <v>47027</v>
      </c>
      <c r="B330" s="121" t="e">
        <f aca="false">VLOOKUP(A330,'Inputs-Summary'!$A$32:$E$41,5,FALSE())</f>
        <v>#N/A</v>
      </c>
      <c r="C330" s="122"/>
      <c r="D330" s="123" t="e">
        <f aca="false">B330+C330</f>
        <v>#N/A</v>
      </c>
      <c r="E330" s="111" t="n">
        <f aca="false">IF(Z330=0,0,IF(AND(Z330=1,$H$3=1),D330*U330,IF($H$3=2,D330,"N/A")))</f>
        <v>0</v>
      </c>
      <c r="F330" s="111" t="n">
        <f aca="false">E330*Y330</f>
        <v>0</v>
      </c>
      <c r="G330" s="124" t="n">
        <f aca="false">VLOOKUP($A330,Table,MATCH(G$4,Curves,0))</f>
        <v>3</v>
      </c>
      <c r="H330" s="125" t="n">
        <f aca="false">G330+$H$7</f>
        <v>3</v>
      </c>
      <c r="I330" s="124" t="n">
        <f aca="false">H330</f>
        <v>3</v>
      </c>
      <c r="J330" s="124" t="n">
        <f aca="false">VLOOKUP($A330,Table,MATCH(J$4,Curves,0))</f>
        <v>4</v>
      </c>
      <c r="K330" s="125" t="n">
        <f aca="false">J330+$K$7</f>
        <v>4</v>
      </c>
      <c r="L330" s="126" t="n">
        <f aca="false">K330</f>
        <v>4</v>
      </c>
      <c r="M330" s="124" t="n">
        <f aca="false">VLOOKUP($A330,Table,MATCH(M$4,Curves,0))</f>
        <v>4</v>
      </c>
      <c r="N330" s="125" t="n">
        <f aca="false">M330+$N$7</f>
        <v>4</v>
      </c>
      <c r="O330" s="126" t="n">
        <v>-0.04</v>
      </c>
      <c r="P330" s="114"/>
      <c r="Q330" s="126" t="n">
        <f aca="false">M330+J330+G330</f>
        <v>11</v>
      </c>
      <c r="R330" s="126" t="n">
        <f aca="false">N330+K330+H330</f>
        <v>11</v>
      </c>
      <c r="S330" s="126" t="n">
        <f aca="false">O330+L330+I330</f>
        <v>6.96</v>
      </c>
      <c r="T330" s="127"/>
      <c r="U330" s="5" t="n">
        <f aca="false">A331-A330</f>
        <v>31</v>
      </c>
      <c r="V330" s="128" t="n">
        <f aca="false">CHOOSE(F$3,A331+24,A330)</f>
        <v>47027</v>
      </c>
      <c r="W330" s="5" t="n">
        <f aca="false">V330-C$3</f>
        <v>9796</v>
      </c>
      <c r="X330" s="124" t="n">
        <f aca="false">VLOOKUP($A330,Table,MATCH(X$4,Curves,0))</f>
        <v>2</v>
      </c>
      <c r="Y330" s="129" t="n">
        <f aca="false">1/(1+CHOOSE(F$3,(X331+($K$3/10000))/2,(X330+($K$3/10000))/2))^(2*W330/365.25)</f>
        <v>7.1245801136372E-017</v>
      </c>
      <c r="Z330" s="5" t="n">
        <f aca="false">IF(AND(mthbeg&lt;=A330,mthend&gt;=A330),1,0)</f>
        <v>0</v>
      </c>
      <c r="AA330" s="5" t="n">
        <f aca="false">U330*Z330</f>
        <v>0</v>
      </c>
      <c r="AC330" s="115" t="n">
        <f aca="false">IF(G323=2,F330*(S330-Q330),F330*(Q330-S330))</f>
        <v>0</v>
      </c>
      <c r="AE330" s="116" t="n">
        <f aca="false">IF($G$3=1,F330*(R330-Q330),F330*(Q330-R330))</f>
        <v>0</v>
      </c>
      <c r="AG330" s="116" t="n">
        <f aca="false">AC330+AE330</f>
        <v>0</v>
      </c>
    </row>
    <row r="331" customFormat="false" ht="12" hidden="false" customHeight="true" outlineLevel="0" collapsed="false">
      <c r="A331" s="120" t="n">
        <f aca="false">EDATE(A330,1)</f>
        <v>47058</v>
      </c>
      <c r="B331" s="121" t="e">
        <f aca="false">VLOOKUP(A331,'Inputs-Summary'!$A$32:$E$41,5,FALSE())</f>
        <v>#N/A</v>
      </c>
      <c r="C331" s="122"/>
      <c r="D331" s="123" t="e">
        <f aca="false">B331+C331</f>
        <v>#N/A</v>
      </c>
      <c r="E331" s="111" t="n">
        <f aca="false">IF(Z331=0,0,IF(AND(Z331=1,$H$3=1),D331*U331,IF($H$3=2,D331,"N/A")))</f>
        <v>0</v>
      </c>
      <c r="F331" s="111" t="n">
        <f aca="false">E331*Y331</f>
        <v>0</v>
      </c>
      <c r="G331" s="124" t="n">
        <f aca="false">VLOOKUP($A331,Table,MATCH(G$4,Curves,0))</f>
        <v>3</v>
      </c>
      <c r="H331" s="125" t="n">
        <f aca="false">G331+$H$7</f>
        <v>3</v>
      </c>
      <c r="I331" s="124" t="n">
        <f aca="false">H331</f>
        <v>3</v>
      </c>
      <c r="J331" s="124" t="n">
        <f aca="false">VLOOKUP($A331,Table,MATCH(J$4,Curves,0))</f>
        <v>4</v>
      </c>
      <c r="K331" s="125" t="n">
        <f aca="false">J331+$K$7</f>
        <v>4</v>
      </c>
      <c r="L331" s="126" t="n">
        <f aca="false">K331</f>
        <v>4</v>
      </c>
      <c r="M331" s="124" t="n">
        <f aca="false">VLOOKUP($A331,Table,MATCH(M$4,Curves,0))</f>
        <v>4</v>
      </c>
      <c r="N331" s="125" t="n">
        <f aca="false">M331+$N$7</f>
        <v>4</v>
      </c>
      <c r="O331" s="126" t="n">
        <v>-0.04</v>
      </c>
      <c r="P331" s="114"/>
      <c r="Q331" s="126" t="n">
        <f aca="false">M331+J331+G331</f>
        <v>11</v>
      </c>
      <c r="R331" s="126" t="n">
        <f aca="false">N331+K331+H331</f>
        <v>11</v>
      </c>
      <c r="S331" s="126" t="n">
        <f aca="false">O331+L331+I331</f>
        <v>6.96</v>
      </c>
      <c r="T331" s="127"/>
      <c r="U331" s="5" t="n">
        <f aca="false">A332-A331</f>
        <v>30</v>
      </c>
      <c r="V331" s="128" t="n">
        <f aca="false">CHOOSE(F$3,A332+24,A331)</f>
        <v>47058</v>
      </c>
      <c r="W331" s="5" t="n">
        <f aca="false">V331-C$3</f>
        <v>9827</v>
      </c>
      <c r="X331" s="124" t="n">
        <f aca="false">VLOOKUP($A331,Table,MATCH(X$4,Curves,0))</f>
        <v>2</v>
      </c>
      <c r="Y331" s="129" t="n">
        <f aca="false">1/(1+CHOOSE(F$3,(X332+($K$3/10000))/2,(X331+($K$3/10000))/2))^(2*W331/365.25)</f>
        <v>6.33374262023177E-017</v>
      </c>
      <c r="Z331" s="5" t="n">
        <f aca="false">IF(AND(mthbeg&lt;=A331,mthend&gt;=A331),1,0)</f>
        <v>0</v>
      </c>
      <c r="AA331" s="5" t="n">
        <f aca="false">U331*Z331</f>
        <v>0</v>
      </c>
      <c r="AC331" s="115" t="n">
        <f aca="false">IF(G324=2,F331*(S331-Q331),F331*(Q331-S331))</f>
        <v>0</v>
      </c>
      <c r="AE331" s="116" t="n">
        <f aca="false">IF($G$3=1,F331*(R331-Q331),F331*(Q331-R331))</f>
        <v>0</v>
      </c>
      <c r="AG331" s="116" t="n">
        <f aca="false">AC331+AE331</f>
        <v>0</v>
      </c>
    </row>
    <row r="332" customFormat="false" ht="12" hidden="false" customHeight="true" outlineLevel="0" collapsed="false">
      <c r="A332" s="120" t="n">
        <f aca="false">EDATE(A331,1)</f>
        <v>47088</v>
      </c>
      <c r="B332" s="121" t="e">
        <f aca="false">VLOOKUP(A332,'Inputs-Summary'!$A$32:$E$41,5,FALSE())</f>
        <v>#N/A</v>
      </c>
      <c r="C332" s="122"/>
      <c r="D332" s="123" t="e">
        <f aca="false">B332+C332</f>
        <v>#N/A</v>
      </c>
      <c r="E332" s="111" t="n">
        <f aca="false">IF(Z332=0,0,IF(AND(Z332=1,$H$3=1),D332*U332,IF($H$3=2,D332,"N/A")))</f>
        <v>0</v>
      </c>
      <c r="F332" s="111" t="n">
        <f aca="false">E332*Y332</f>
        <v>0</v>
      </c>
      <c r="G332" s="124" t="n">
        <f aca="false">VLOOKUP($A332,Table,MATCH(G$4,Curves,0))</f>
        <v>3</v>
      </c>
      <c r="H332" s="125" t="n">
        <f aca="false">G332+$H$7</f>
        <v>3</v>
      </c>
      <c r="I332" s="124" t="n">
        <f aca="false">H332</f>
        <v>3</v>
      </c>
      <c r="J332" s="124" t="n">
        <f aca="false">VLOOKUP($A332,Table,MATCH(J$4,Curves,0))</f>
        <v>4</v>
      </c>
      <c r="K332" s="125" t="n">
        <f aca="false">J332+$K$7</f>
        <v>4</v>
      </c>
      <c r="L332" s="126" t="n">
        <f aca="false">K332</f>
        <v>4</v>
      </c>
      <c r="M332" s="124" t="n">
        <f aca="false">VLOOKUP($A332,Table,MATCH(M$4,Curves,0))</f>
        <v>4</v>
      </c>
      <c r="N332" s="125" t="n">
        <f aca="false">M332+$N$7</f>
        <v>4</v>
      </c>
      <c r="O332" s="126" t="n">
        <v>-0.04</v>
      </c>
      <c r="P332" s="114"/>
      <c r="Q332" s="126" t="n">
        <f aca="false">M332+J332+G332</f>
        <v>11</v>
      </c>
      <c r="R332" s="126" t="n">
        <f aca="false">N332+K332+H332</f>
        <v>11</v>
      </c>
      <c r="S332" s="126" t="n">
        <f aca="false">O332+L332+I332</f>
        <v>6.96</v>
      </c>
      <c r="T332" s="127"/>
      <c r="U332" s="5" t="n">
        <f aca="false">A333-A332</f>
        <v>31</v>
      </c>
      <c r="V332" s="128" t="n">
        <f aca="false">CHOOSE(F$3,A333+24,A332)</f>
        <v>47088</v>
      </c>
      <c r="W332" s="5" t="n">
        <f aca="false">V332-C$3</f>
        <v>9857</v>
      </c>
      <c r="X332" s="124" t="n">
        <f aca="false">VLOOKUP($A332,Table,MATCH(X$4,Curves,0))</f>
        <v>2</v>
      </c>
      <c r="Y332" s="129" t="n">
        <f aca="false">1/(1+CHOOSE(F$3,(X333+($K$3/10000))/2,(X332+($K$3/10000))/2))^(2*W332/365.25)</f>
        <v>5.65210080206625E-017</v>
      </c>
      <c r="Z332" s="5" t="n">
        <f aca="false">IF(AND(mthbeg&lt;=A332,mthend&gt;=A332),1,0)</f>
        <v>0</v>
      </c>
      <c r="AA332" s="5" t="n">
        <f aca="false">U332*Z332</f>
        <v>0</v>
      </c>
      <c r="AC332" s="115" t="n">
        <f aca="false">IF(G325=2,F332*(S332-Q332),F332*(Q332-S332))</f>
        <v>0</v>
      </c>
      <c r="AE332" s="116" t="n">
        <f aca="false">IF($G$3=1,F332*(R332-Q332),F332*(Q332-R332))</f>
        <v>0</v>
      </c>
      <c r="AG332" s="116" t="n">
        <f aca="false">AC332+AE332</f>
        <v>0</v>
      </c>
    </row>
    <row r="333" customFormat="false" ht="12" hidden="false" customHeight="true" outlineLevel="0" collapsed="false">
      <c r="A333" s="120" t="n">
        <f aca="false">EDATE(A332,1)</f>
        <v>47119</v>
      </c>
      <c r="B333" s="121" t="e">
        <f aca="false">VLOOKUP(A333,'Inputs-Summary'!$A$32:$E$41,5,FALSE())</f>
        <v>#N/A</v>
      </c>
      <c r="C333" s="122"/>
      <c r="D333" s="123" t="e">
        <f aca="false">B333+C333</f>
        <v>#N/A</v>
      </c>
      <c r="E333" s="111" t="n">
        <f aca="false">IF(Z333=0,0,IF(AND(Z333=1,$H$3=1),D333*U333,IF($H$3=2,D333,"N/A")))</f>
        <v>0</v>
      </c>
      <c r="F333" s="111" t="n">
        <f aca="false">E333*Y333</f>
        <v>0</v>
      </c>
      <c r="G333" s="124" t="n">
        <f aca="false">VLOOKUP($A333,Table,MATCH(G$4,Curves,0))</f>
        <v>3</v>
      </c>
      <c r="H333" s="125" t="n">
        <f aca="false">G333+$H$7</f>
        <v>3</v>
      </c>
      <c r="I333" s="124" t="n">
        <f aca="false">H333</f>
        <v>3</v>
      </c>
      <c r="J333" s="124" t="n">
        <f aca="false">VLOOKUP($A333,Table,MATCH(J$4,Curves,0))</f>
        <v>4</v>
      </c>
      <c r="K333" s="125" t="n">
        <f aca="false">J333+$K$7</f>
        <v>4</v>
      </c>
      <c r="L333" s="126" t="n">
        <f aca="false">K333</f>
        <v>4</v>
      </c>
      <c r="M333" s="124" t="n">
        <f aca="false">VLOOKUP($A333,Table,MATCH(M$4,Curves,0))</f>
        <v>4</v>
      </c>
      <c r="N333" s="125" t="n">
        <f aca="false">M333+$N$7</f>
        <v>4</v>
      </c>
      <c r="O333" s="126" t="n">
        <v>-0.04</v>
      </c>
      <c r="P333" s="114"/>
      <c r="Q333" s="126" t="n">
        <f aca="false">M333+J333+G333</f>
        <v>11</v>
      </c>
      <c r="R333" s="126" t="n">
        <f aca="false">N333+K333+H333</f>
        <v>11</v>
      </c>
      <c r="S333" s="126" t="n">
        <f aca="false">O333+L333+I333</f>
        <v>6.96</v>
      </c>
      <c r="T333" s="127"/>
      <c r="U333" s="5" t="n">
        <f aca="false">A334-A333</f>
        <v>31</v>
      </c>
      <c r="V333" s="128" t="n">
        <f aca="false">CHOOSE(F$3,A334+24,A333)</f>
        <v>47119</v>
      </c>
      <c r="W333" s="5" t="n">
        <f aca="false">V333-C$3</f>
        <v>9888</v>
      </c>
      <c r="X333" s="124" t="n">
        <f aca="false">VLOOKUP($A333,Table,MATCH(X$4,Curves,0))</f>
        <v>2</v>
      </c>
      <c r="Y333" s="129" t="n">
        <f aca="false">1/(1+CHOOSE(F$3,(X334+($K$3/10000))/2,(X333+($K$3/10000))/2))^(2*W333/365.25)</f>
        <v>5.0247103931599E-017</v>
      </c>
      <c r="Z333" s="5" t="n">
        <f aca="false">IF(AND(mthbeg&lt;=A333,mthend&gt;=A333),1,0)</f>
        <v>0</v>
      </c>
      <c r="AA333" s="5" t="n">
        <f aca="false">U333*Z333</f>
        <v>0</v>
      </c>
      <c r="AC333" s="115" t="n">
        <f aca="false">IF(G326=2,F333*(S333-Q333),F333*(Q333-S333))</f>
        <v>0</v>
      </c>
      <c r="AE333" s="116" t="n">
        <f aca="false">IF($G$3=1,F333*(R333-Q333),F333*(Q333-R333))</f>
        <v>0</v>
      </c>
      <c r="AG333" s="116" t="n">
        <f aca="false">AC333+AE333</f>
        <v>0</v>
      </c>
    </row>
    <row r="334" customFormat="false" ht="12" hidden="false" customHeight="true" outlineLevel="0" collapsed="false">
      <c r="A334" s="120" t="n">
        <f aca="false">EDATE(A333,1)</f>
        <v>47150</v>
      </c>
      <c r="B334" s="121" t="e">
        <f aca="false">VLOOKUP(A334,'Inputs-Summary'!$A$32:$E$41,5,FALSE())</f>
        <v>#N/A</v>
      </c>
      <c r="C334" s="122"/>
      <c r="D334" s="123" t="e">
        <f aca="false">B334+C334</f>
        <v>#N/A</v>
      </c>
      <c r="E334" s="111" t="n">
        <f aca="false">IF(Z334=0,0,IF(AND(Z334=1,$H$3=1),D334*U334,IF($H$3=2,D334,"N/A")))</f>
        <v>0</v>
      </c>
      <c r="F334" s="111" t="n">
        <f aca="false">E334*Y334</f>
        <v>0</v>
      </c>
      <c r="G334" s="124" t="n">
        <f aca="false">VLOOKUP($A334,Table,MATCH(G$4,Curves,0))</f>
        <v>3</v>
      </c>
      <c r="H334" s="125" t="n">
        <f aca="false">G334+$H$7</f>
        <v>3</v>
      </c>
      <c r="I334" s="124" t="n">
        <f aca="false">H334</f>
        <v>3</v>
      </c>
      <c r="J334" s="124" t="n">
        <f aca="false">VLOOKUP($A334,Table,MATCH(J$4,Curves,0))</f>
        <v>4</v>
      </c>
      <c r="K334" s="125" t="n">
        <f aca="false">J334+$K$7</f>
        <v>4</v>
      </c>
      <c r="L334" s="126" t="n">
        <f aca="false">K334</f>
        <v>4</v>
      </c>
      <c r="M334" s="124" t="n">
        <f aca="false">VLOOKUP($A334,Table,MATCH(M$4,Curves,0))</f>
        <v>4</v>
      </c>
      <c r="N334" s="125" t="n">
        <f aca="false">M334+$N$7</f>
        <v>4</v>
      </c>
      <c r="O334" s="126" t="n">
        <v>-0.04</v>
      </c>
      <c r="P334" s="114"/>
      <c r="Q334" s="126" t="n">
        <f aca="false">M334+J334+G334</f>
        <v>11</v>
      </c>
      <c r="R334" s="126" t="n">
        <f aca="false">N334+K334+H334</f>
        <v>11</v>
      </c>
      <c r="S334" s="126" t="n">
        <f aca="false">O334+L334+I334</f>
        <v>6.96</v>
      </c>
      <c r="T334" s="127"/>
      <c r="U334" s="5" t="n">
        <f aca="false">A335-A334</f>
        <v>28</v>
      </c>
      <c r="V334" s="128" t="n">
        <f aca="false">CHOOSE(F$3,A335+24,A334)</f>
        <v>47150</v>
      </c>
      <c r="W334" s="5" t="n">
        <f aca="false">V334-C$3</f>
        <v>9919</v>
      </c>
      <c r="X334" s="124" t="n">
        <f aca="false">VLOOKUP($A334,Table,MATCH(X$4,Curves,0))</f>
        <v>2</v>
      </c>
      <c r="Y334" s="129" t="n">
        <f aca="false">1/(1+CHOOSE(F$3,(X335+($K$3/10000))/2,(X334+($K$3/10000))/2))^(2*W334/365.25)</f>
        <v>4.46696112105772E-017</v>
      </c>
      <c r="Z334" s="5" t="n">
        <f aca="false">IF(AND(mthbeg&lt;=A334,mthend&gt;=A334),1,0)</f>
        <v>0</v>
      </c>
      <c r="AA334" s="5" t="n">
        <f aca="false">U334*Z334</f>
        <v>0</v>
      </c>
      <c r="AC334" s="115" t="n">
        <f aca="false">IF(G327=2,F334*(S334-Q334),F334*(Q334-S334))</f>
        <v>0</v>
      </c>
      <c r="AE334" s="116" t="n">
        <f aca="false">IF($G$3=1,F334*(R334-Q334),F334*(Q334-R334))</f>
        <v>0</v>
      </c>
      <c r="AG334" s="116" t="n">
        <f aca="false">AC334+AE334</f>
        <v>0</v>
      </c>
    </row>
    <row r="335" customFormat="false" ht="12" hidden="false" customHeight="true" outlineLevel="0" collapsed="false">
      <c r="A335" s="120" t="n">
        <f aca="false">EDATE(A334,1)</f>
        <v>47178</v>
      </c>
      <c r="B335" s="121" t="e">
        <f aca="false">VLOOKUP(A335,'Inputs-Summary'!$A$32:$E$41,5,FALSE())</f>
        <v>#N/A</v>
      </c>
      <c r="C335" s="122"/>
      <c r="D335" s="123" t="e">
        <f aca="false">B335+C335</f>
        <v>#N/A</v>
      </c>
      <c r="E335" s="111" t="n">
        <f aca="false">IF(Z335=0,0,IF(AND(Z335=1,$H$3=1),D335*U335,IF($H$3=2,D335,"N/A")))</f>
        <v>0</v>
      </c>
      <c r="F335" s="111" t="n">
        <f aca="false">E335*Y335</f>
        <v>0</v>
      </c>
      <c r="G335" s="124" t="n">
        <f aca="false">VLOOKUP($A335,Table,MATCH(G$4,Curves,0))</f>
        <v>3</v>
      </c>
      <c r="H335" s="125" t="n">
        <f aca="false">G335+$H$7</f>
        <v>3</v>
      </c>
      <c r="I335" s="124" t="n">
        <f aca="false">H335</f>
        <v>3</v>
      </c>
      <c r="J335" s="124" t="n">
        <f aca="false">VLOOKUP($A335,Table,MATCH(J$4,Curves,0))</f>
        <v>4</v>
      </c>
      <c r="K335" s="125" t="n">
        <f aca="false">J335+$K$7</f>
        <v>4</v>
      </c>
      <c r="L335" s="126" t="n">
        <f aca="false">K335</f>
        <v>4</v>
      </c>
      <c r="M335" s="124" t="n">
        <f aca="false">VLOOKUP($A335,Table,MATCH(M$4,Curves,0))</f>
        <v>4</v>
      </c>
      <c r="N335" s="125" t="n">
        <f aca="false">M335+$N$7</f>
        <v>4</v>
      </c>
      <c r="O335" s="126" t="n">
        <v>-0.04</v>
      </c>
      <c r="P335" s="114"/>
      <c r="Q335" s="126" t="n">
        <f aca="false">M335+J335+G335</f>
        <v>11</v>
      </c>
      <c r="R335" s="126" t="n">
        <f aca="false">N335+K335+H335</f>
        <v>11</v>
      </c>
      <c r="S335" s="126" t="n">
        <f aca="false">O335+L335+I335</f>
        <v>6.96</v>
      </c>
      <c r="T335" s="127"/>
      <c r="U335" s="5" t="n">
        <f aca="false">A336-A335</f>
        <v>31</v>
      </c>
      <c r="V335" s="128" t="n">
        <f aca="false">CHOOSE(F$3,A336+24,A335)</f>
        <v>47178</v>
      </c>
      <c r="W335" s="5" t="n">
        <f aca="false">V335-C$3</f>
        <v>9947</v>
      </c>
      <c r="X335" s="124" t="n">
        <f aca="false">VLOOKUP($A335,Table,MATCH(X$4,Curves,0))</f>
        <v>2</v>
      </c>
      <c r="Y335" s="129" t="n">
        <f aca="false">1/(1+CHOOSE(F$3,(X336+($K$3/10000))/2,(X335+($K$3/10000))/2))^(2*W335/365.25)</f>
        <v>4.01659793587898E-017</v>
      </c>
      <c r="Z335" s="5" t="n">
        <f aca="false">IF(AND(mthbeg&lt;=A335,mthend&gt;=A335),1,0)</f>
        <v>0</v>
      </c>
      <c r="AA335" s="5" t="n">
        <f aca="false">U335*Z335</f>
        <v>0</v>
      </c>
      <c r="AC335" s="115" t="n">
        <f aca="false">IF(G328=2,F335*(S335-Q335),F335*(Q335-S335))</f>
        <v>0</v>
      </c>
      <c r="AE335" s="116" t="n">
        <f aca="false">IF($G$3=1,F335*(R335-Q335),F335*(Q335-R335))</f>
        <v>0</v>
      </c>
      <c r="AG335" s="116" t="n">
        <f aca="false">AC335+AE335</f>
        <v>0</v>
      </c>
    </row>
    <row r="336" customFormat="false" ht="12" hidden="false" customHeight="true" outlineLevel="0" collapsed="false">
      <c r="A336" s="120" t="n">
        <f aca="false">EDATE(A335,1)</f>
        <v>47209</v>
      </c>
      <c r="B336" s="121" t="e">
        <f aca="false">VLOOKUP(A336,'Inputs-Summary'!$A$32:$E$41,5,FALSE())</f>
        <v>#N/A</v>
      </c>
      <c r="C336" s="122"/>
      <c r="D336" s="123" t="e">
        <f aca="false">B336+C336</f>
        <v>#N/A</v>
      </c>
      <c r="E336" s="111" t="n">
        <f aca="false">IF(Z336=0,0,IF(AND(Z336=1,$H$3=1),D336*U336,IF($H$3=2,D336,"N/A")))</f>
        <v>0</v>
      </c>
      <c r="F336" s="111" t="n">
        <f aca="false">E336*Y336</f>
        <v>0</v>
      </c>
      <c r="G336" s="124" t="n">
        <f aca="false">VLOOKUP($A336,Table,MATCH(G$4,Curves,0))</f>
        <v>3</v>
      </c>
      <c r="H336" s="125" t="n">
        <f aca="false">G336+$H$7</f>
        <v>3</v>
      </c>
      <c r="I336" s="124" t="n">
        <f aca="false">H336</f>
        <v>3</v>
      </c>
      <c r="J336" s="124" t="n">
        <f aca="false">VLOOKUP($A336,Table,MATCH(J$4,Curves,0))</f>
        <v>4</v>
      </c>
      <c r="K336" s="125" t="n">
        <f aca="false">J336+$K$7</f>
        <v>4</v>
      </c>
      <c r="L336" s="126" t="n">
        <f aca="false">K336</f>
        <v>4</v>
      </c>
      <c r="M336" s="124" t="n">
        <f aca="false">VLOOKUP($A336,Table,MATCH(M$4,Curves,0))</f>
        <v>4</v>
      </c>
      <c r="N336" s="125" t="n">
        <f aca="false">M336+$N$7</f>
        <v>4</v>
      </c>
      <c r="O336" s="126" t="n">
        <v>-0.04</v>
      </c>
      <c r="P336" s="114"/>
      <c r="Q336" s="126" t="n">
        <f aca="false">M336+J336+G336</f>
        <v>11</v>
      </c>
      <c r="R336" s="126" t="n">
        <f aca="false">N336+K336+H336</f>
        <v>11</v>
      </c>
      <c r="S336" s="126" t="n">
        <f aca="false">O336+L336+I336</f>
        <v>6.96</v>
      </c>
      <c r="T336" s="127"/>
      <c r="U336" s="5" t="n">
        <f aca="false">A337-A336</f>
        <v>30</v>
      </c>
      <c r="V336" s="128" t="n">
        <f aca="false">CHOOSE(F$3,A337+24,A336)</f>
        <v>47209</v>
      </c>
      <c r="W336" s="5" t="n">
        <f aca="false">V336-C$3</f>
        <v>9978</v>
      </c>
      <c r="X336" s="124" t="n">
        <f aca="false">VLOOKUP($A336,Table,MATCH(X$4,Curves,0))</f>
        <v>2</v>
      </c>
      <c r="Y336" s="129" t="n">
        <f aca="false">1/(1+CHOOSE(F$3,(X337+($K$3/10000))/2,(X336+($K$3/10000))/2))^(2*W336/365.25)</f>
        <v>3.57075043427705E-017</v>
      </c>
      <c r="Z336" s="5" t="n">
        <f aca="false">IF(AND(mthbeg&lt;=A336,mthend&gt;=A336),1,0)</f>
        <v>0</v>
      </c>
      <c r="AA336" s="5" t="n">
        <f aca="false">U336*Z336</f>
        <v>0</v>
      </c>
      <c r="AC336" s="115" t="n">
        <f aca="false">IF(G329=2,F336*(S336-Q336),F336*(Q336-S336))</f>
        <v>0</v>
      </c>
      <c r="AE336" s="116" t="n">
        <f aca="false">IF($G$3=1,F336*(R336-Q336),F336*(Q336-R336))</f>
        <v>0</v>
      </c>
      <c r="AG336" s="116" t="n">
        <f aca="false">AC336+AE336</f>
        <v>0</v>
      </c>
    </row>
    <row r="337" customFormat="false" ht="12" hidden="false" customHeight="true" outlineLevel="0" collapsed="false">
      <c r="A337" s="120" t="n">
        <f aca="false">EDATE(A336,1)</f>
        <v>47239</v>
      </c>
      <c r="B337" s="121" t="e">
        <f aca="false">VLOOKUP(A337,'Inputs-Summary'!$A$32:$E$41,5,FALSE())</f>
        <v>#N/A</v>
      </c>
      <c r="C337" s="122"/>
      <c r="D337" s="123" t="e">
        <f aca="false">B337+C337</f>
        <v>#N/A</v>
      </c>
      <c r="E337" s="111" t="n">
        <f aca="false">IF(Z337=0,0,IF(AND(Z337=1,$H$3=1),D337*U337,IF($H$3=2,D337,"N/A")))</f>
        <v>0</v>
      </c>
      <c r="F337" s="111" t="n">
        <f aca="false">E337*Y337</f>
        <v>0</v>
      </c>
      <c r="G337" s="124" t="n">
        <f aca="false">VLOOKUP($A337,Table,MATCH(G$4,Curves,0))</f>
        <v>3</v>
      </c>
      <c r="H337" s="125" t="n">
        <f aca="false">G337+$H$7</f>
        <v>3</v>
      </c>
      <c r="I337" s="124" t="n">
        <f aca="false">H337</f>
        <v>3</v>
      </c>
      <c r="J337" s="124" t="n">
        <f aca="false">VLOOKUP($A337,Table,MATCH(J$4,Curves,0))</f>
        <v>4</v>
      </c>
      <c r="K337" s="125" t="n">
        <f aca="false">J337+$K$7</f>
        <v>4</v>
      </c>
      <c r="L337" s="126" t="n">
        <f aca="false">K337</f>
        <v>4</v>
      </c>
      <c r="M337" s="124" t="n">
        <f aca="false">VLOOKUP($A337,Table,MATCH(M$4,Curves,0))</f>
        <v>4</v>
      </c>
      <c r="N337" s="125" t="n">
        <f aca="false">M337+$N$7</f>
        <v>4</v>
      </c>
      <c r="O337" s="126" t="n">
        <v>-0.04</v>
      </c>
      <c r="P337" s="114"/>
      <c r="Q337" s="126" t="n">
        <f aca="false">M337+J337+G337</f>
        <v>11</v>
      </c>
      <c r="R337" s="126" t="n">
        <f aca="false">N337+K337+H337</f>
        <v>11</v>
      </c>
      <c r="S337" s="126" t="n">
        <f aca="false">O337+L337+I337</f>
        <v>6.96</v>
      </c>
      <c r="T337" s="127"/>
      <c r="U337" s="5" t="n">
        <f aca="false">A338-A337</f>
        <v>31</v>
      </c>
      <c r="V337" s="128" t="n">
        <f aca="false">CHOOSE(F$3,A338+24,A337)</f>
        <v>47239</v>
      </c>
      <c r="W337" s="5" t="n">
        <f aca="false">V337-C$3</f>
        <v>10008</v>
      </c>
      <c r="X337" s="124" t="n">
        <f aca="false">VLOOKUP($A337,Table,MATCH(X$4,Curves,0))</f>
        <v>2</v>
      </c>
      <c r="Y337" s="129" t="n">
        <f aca="false">1/(1+CHOOSE(F$3,(X338+($K$3/10000))/2,(X337+($K$3/10000))/2))^(2*W337/365.25)</f>
        <v>3.18646377089715E-017</v>
      </c>
      <c r="Z337" s="5" t="n">
        <f aca="false">IF(AND(mthbeg&lt;=A337,mthend&gt;=A337),1,0)</f>
        <v>0</v>
      </c>
      <c r="AA337" s="5" t="n">
        <f aca="false">U337*Z337</f>
        <v>0</v>
      </c>
      <c r="AC337" s="115" t="n">
        <f aca="false">IF(G330=2,F337*(S337-Q337),F337*(Q337-S337))</f>
        <v>0</v>
      </c>
      <c r="AE337" s="116" t="n">
        <f aca="false">IF($G$3=1,F337*(R337-Q337),F337*(Q337-R337))</f>
        <v>0</v>
      </c>
      <c r="AG337" s="116" t="n">
        <f aca="false">AC337+AE337</f>
        <v>0</v>
      </c>
    </row>
    <row r="338" customFormat="false" ht="12" hidden="false" customHeight="true" outlineLevel="0" collapsed="false">
      <c r="A338" s="120" t="n">
        <f aca="false">EDATE(A337,1)</f>
        <v>47270</v>
      </c>
      <c r="B338" s="121" t="e">
        <f aca="false">VLOOKUP(A338,'Inputs-Summary'!$A$32:$E$41,5,FALSE())</f>
        <v>#N/A</v>
      </c>
      <c r="C338" s="122"/>
      <c r="D338" s="123" t="e">
        <f aca="false">B338+C338</f>
        <v>#N/A</v>
      </c>
      <c r="E338" s="111" t="n">
        <f aca="false">IF(Z338=0,0,IF(AND(Z338=1,$H$3=1),D338*U338,IF($H$3=2,D338,"N/A")))</f>
        <v>0</v>
      </c>
      <c r="F338" s="111" t="n">
        <f aca="false">E338*Y338</f>
        <v>0</v>
      </c>
      <c r="G338" s="124" t="n">
        <f aca="false">VLOOKUP($A338,Table,MATCH(G$4,Curves,0))</f>
        <v>3</v>
      </c>
      <c r="H338" s="125" t="n">
        <f aca="false">G338+$H$7</f>
        <v>3</v>
      </c>
      <c r="I338" s="124" t="n">
        <f aca="false">H338</f>
        <v>3</v>
      </c>
      <c r="J338" s="124" t="n">
        <f aca="false">VLOOKUP($A338,Table,MATCH(J$4,Curves,0))</f>
        <v>4</v>
      </c>
      <c r="K338" s="125" t="n">
        <f aca="false">J338+$K$7</f>
        <v>4</v>
      </c>
      <c r="L338" s="126" t="n">
        <f aca="false">K338</f>
        <v>4</v>
      </c>
      <c r="M338" s="124" t="n">
        <f aca="false">VLOOKUP($A338,Table,MATCH(M$4,Curves,0))</f>
        <v>4</v>
      </c>
      <c r="N338" s="125" t="n">
        <f aca="false">M338+$N$7</f>
        <v>4</v>
      </c>
      <c r="O338" s="126" t="n">
        <v>-0.04</v>
      </c>
      <c r="P338" s="114"/>
      <c r="Q338" s="126" t="n">
        <f aca="false">M338+J338+G338</f>
        <v>11</v>
      </c>
      <c r="R338" s="126" t="n">
        <f aca="false">N338+K338+H338</f>
        <v>11</v>
      </c>
      <c r="S338" s="126" t="n">
        <f aca="false">O338+L338+I338</f>
        <v>6.96</v>
      </c>
      <c r="T338" s="127"/>
      <c r="U338" s="5" t="n">
        <f aca="false">A339-A338</f>
        <v>30</v>
      </c>
      <c r="V338" s="128" t="n">
        <f aca="false">CHOOSE(F$3,A339+24,A338)</f>
        <v>47270</v>
      </c>
      <c r="W338" s="5" t="n">
        <f aca="false">V338-C$3</f>
        <v>10039</v>
      </c>
      <c r="X338" s="124" t="n">
        <f aca="false">VLOOKUP($A338,Table,MATCH(X$4,Curves,0))</f>
        <v>2</v>
      </c>
      <c r="Y338" s="129" t="n">
        <f aca="false">1/(1+CHOOSE(F$3,(X339+($K$3/10000))/2,(X338+($K$3/10000))/2))^(2*W338/365.25)</f>
        <v>2.83276222200446E-017</v>
      </c>
      <c r="Z338" s="5" t="n">
        <f aca="false">IF(AND(mthbeg&lt;=A338,mthend&gt;=A338),1,0)</f>
        <v>0</v>
      </c>
      <c r="AA338" s="5" t="n">
        <f aca="false">U338*Z338</f>
        <v>0</v>
      </c>
      <c r="AC338" s="115" t="n">
        <f aca="false">IF(G331=2,F338*(S338-Q338),F338*(Q338-S338))</f>
        <v>0</v>
      </c>
      <c r="AE338" s="116" t="n">
        <f aca="false">IF($G$3=1,F338*(R338-Q338),F338*(Q338-R338))</f>
        <v>0</v>
      </c>
      <c r="AG338" s="116" t="n">
        <f aca="false">AC338+AE338</f>
        <v>0</v>
      </c>
    </row>
    <row r="339" customFormat="false" ht="12" hidden="false" customHeight="true" outlineLevel="0" collapsed="false">
      <c r="A339" s="120" t="n">
        <f aca="false">EDATE(A338,1)</f>
        <v>47300</v>
      </c>
      <c r="B339" s="121" t="e">
        <f aca="false">VLOOKUP(A339,'Inputs-Summary'!$A$32:$E$41,5,FALSE())</f>
        <v>#N/A</v>
      </c>
      <c r="C339" s="122"/>
      <c r="D339" s="123" t="e">
        <f aca="false">B339+C339</f>
        <v>#N/A</v>
      </c>
      <c r="E339" s="111" t="n">
        <f aca="false">IF(Z339=0,0,IF(AND(Z339=1,$H$3=1),D339*U339,IF($H$3=2,D339,"N/A")))</f>
        <v>0</v>
      </c>
      <c r="F339" s="111" t="n">
        <f aca="false">E339*Y339</f>
        <v>0</v>
      </c>
      <c r="G339" s="124" t="n">
        <f aca="false">VLOOKUP($A339,Table,MATCH(G$4,Curves,0))</f>
        <v>3</v>
      </c>
      <c r="H339" s="125" t="n">
        <f aca="false">G339+$H$7</f>
        <v>3</v>
      </c>
      <c r="I339" s="124" t="n">
        <f aca="false">H339</f>
        <v>3</v>
      </c>
      <c r="J339" s="124" t="n">
        <f aca="false">VLOOKUP($A339,Table,MATCH(J$4,Curves,0))</f>
        <v>4</v>
      </c>
      <c r="K339" s="125" t="n">
        <f aca="false">J339+$K$7</f>
        <v>4</v>
      </c>
      <c r="L339" s="126" t="n">
        <f aca="false">K339</f>
        <v>4</v>
      </c>
      <c r="M339" s="124" t="n">
        <f aca="false">VLOOKUP($A339,Table,MATCH(M$4,Curves,0))</f>
        <v>4</v>
      </c>
      <c r="N339" s="125" t="n">
        <f aca="false">M339+$N$7</f>
        <v>4</v>
      </c>
      <c r="O339" s="126" t="n">
        <v>-0.04</v>
      </c>
      <c r="P339" s="114"/>
      <c r="Q339" s="126" t="n">
        <f aca="false">M339+J339+G339</f>
        <v>11</v>
      </c>
      <c r="R339" s="126" t="n">
        <f aca="false">N339+K339+H339</f>
        <v>11</v>
      </c>
      <c r="S339" s="126" t="n">
        <f aca="false">O339+L339+I339</f>
        <v>6.96</v>
      </c>
      <c r="T339" s="127"/>
      <c r="U339" s="5" t="n">
        <f aca="false">A340-A339</f>
        <v>31</v>
      </c>
      <c r="V339" s="128" t="n">
        <f aca="false">CHOOSE(F$3,A340+24,A339)</f>
        <v>47300</v>
      </c>
      <c r="W339" s="5" t="n">
        <f aca="false">V339-C$3</f>
        <v>10069</v>
      </c>
      <c r="X339" s="124" t="n">
        <f aca="false">VLOOKUP($A339,Table,MATCH(X$4,Curves,0))</f>
        <v>2</v>
      </c>
      <c r="Y339" s="129" t="n">
        <f aca="false">1/(1+CHOOSE(F$3,(X340+($K$3/10000))/2,(X339+($K$3/10000))/2))^(2*W339/365.25)</f>
        <v>2.52789836705877E-017</v>
      </c>
      <c r="Z339" s="5" t="n">
        <f aca="false">IF(AND(mthbeg&lt;=A339,mthend&gt;=A339),1,0)</f>
        <v>0</v>
      </c>
      <c r="AA339" s="5" t="n">
        <f aca="false">U339*Z339</f>
        <v>0</v>
      </c>
      <c r="AC339" s="115" t="n">
        <f aca="false">IF(G332=2,F339*(S339-Q339),F339*(Q339-S339))</f>
        <v>0</v>
      </c>
      <c r="AE339" s="116" t="n">
        <f aca="false">IF($G$3=1,F339*(R339-Q339),F339*(Q339-R339))</f>
        <v>0</v>
      </c>
      <c r="AG339" s="116" t="n">
        <f aca="false">AC339+AE339</f>
        <v>0</v>
      </c>
    </row>
    <row r="340" customFormat="false" ht="12" hidden="false" customHeight="true" outlineLevel="0" collapsed="false">
      <c r="A340" s="120" t="n">
        <f aca="false">EDATE(A339,1)</f>
        <v>47331</v>
      </c>
      <c r="B340" s="121" t="e">
        <f aca="false">VLOOKUP(A340,'Inputs-Summary'!$A$32:$E$41,5,FALSE())</f>
        <v>#N/A</v>
      </c>
      <c r="C340" s="122"/>
      <c r="D340" s="123" t="e">
        <f aca="false">B340+C340</f>
        <v>#N/A</v>
      </c>
      <c r="E340" s="111" t="n">
        <f aca="false">IF(Z340=0,0,IF(AND(Z340=1,$H$3=1),D340*U340,IF($H$3=2,D340,"N/A")))</f>
        <v>0</v>
      </c>
      <c r="F340" s="111" t="n">
        <f aca="false">E340*Y340</f>
        <v>0</v>
      </c>
      <c r="G340" s="124" t="n">
        <f aca="false">VLOOKUP($A340,Table,MATCH(G$4,Curves,0))</f>
        <v>3</v>
      </c>
      <c r="H340" s="125" t="n">
        <f aca="false">G340+$H$7</f>
        <v>3</v>
      </c>
      <c r="I340" s="124" t="n">
        <f aca="false">H340</f>
        <v>3</v>
      </c>
      <c r="J340" s="124" t="n">
        <f aca="false">VLOOKUP($A340,Table,MATCH(J$4,Curves,0))</f>
        <v>4</v>
      </c>
      <c r="K340" s="125" t="n">
        <f aca="false">J340+$K$7</f>
        <v>4</v>
      </c>
      <c r="L340" s="126" t="n">
        <f aca="false">K340</f>
        <v>4</v>
      </c>
      <c r="M340" s="124" t="n">
        <f aca="false">VLOOKUP($A340,Table,MATCH(M$4,Curves,0))</f>
        <v>4</v>
      </c>
      <c r="N340" s="125" t="n">
        <f aca="false">M340+$N$7</f>
        <v>4</v>
      </c>
      <c r="O340" s="126" t="n">
        <v>-0.04</v>
      </c>
      <c r="P340" s="114"/>
      <c r="Q340" s="126" t="n">
        <f aca="false">M340+J340+G340</f>
        <v>11</v>
      </c>
      <c r="R340" s="126" t="n">
        <f aca="false">N340+K340+H340</f>
        <v>11</v>
      </c>
      <c r="S340" s="126" t="n">
        <f aca="false">O340+L340+I340</f>
        <v>6.96</v>
      </c>
      <c r="T340" s="127"/>
      <c r="U340" s="5" t="n">
        <f aca="false">A341-A340</f>
        <v>31</v>
      </c>
      <c r="V340" s="128" t="n">
        <f aca="false">CHOOSE(F$3,A341+24,A340)</f>
        <v>47331</v>
      </c>
      <c r="W340" s="5" t="n">
        <f aca="false">V340-C$3</f>
        <v>10100</v>
      </c>
      <c r="X340" s="124" t="n">
        <f aca="false">VLOOKUP($A340,Table,MATCH(X$4,Curves,0))</f>
        <v>2</v>
      </c>
      <c r="Y340" s="129" t="n">
        <f aca="false">1/(1+CHOOSE(F$3,(X341+($K$3/10000))/2,(X340+($K$3/10000))/2))^(2*W340/365.25)</f>
        <v>2.24729841923E-017</v>
      </c>
      <c r="Z340" s="5" t="n">
        <f aca="false">IF(AND(mthbeg&lt;=A340,mthend&gt;=A340),1,0)</f>
        <v>0</v>
      </c>
      <c r="AA340" s="5" t="n">
        <f aca="false">U340*Z340</f>
        <v>0</v>
      </c>
      <c r="AC340" s="115" t="n">
        <f aca="false">IF(G333=2,F340*(S340-Q340),F340*(Q340-S340))</f>
        <v>0</v>
      </c>
      <c r="AE340" s="116" t="n">
        <f aca="false">IF($G$3=1,F340*(R340-Q340),F340*(Q340-R340))</f>
        <v>0</v>
      </c>
      <c r="AG340" s="116" t="n">
        <f aca="false">AC340+AE340</f>
        <v>0</v>
      </c>
    </row>
    <row r="341" customFormat="false" ht="12" hidden="false" customHeight="true" outlineLevel="0" collapsed="false">
      <c r="A341" s="120" t="n">
        <f aca="false">EDATE(A340,1)</f>
        <v>47362</v>
      </c>
      <c r="B341" s="121" t="e">
        <f aca="false">VLOOKUP(A341,'Inputs-Summary'!$A$32:$E$41,5,FALSE())</f>
        <v>#N/A</v>
      </c>
      <c r="C341" s="122"/>
      <c r="D341" s="123" t="e">
        <f aca="false">B341+C341</f>
        <v>#N/A</v>
      </c>
      <c r="E341" s="111" t="n">
        <f aca="false">IF(Z341=0,0,IF(AND(Z341=1,$H$3=1),D341*U341,IF($H$3=2,D341,"N/A")))</f>
        <v>0</v>
      </c>
      <c r="F341" s="111" t="n">
        <f aca="false">E341*Y341</f>
        <v>0</v>
      </c>
      <c r="G341" s="124" t="n">
        <f aca="false">VLOOKUP($A341,Table,MATCH(G$4,Curves,0))</f>
        <v>3</v>
      </c>
      <c r="H341" s="125" t="n">
        <f aca="false">G341+$H$7</f>
        <v>3</v>
      </c>
      <c r="I341" s="124" t="n">
        <f aca="false">H341</f>
        <v>3</v>
      </c>
      <c r="J341" s="124" t="n">
        <f aca="false">VLOOKUP($A341,Table,MATCH(J$4,Curves,0))</f>
        <v>4</v>
      </c>
      <c r="K341" s="125" t="n">
        <f aca="false">J341+$K$7</f>
        <v>4</v>
      </c>
      <c r="L341" s="126" t="n">
        <f aca="false">K341</f>
        <v>4</v>
      </c>
      <c r="M341" s="124" t="n">
        <f aca="false">VLOOKUP($A341,Table,MATCH(M$4,Curves,0))</f>
        <v>4</v>
      </c>
      <c r="N341" s="125" t="n">
        <f aca="false">M341+$N$7</f>
        <v>4</v>
      </c>
      <c r="O341" s="126" t="n">
        <v>-0.04</v>
      </c>
      <c r="P341" s="114"/>
      <c r="Q341" s="126" t="n">
        <f aca="false">M341+J341+G341</f>
        <v>11</v>
      </c>
      <c r="R341" s="126" t="n">
        <f aca="false">N341+K341+H341</f>
        <v>11</v>
      </c>
      <c r="S341" s="126" t="n">
        <f aca="false">O341+L341+I341</f>
        <v>6.96</v>
      </c>
      <c r="T341" s="127"/>
      <c r="U341" s="5" t="n">
        <f aca="false">A342-A341</f>
        <v>30</v>
      </c>
      <c r="V341" s="128" t="n">
        <f aca="false">CHOOSE(F$3,A342+24,A341)</f>
        <v>47362</v>
      </c>
      <c r="W341" s="5" t="n">
        <f aca="false">V341-C$3</f>
        <v>10131</v>
      </c>
      <c r="X341" s="124" t="n">
        <f aca="false">VLOOKUP($A341,Table,MATCH(X$4,Curves,0))</f>
        <v>2</v>
      </c>
      <c r="Y341" s="129" t="n">
        <f aca="false">1/(1+CHOOSE(F$3,(X342+($K$3/10000))/2,(X341+($K$3/10000))/2))^(2*W341/365.25)</f>
        <v>1.99784542404282E-017</v>
      </c>
      <c r="Z341" s="5" t="n">
        <f aca="false">IF(AND(mthbeg&lt;=A341,mthend&gt;=A341),1,0)</f>
        <v>0</v>
      </c>
      <c r="AA341" s="5" t="n">
        <f aca="false">U341*Z341</f>
        <v>0</v>
      </c>
      <c r="AC341" s="115" t="n">
        <f aca="false">IF(G334=2,F341*(S341-Q341),F341*(Q341-S341))</f>
        <v>0</v>
      </c>
      <c r="AE341" s="116" t="n">
        <f aca="false">IF($G$3=1,F341*(R341-Q341),F341*(Q341-R341))</f>
        <v>0</v>
      </c>
      <c r="AG341" s="116" t="n">
        <f aca="false">AC341+AE341</f>
        <v>0</v>
      </c>
    </row>
    <row r="342" customFormat="false" ht="12" hidden="false" customHeight="true" outlineLevel="0" collapsed="false">
      <c r="A342" s="120" t="n">
        <f aca="false">EDATE(A341,1)</f>
        <v>47392</v>
      </c>
      <c r="B342" s="121" t="e">
        <f aca="false">VLOOKUP(A342,'Inputs-Summary'!$A$32:$E$41,5,FALSE())</f>
        <v>#N/A</v>
      </c>
      <c r="C342" s="122"/>
      <c r="D342" s="123" t="e">
        <f aca="false">B342+C342</f>
        <v>#N/A</v>
      </c>
      <c r="E342" s="111" t="n">
        <f aca="false">IF(Z342=0,0,IF(AND(Z342=1,$H$3=1),D342*U342,IF($H$3=2,D342,"N/A")))</f>
        <v>0</v>
      </c>
      <c r="F342" s="111" t="n">
        <f aca="false">E342*Y342</f>
        <v>0</v>
      </c>
      <c r="G342" s="124" t="n">
        <f aca="false">VLOOKUP($A342,Table,MATCH(G$4,Curves,0))</f>
        <v>3</v>
      </c>
      <c r="H342" s="125" t="n">
        <f aca="false">G342+$H$7</f>
        <v>3</v>
      </c>
      <c r="I342" s="124" t="n">
        <f aca="false">H342</f>
        <v>3</v>
      </c>
      <c r="J342" s="124" t="n">
        <f aca="false">VLOOKUP($A342,Table,MATCH(J$4,Curves,0))</f>
        <v>4</v>
      </c>
      <c r="K342" s="125" t="n">
        <f aca="false">J342+$K$7</f>
        <v>4</v>
      </c>
      <c r="L342" s="126" t="n">
        <f aca="false">K342</f>
        <v>4</v>
      </c>
      <c r="M342" s="124" t="n">
        <f aca="false">VLOOKUP($A342,Table,MATCH(M$4,Curves,0))</f>
        <v>4</v>
      </c>
      <c r="N342" s="125" t="n">
        <f aca="false">M342+$N$7</f>
        <v>4</v>
      </c>
      <c r="O342" s="126" t="n">
        <v>-0.04</v>
      </c>
      <c r="P342" s="114"/>
      <c r="Q342" s="126" t="n">
        <f aca="false">M342+J342+G342</f>
        <v>11</v>
      </c>
      <c r="R342" s="126" t="n">
        <f aca="false">N342+K342+H342</f>
        <v>11</v>
      </c>
      <c r="S342" s="126" t="n">
        <f aca="false">O342+L342+I342</f>
        <v>6.96</v>
      </c>
      <c r="T342" s="127"/>
      <c r="U342" s="5" t="n">
        <f aca="false">A343-A342</f>
        <v>31</v>
      </c>
      <c r="V342" s="128" t="n">
        <f aca="false">CHOOSE(F$3,A343+24,A342)</f>
        <v>47392</v>
      </c>
      <c r="W342" s="5" t="n">
        <f aca="false">V342-C$3</f>
        <v>10161</v>
      </c>
      <c r="X342" s="124" t="n">
        <f aca="false">VLOOKUP($A342,Table,MATCH(X$4,Curves,0))</f>
        <v>2</v>
      </c>
      <c r="Y342" s="129" t="n">
        <f aca="false">1/(1+CHOOSE(F$3,(X343+($K$3/10000))/2,(X342+($K$3/10000))/2))^(2*W342/365.25)</f>
        <v>1.78283589983067E-017</v>
      </c>
      <c r="Z342" s="5" t="n">
        <f aca="false">IF(AND(mthbeg&lt;=A342,mthend&gt;=A342),1,0)</f>
        <v>0</v>
      </c>
      <c r="AA342" s="5" t="n">
        <f aca="false">U342*Z342</f>
        <v>0</v>
      </c>
      <c r="AC342" s="115" t="n">
        <f aca="false">IF(G335=2,F342*(S342-Q342),F342*(Q342-S342))</f>
        <v>0</v>
      </c>
      <c r="AE342" s="116" t="n">
        <f aca="false">IF($G$3=1,F342*(R342-Q342),F342*(Q342-R342))</f>
        <v>0</v>
      </c>
      <c r="AG342" s="116" t="n">
        <f aca="false">AC342+AE342</f>
        <v>0</v>
      </c>
    </row>
    <row r="343" customFormat="false" ht="12" hidden="false" customHeight="true" outlineLevel="0" collapsed="false">
      <c r="A343" s="120" t="n">
        <f aca="false">EDATE(A342,1)</f>
        <v>47423</v>
      </c>
      <c r="B343" s="121" t="e">
        <f aca="false">VLOOKUP(A343,'Inputs-Summary'!$A$32:$E$41,5,FALSE())</f>
        <v>#N/A</v>
      </c>
      <c r="C343" s="122"/>
      <c r="D343" s="123" t="e">
        <f aca="false">B343+C343</f>
        <v>#N/A</v>
      </c>
      <c r="E343" s="111" t="n">
        <f aca="false">IF(Z343=0,0,IF(AND(Z343=1,$H$3=1),D343*U343,IF($H$3=2,D343,"N/A")))</f>
        <v>0</v>
      </c>
      <c r="F343" s="111" t="n">
        <f aca="false">E343*Y343</f>
        <v>0</v>
      </c>
      <c r="G343" s="124" t="n">
        <f aca="false">VLOOKUP($A343,Table,MATCH(G$4,Curves,0))</f>
        <v>3</v>
      </c>
      <c r="H343" s="125" t="n">
        <f aca="false">G343+$H$7</f>
        <v>3</v>
      </c>
      <c r="I343" s="124" t="n">
        <f aca="false">H343</f>
        <v>3</v>
      </c>
      <c r="J343" s="124" t="n">
        <f aca="false">VLOOKUP($A343,Table,MATCH(J$4,Curves,0))</f>
        <v>4</v>
      </c>
      <c r="K343" s="125" t="n">
        <f aca="false">J343+$K$7</f>
        <v>4</v>
      </c>
      <c r="L343" s="126" t="n">
        <f aca="false">K343</f>
        <v>4</v>
      </c>
      <c r="M343" s="124" t="n">
        <f aca="false">VLOOKUP($A343,Table,MATCH(M$4,Curves,0))</f>
        <v>4</v>
      </c>
      <c r="N343" s="125" t="n">
        <f aca="false">M343+$N$7</f>
        <v>4</v>
      </c>
      <c r="O343" s="126" t="n">
        <v>-0.04</v>
      </c>
      <c r="P343" s="114"/>
      <c r="Q343" s="126" t="n">
        <f aca="false">M343+J343+G343</f>
        <v>11</v>
      </c>
      <c r="R343" s="126" t="n">
        <f aca="false">N343+K343+H343</f>
        <v>11</v>
      </c>
      <c r="S343" s="126" t="n">
        <f aca="false">O343+L343+I343</f>
        <v>6.96</v>
      </c>
      <c r="T343" s="127"/>
      <c r="U343" s="5" t="n">
        <f aca="false">A344-A343</f>
        <v>30</v>
      </c>
      <c r="V343" s="128" t="n">
        <f aca="false">CHOOSE(F$3,A344+24,A343)</f>
        <v>47423</v>
      </c>
      <c r="W343" s="5" t="n">
        <f aca="false">V343-C$3</f>
        <v>10192</v>
      </c>
      <c r="X343" s="124" t="n">
        <f aca="false">VLOOKUP($A343,Table,MATCH(X$4,Curves,0))</f>
        <v>2</v>
      </c>
      <c r="Y343" s="129" t="n">
        <f aca="false">1/(1+CHOOSE(F$3,(X344+($K$3/10000))/2,(X343+($K$3/10000))/2))^(2*W343/365.25)</f>
        <v>1.58493883759166E-017</v>
      </c>
      <c r="Z343" s="5" t="n">
        <f aca="false">IF(AND(mthbeg&lt;=A343,mthend&gt;=A343),1,0)</f>
        <v>0</v>
      </c>
      <c r="AA343" s="5" t="n">
        <f aca="false">U343*Z343</f>
        <v>0</v>
      </c>
      <c r="AC343" s="115" t="n">
        <f aca="false">IF(G336=2,F343*(S343-Q343),F343*(Q343-S343))</f>
        <v>0</v>
      </c>
      <c r="AE343" s="116" t="n">
        <f aca="false">IF($G$3=1,F343*(R343-Q343),F343*(Q343-R343))</f>
        <v>0</v>
      </c>
      <c r="AG343" s="116" t="n">
        <f aca="false">AC343+AE343</f>
        <v>0</v>
      </c>
    </row>
    <row r="344" customFormat="false" ht="12" hidden="false" customHeight="true" outlineLevel="0" collapsed="false">
      <c r="A344" s="120" t="n">
        <f aca="false">EDATE(A343,1)</f>
        <v>47453</v>
      </c>
      <c r="B344" s="121" t="e">
        <f aca="false">VLOOKUP(A344,'Inputs-Summary'!$A$32:$E$41,5,FALSE())</f>
        <v>#N/A</v>
      </c>
      <c r="C344" s="122"/>
      <c r="D344" s="123" t="e">
        <f aca="false">B344+C344</f>
        <v>#N/A</v>
      </c>
      <c r="E344" s="111" t="n">
        <f aca="false">IF(Z344=0,0,IF(AND(Z344=1,$H$3=1),D344*U344,IF($H$3=2,D344,"N/A")))</f>
        <v>0</v>
      </c>
      <c r="F344" s="111" t="n">
        <f aca="false">E344*Y344</f>
        <v>0</v>
      </c>
      <c r="G344" s="124" t="n">
        <f aca="false">VLOOKUP($A344,Table,MATCH(G$4,Curves,0))</f>
        <v>3</v>
      </c>
      <c r="H344" s="125" t="n">
        <f aca="false">G344+$H$7</f>
        <v>3</v>
      </c>
      <c r="I344" s="124" t="n">
        <f aca="false">H344</f>
        <v>3</v>
      </c>
      <c r="J344" s="124" t="n">
        <f aca="false">VLOOKUP($A344,Table,MATCH(J$4,Curves,0))</f>
        <v>4</v>
      </c>
      <c r="K344" s="125" t="n">
        <f aca="false">J344+$K$7</f>
        <v>4</v>
      </c>
      <c r="L344" s="126" t="n">
        <f aca="false">K344</f>
        <v>4</v>
      </c>
      <c r="M344" s="124" t="n">
        <f aca="false">VLOOKUP($A344,Table,MATCH(M$4,Curves,0))</f>
        <v>4</v>
      </c>
      <c r="N344" s="125" t="n">
        <f aca="false">M344+$N$7</f>
        <v>4</v>
      </c>
      <c r="O344" s="126" t="n">
        <v>-0.04</v>
      </c>
      <c r="P344" s="114"/>
      <c r="Q344" s="126" t="n">
        <f aca="false">M344+J344+G344</f>
        <v>11</v>
      </c>
      <c r="R344" s="126" t="n">
        <f aca="false">N344+K344+H344</f>
        <v>11</v>
      </c>
      <c r="S344" s="126" t="n">
        <f aca="false">O344+L344+I344</f>
        <v>6.96</v>
      </c>
      <c r="T344" s="127"/>
      <c r="U344" s="5" t="n">
        <f aca="false">A345-A344</f>
        <v>31</v>
      </c>
      <c r="V344" s="128" t="n">
        <f aca="false">CHOOSE(F$3,A345+24,A344)</f>
        <v>47453</v>
      </c>
      <c r="W344" s="5" t="n">
        <f aca="false">V344-C$3</f>
        <v>10222</v>
      </c>
      <c r="X344" s="124" t="n">
        <f aca="false">VLOOKUP($A344,Table,MATCH(X$4,Curves,0))</f>
        <v>2</v>
      </c>
      <c r="Y344" s="129" t="n">
        <f aca="false">1/(1+CHOOSE(F$3,(X345+($K$3/10000))/2,(X344+($K$3/10000))/2))^(2*W344/365.25)</f>
        <v>1.41436660949288E-017</v>
      </c>
      <c r="Z344" s="5" t="n">
        <f aca="false">IF(AND(mthbeg&lt;=A344,mthend&gt;=A344),1,0)</f>
        <v>0</v>
      </c>
      <c r="AA344" s="5" t="n">
        <f aca="false">U344*Z344</f>
        <v>0</v>
      </c>
      <c r="AC344" s="115" t="n">
        <f aca="false">IF(G337=2,F344*(S344-Q344),F344*(Q344-S344))</f>
        <v>0</v>
      </c>
      <c r="AE344" s="116" t="n">
        <f aca="false">IF($G$3=1,F344*(R344-Q344),F344*(Q344-R344))</f>
        <v>0</v>
      </c>
      <c r="AG344" s="116" t="n">
        <f aca="false">AC344+AE344</f>
        <v>0</v>
      </c>
    </row>
    <row r="345" customFormat="false" ht="12" hidden="false" customHeight="true" outlineLevel="0" collapsed="false">
      <c r="A345" s="120" t="n">
        <f aca="false">EDATE(A344,1)</f>
        <v>47484</v>
      </c>
      <c r="B345" s="121" t="e">
        <f aca="false">VLOOKUP(A345,'Inputs-Summary'!$A$32:$E$41,5,FALSE())</f>
        <v>#N/A</v>
      </c>
      <c r="C345" s="122"/>
      <c r="D345" s="123" t="e">
        <f aca="false">B345+C345</f>
        <v>#N/A</v>
      </c>
      <c r="E345" s="111" t="n">
        <f aca="false">IF(Z345=0,0,IF(AND(Z345=1,$H$3=1),D345*U345,IF($H$3=2,D345,"N/A")))</f>
        <v>0</v>
      </c>
      <c r="F345" s="111" t="n">
        <f aca="false">E345*Y345</f>
        <v>0</v>
      </c>
      <c r="G345" s="124" t="n">
        <f aca="false">VLOOKUP($A345,Table,MATCH(G$4,Curves,0))</f>
        <v>3</v>
      </c>
      <c r="H345" s="125" t="n">
        <f aca="false">G345+$H$7</f>
        <v>3</v>
      </c>
      <c r="I345" s="124" t="n">
        <f aca="false">H345</f>
        <v>3</v>
      </c>
      <c r="J345" s="124" t="n">
        <f aca="false">VLOOKUP($A345,Table,MATCH(J$4,Curves,0))</f>
        <v>4</v>
      </c>
      <c r="K345" s="125" t="n">
        <f aca="false">J345+$K$7</f>
        <v>4</v>
      </c>
      <c r="L345" s="126" t="n">
        <f aca="false">K345</f>
        <v>4</v>
      </c>
      <c r="M345" s="124" t="n">
        <f aca="false">VLOOKUP($A345,Table,MATCH(M$4,Curves,0))</f>
        <v>4</v>
      </c>
      <c r="N345" s="125" t="n">
        <f aca="false">M345+$N$7</f>
        <v>4</v>
      </c>
      <c r="O345" s="126" t="n">
        <v>-0.04</v>
      </c>
      <c r="P345" s="114"/>
      <c r="Q345" s="126" t="n">
        <f aca="false">M345+J345+G345</f>
        <v>11</v>
      </c>
      <c r="R345" s="126" t="n">
        <f aca="false">N345+K345+H345</f>
        <v>11</v>
      </c>
      <c r="S345" s="126" t="n">
        <f aca="false">O345+L345+I345</f>
        <v>6.96</v>
      </c>
      <c r="T345" s="127"/>
      <c r="U345" s="5" t="n">
        <f aca="false">A346-A345</f>
        <v>31</v>
      </c>
      <c r="V345" s="128" t="n">
        <f aca="false">CHOOSE(F$3,A346+24,A345)</f>
        <v>47484</v>
      </c>
      <c r="W345" s="5" t="n">
        <f aca="false">V345-C$3</f>
        <v>10253</v>
      </c>
      <c r="X345" s="124" t="n">
        <f aca="false">VLOOKUP($A345,Table,MATCH(X$4,Curves,0))</f>
        <v>2</v>
      </c>
      <c r="Y345" s="129" t="n">
        <f aca="false">1/(1+CHOOSE(F$3,(X346+($K$3/10000))/2,(X345+($K$3/10000))/2))^(2*W345/365.25)</f>
        <v>1.25737010915643E-017</v>
      </c>
      <c r="Z345" s="5" t="n">
        <f aca="false">IF(AND(mthbeg&lt;=A345,mthend&gt;=A345),1,0)</f>
        <v>0</v>
      </c>
      <c r="AA345" s="5" t="n">
        <f aca="false">U345*Z345</f>
        <v>0</v>
      </c>
      <c r="AC345" s="115" t="n">
        <f aca="false">IF(G338=2,F345*(S345-Q345),F345*(Q345-S345))</f>
        <v>0</v>
      </c>
      <c r="AE345" s="116" t="n">
        <f aca="false">IF($G$3=1,F345*(R345-Q345),F345*(Q345-R345))</f>
        <v>0</v>
      </c>
      <c r="AG345" s="116" t="n">
        <f aca="false">AC345+AE345</f>
        <v>0</v>
      </c>
    </row>
    <row r="346" customFormat="false" ht="12" hidden="false" customHeight="true" outlineLevel="0" collapsed="false">
      <c r="A346" s="120" t="n">
        <f aca="false">EDATE(A345,1)</f>
        <v>47515</v>
      </c>
      <c r="B346" s="121" t="e">
        <f aca="false">VLOOKUP(A346,'Inputs-Summary'!$A$32:$E$41,5,FALSE())</f>
        <v>#N/A</v>
      </c>
      <c r="C346" s="122"/>
      <c r="D346" s="123" t="e">
        <f aca="false">B346+C346</f>
        <v>#N/A</v>
      </c>
      <c r="E346" s="111" t="n">
        <f aca="false">IF(Z346=0,0,IF(AND(Z346=1,$H$3=1),D346*U346,IF($H$3=2,D346,"N/A")))</f>
        <v>0</v>
      </c>
      <c r="F346" s="111" t="n">
        <f aca="false">E346*Y346</f>
        <v>0</v>
      </c>
      <c r="G346" s="124" t="n">
        <f aca="false">VLOOKUP($A346,Table,MATCH(G$4,Curves,0))</f>
        <v>3</v>
      </c>
      <c r="H346" s="125" t="n">
        <f aca="false">G346+$H$7</f>
        <v>3</v>
      </c>
      <c r="I346" s="124" t="n">
        <f aca="false">H346</f>
        <v>3</v>
      </c>
      <c r="J346" s="124" t="n">
        <f aca="false">VLOOKUP($A346,Table,MATCH(J$4,Curves,0))</f>
        <v>4</v>
      </c>
      <c r="K346" s="125" t="n">
        <f aca="false">J346+$K$7</f>
        <v>4</v>
      </c>
      <c r="L346" s="126" t="n">
        <f aca="false">K346</f>
        <v>4</v>
      </c>
      <c r="M346" s="124" t="n">
        <f aca="false">VLOOKUP($A346,Table,MATCH(M$4,Curves,0))</f>
        <v>4</v>
      </c>
      <c r="N346" s="125" t="n">
        <f aca="false">M346+$N$7</f>
        <v>4</v>
      </c>
      <c r="O346" s="126" t="n">
        <v>-0.04</v>
      </c>
      <c r="P346" s="114"/>
      <c r="Q346" s="126" t="n">
        <f aca="false">M346+J346+G346</f>
        <v>11</v>
      </c>
      <c r="R346" s="126" t="n">
        <f aca="false">N346+K346+H346</f>
        <v>11</v>
      </c>
      <c r="S346" s="126" t="n">
        <f aca="false">O346+L346+I346</f>
        <v>6.96</v>
      </c>
      <c r="T346" s="127"/>
      <c r="U346" s="5" t="n">
        <f aca="false">A347-A346</f>
        <v>28</v>
      </c>
      <c r="V346" s="128" t="n">
        <f aca="false">CHOOSE(F$3,A347+24,A346)</f>
        <v>47515</v>
      </c>
      <c r="W346" s="5" t="n">
        <f aca="false">V346-C$3</f>
        <v>10284</v>
      </c>
      <c r="X346" s="124" t="n">
        <f aca="false">VLOOKUP($A346,Table,MATCH(X$4,Curves,0))</f>
        <v>2</v>
      </c>
      <c r="Y346" s="129" t="n">
        <f aca="false">1/(1+CHOOSE(F$3,(X347+($K$3/10000))/2,(X346+($K$3/10000))/2))^(2*W346/365.25)</f>
        <v>1.11780042090142E-017</v>
      </c>
      <c r="Z346" s="5" t="n">
        <f aca="false">IF(AND(mthbeg&lt;=A346,mthend&gt;=A346),1,0)</f>
        <v>0</v>
      </c>
      <c r="AA346" s="5" t="n">
        <f aca="false">U346*Z346</f>
        <v>0</v>
      </c>
      <c r="AC346" s="115" t="n">
        <f aca="false">IF(G339=2,F346*(S346-Q346),F346*(Q346-S346))</f>
        <v>0</v>
      </c>
      <c r="AE346" s="116" t="n">
        <f aca="false">IF($G$3=1,F346*(R346-Q346),F346*(Q346-R346))</f>
        <v>0</v>
      </c>
      <c r="AG346" s="116" t="n">
        <f aca="false">AC346+AE346</f>
        <v>0</v>
      </c>
    </row>
    <row r="347" customFormat="false" ht="12" hidden="false" customHeight="true" outlineLevel="0" collapsed="false">
      <c r="A347" s="120" t="n">
        <f aca="false">EDATE(A346,1)</f>
        <v>47543</v>
      </c>
      <c r="B347" s="121" t="e">
        <f aca="false">VLOOKUP(A347,'Inputs-Summary'!$A$32:$E$41,5,FALSE())</f>
        <v>#N/A</v>
      </c>
      <c r="C347" s="122"/>
      <c r="D347" s="123" t="e">
        <f aca="false">B347+C347</f>
        <v>#N/A</v>
      </c>
      <c r="E347" s="111" t="n">
        <f aca="false">IF(Z347=0,0,IF(AND(Z347=1,$H$3=1),D347*U347,IF($H$3=2,D347,"N/A")))</f>
        <v>0</v>
      </c>
      <c r="F347" s="111" t="n">
        <f aca="false">E347*Y347</f>
        <v>0</v>
      </c>
      <c r="G347" s="124" t="n">
        <f aca="false">VLOOKUP($A347,Table,MATCH(G$4,Curves,0))</f>
        <v>3</v>
      </c>
      <c r="H347" s="125" t="n">
        <f aca="false">G347+$H$7</f>
        <v>3</v>
      </c>
      <c r="I347" s="124" t="n">
        <f aca="false">H347</f>
        <v>3</v>
      </c>
      <c r="J347" s="124" t="n">
        <f aca="false">VLOOKUP($A347,Table,MATCH(J$4,Curves,0))</f>
        <v>4</v>
      </c>
      <c r="K347" s="125" t="n">
        <f aca="false">J347+$K$7</f>
        <v>4</v>
      </c>
      <c r="L347" s="126" t="n">
        <f aca="false">K347</f>
        <v>4</v>
      </c>
      <c r="M347" s="124" t="n">
        <f aca="false">VLOOKUP($A347,Table,MATCH(M$4,Curves,0))</f>
        <v>4</v>
      </c>
      <c r="N347" s="125" t="n">
        <f aca="false">M347+$N$7</f>
        <v>4</v>
      </c>
      <c r="O347" s="126" t="n">
        <v>-0.04</v>
      </c>
      <c r="P347" s="114"/>
      <c r="Q347" s="126" t="n">
        <f aca="false">M347+J347+G347</f>
        <v>11</v>
      </c>
      <c r="R347" s="126" t="n">
        <f aca="false">N347+K347+H347</f>
        <v>11</v>
      </c>
      <c r="S347" s="126" t="n">
        <f aca="false">O347+L347+I347</f>
        <v>6.96</v>
      </c>
      <c r="T347" s="127"/>
      <c r="U347" s="5" t="n">
        <f aca="false">A348-A347</f>
        <v>31</v>
      </c>
      <c r="V347" s="128" t="n">
        <f aca="false">CHOOSE(F$3,A348+24,A347)</f>
        <v>47543</v>
      </c>
      <c r="W347" s="5" t="n">
        <f aca="false">V347-C$3</f>
        <v>10312</v>
      </c>
      <c r="X347" s="124" t="n">
        <f aca="false">VLOOKUP($A347,Table,MATCH(X$4,Curves,0))</f>
        <v>2</v>
      </c>
      <c r="Y347" s="129" t="n">
        <f aca="false">1/(1+CHOOSE(F$3,(X348+($K$3/10000))/2,(X347+($K$3/10000))/2))^(2*W347/365.25)</f>
        <v>1.00510274023925E-017</v>
      </c>
      <c r="Z347" s="5" t="n">
        <f aca="false">IF(AND(mthbeg&lt;=A347,mthend&gt;=A347),1,0)</f>
        <v>0</v>
      </c>
      <c r="AA347" s="5" t="n">
        <f aca="false">U347*Z347</f>
        <v>0</v>
      </c>
      <c r="AC347" s="115" t="n">
        <f aca="false">IF(G340=2,F347*(S347-Q347),F347*(Q347-S347))</f>
        <v>0</v>
      </c>
      <c r="AE347" s="116" t="n">
        <f aca="false">IF($G$3=1,F347*(R347-Q347),F347*(Q347-R347))</f>
        <v>0</v>
      </c>
      <c r="AG347" s="116" t="n">
        <f aca="false">AC347+AE347</f>
        <v>0</v>
      </c>
    </row>
    <row r="348" customFormat="false" ht="12" hidden="false" customHeight="true" outlineLevel="0" collapsed="false">
      <c r="A348" s="120" t="n">
        <f aca="false">EDATE(A347,1)</f>
        <v>47574</v>
      </c>
      <c r="B348" s="121" t="e">
        <f aca="false">VLOOKUP(A348,'Inputs-Summary'!$A$32:$E$41,5,FALSE())</f>
        <v>#N/A</v>
      </c>
      <c r="C348" s="122"/>
      <c r="D348" s="123" t="e">
        <f aca="false">B348+C348</f>
        <v>#N/A</v>
      </c>
      <c r="E348" s="111" t="n">
        <f aca="false">IF(Z348=0,0,IF(AND(Z348=1,$H$3=1),D348*U348,IF($H$3=2,D348,"N/A")))</f>
        <v>0</v>
      </c>
      <c r="F348" s="111" t="n">
        <f aca="false">E348*Y348</f>
        <v>0</v>
      </c>
      <c r="G348" s="124" t="n">
        <f aca="false">VLOOKUP($A348,Table,MATCH(G$4,Curves,0))</f>
        <v>3</v>
      </c>
      <c r="H348" s="125" t="n">
        <f aca="false">G348+$H$7</f>
        <v>3</v>
      </c>
      <c r="I348" s="124" t="n">
        <f aca="false">H348</f>
        <v>3</v>
      </c>
      <c r="J348" s="124" t="n">
        <f aca="false">VLOOKUP($A348,Table,MATCH(J$4,Curves,0))</f>
        <v>4</v>
      </c>
      <c r="K348" s="125" t="n">
        <f aca="false">J348+$K$7</f>
        <v>4</v>
      </c>
      <c r="L348" s="126" t="n">
        <f aca="false">K348</f>
        <v>4</v>
      </c>
      <c r="M348" s="124" t="n">
        <f aca="false">VLOOKUP($A348,Table,MATCH(M$4,Curves,0))</f>
        <v>4</v>
      </c>
      <c r="N348" s="125" t="n">
        <f aca="false">M348+$N$7</f>
        <v>4</v>
      </c>
      <c r="O348" s="126" t="n">
        <v>-0.04</v>
      </c>
      <c r="P348" s="114"/>
      <c r="Q348" s="126" t="n">
        <f aca="false">M348+J348+G348</f>
        <v>11</v>
      </c>
      <c r="R348" s="126" t="n">
        <f aca="false">N348+K348+H348</f>
        <v>11</v>
      </c>
      <c r="S348" s="126" t="n">
        <f aca="false">O348+L348+I348</f>
        <v>6.96</v>
      </c>
      <c r="T348" s="127"/>
      <c r="U348" s="5" t="n">
        <f aca="false">A349-A348</f>
        <v>30</v>
      </c>
      <c r="V348" s="128" t="n">
        <f aca="false">CHOOSE(F$3,A349+24,A348)</f>
        <v>47574</v>
      </c>
      <c r="W348" s="5" t="n">
        <f aca="false">V348-C$3</f>
        <v>10343</v>
      </c>
      <c r="X348" s="124" t="n">
        <f aca="false">VLOOKUP($A348,Table,MATCH(X$4,Curves,0))</f>
        <v>2</v>
      </c>
      <c r="Y348" s="129" t="n">
        <f aca="false">1/(1+CHOOSE(F$3,(X349+($K$3/10000))/2,(X348+($K$3/10000))/2))^(2*W348/365.25)</f>
        <v>8.93535052175182E-018</v>
      </c>
      <c r="Z348" s="5" t="n">
        <f aca="false">IF(AND(mthbeg&lt;=A348,mthend&gt;=A348),1,0)</f>
        <v>0</v>
      </c>
      <c r="AA348" s="5" t="n">
        <f aca="false">U348*Z348</f>
        <v>0</v>
      </c>
      <c r="AC348" s="115" t="n">
        <f aca="false">IF(G341=2,F348*(S348-Q348),F348*(Q348-S348))</f>
        <v>0</v>
      </c>
      <c r="AE348" s="116" t="n">
        <f aca="false">IF($G$3=1,F348*(R348-Q348),F348*(Q348-R348))</f>
        <v>0</v>
      </c>
      <c r="AG348" s="116" t="n">
        <f aca="false">AC348+AE348</f>
        <v>0</v>
      </c>
    </row>
    <row r="349" customFormat="false" ht="12" hidden="false" customHeight="true" outlineLevel="0" collapsed="false">
      <c r="A349" s="120" t="n">
        <f aca="false">EDATE(A348,1)</f>
        <v>47604</v>
      </c>
      <c r="B349" s="121" t="e">
        <f aca="false">VLOOKUP(A349,'Inputs-Summary'!$A$32:$E$41,5,FALSE())</f>
        <v>#N/A</v>
      </c>
      <c r="C349" s="122"/>
      <c r="D349" s="123" t="e">
        <f aca="false">B349+C349</f>
        <v>#N/A</v>
      </c>
      <c r="E349" s="111" t="n">
        <f aca="false">IF(Z349=0,0,IF(AND(Z349=1,$H$3=1),D349*U349,IF($H$3=2,D349,"N/A")))</f>
        <v>0</v>
      </c>
      <c r="F349" s="111" t="n">
        <f aca="false">E349*Y349</f>
        <v>0</v>
      </c>
      <c r="G349" s="124" t="n">
        <f aca="false">VLOOKUP($A349,Table,MATCH(G$4,Curves,0))</f>
        <v>3</v>
      </c>
      <c r="H349" s="125" t="n">
        <f aca="false">G349+$H$7</f>
        <v>3</v>
      </c>
      <c r="I349" s="124" t="n">
        <f aca="false">H349</f>
        <v>3</v>
      </c>
      <c r="J349" s="124" t="n">
        <f aca="false">VLOOKUP($A349,Table,MATCH(J$4,Curves,0))</f>
        <v>4</v>
      </c>
      <c r="K349" s="125" t="n">
        <f aca="false">J349+$K$7</f>
        <v>4</v>
      </c>
      <c r="L349" s="126" t="n">
        <f aca="false">K349</f>
        <v>4</v>
      </c>
      <c r="M349" s="124" t="n">
        <f aca="false">VLOOKUP($A349,Table,MATCH(M$4,Curves,0))</f>
        <v>4</v>
      </c>
      <c r="N349" s="125" t="n">
        <f aca="false">M349+$N$7</f>
        <v>4</v>
      </c>
      <c r="O349" s="126" t="n">
        <v>-0.04</v>
      </c>
      <c r="P349" s="114"/>
      <c r="Q349" s="126" t="n">
        <f aca="false">M349+J349+G349</f>
        <v>11</v>
      </c>
      <c r="R349" s="126" t="n">
        <f aca="false">N349+K349+H349</f>
        <v>11</v>
      </c>
      <c r="S349" s="126" t="n">
        <f aca="false">O349+L349+I349</f>
        <v>6.96</v>
      </c>
      <c r="T349" s="127"/>
      <c r="U349" s="5" t="n">
        <f aca="false">A350-A349</f>
        <v>31</v>
      </c>
      <c r="V349" s="128" t="n">
        <f aca="false">CHOOSE(F$3,A350+24,A349)</f>
        <v>47604</v>
      </c>
      <c r="W349" s="5" t="n">
        <f aca="false">V349-C$3</f>
        <v>10373</v>
      </c>
      <c r="X349" s="124" t="n">
        <f aca="false">VLOOKUP($A349,Table,MATCH(X$4,Curves,0))</f>
        <v>2</v>
      </c>
      <c r="Y349" s="129" t="n">
        <f aca="false">1/(1+CHOOSE(F$3,(X350+($K$3/10000))/2,(X349+($K$3/10000))/2))^(2*W349/365.25)</f>
        <v>7.97372183855626E-018</v>
      </c>
      <c r="Z349" s="5" t="n">
        <f aca="false">IF(AND(mthbeg&lt;=A349,mthend&gt;=A349),1,0)</f>
        <v>0</v>
      </c>
      <c r="AA349" s="5" t="n">
        <f aca="false">U349*Z349</f>
        <v>0</v>
      </c>
      <c r="AC349" s="115" t="n">
        <f aca="false">IF(G342=2,F349*(S349-Q349),F349*(Q349-S349))</f>
        <v>0</v>
      </c>
      <c r="AE349" s="116" t="n">
        <f aca="false">IF($G$3=1,F349*(R349-Q349),F349*(Q349-R349))</f>
        <v>0</v>
      </c>
      <c r="AG349" s="116" t="n">
        <f aca="false">AC349+AE349</f>
        <v>0</v>
      </c>
    </row>
    <row r="350" customFormat="false" ht="12" hidden="false" customHeight="true" outlineLevel="0" collapsed="false">
      <c r="A350" s="120" t="n">
        <f aca="false">EDATE(A349,1)</f>
        <v>47635</v>
      </c>
      <c r="B350" s="121" t="e">
        <f aca="false">VLOOKUP(A350,'Inputs-Summary'!$A$32:$E$41,5,FALSE())</f>
        <v>#N/A</v>
      </c>
      <c r="C350" s="122"/>
      <c r="D350" s="123" t="e">
        <f aca="false">B350+C350</f>
        <v>#N/A</v>
      </c>
      <c r="E350" s="111" t="n">
        <f aca="false">IF(Z350=0,0,IF(AND(Z350=1,$H$3=1),D350*U350,IF($H$3=2,D350,"N/A")))</f>
        <v>0</v>
      </c>
      <c r="F350" s="111" t="n">
        <f aca="false">E350*Y350</f>
        <v>0</v>
      </c>
      <c r="G350" s="124" t="n">
        <f aca="false">VLOOKUP($A350,Table,MATCH(G$4,Curves,0))</f>
        <v>3</v>
      </c>
      <c r="H350" s="125" t="n">
        <f aca="false">G350+$H$7</f>
        <v>3</v>
      </c>
      <c r="I350" s="124" t="n">
        <f aca="false">H350</f>
        <v>3</v>
      </c>
      <c r="J350" s="124" t="n">
        <f aca="false">VLOOKUP($A350,Table,MATCH(J$4,Curves,0))</f>
        <v>4</v>
      </c>
      <c r="K350" s="125" t="n">
        <f aca="false">J350+$K$7</f>
        <v>4</v>
      </c>
      <c r="L350" s="126" t="n">
        <f aca="false">K350</f>
        <v>4</v>
      </c>
      <c r="M350" s="124" t="n">
        <f aca="false">VLOOKUP($A350,Table,MATCH(M$4,Curves,0))</f>
        <v>4</v>
      </c>
      <c r="N350" s="125" t="n">
        <f aca="false">M350+$N$7</f>
        <v>4</v>
      </c>
      <c r="O350" s="126" t="n">
        <v>-0.04</v>
      </c>
      <c r="P350" s="114"/>
      <c r="Q350" s="126" t="n">
        <f aca="false">M350+J350+G350</f>
        <v>11</v>
      </c>
      <c r="R350" s="126" t="n">
        <f aca="false">N350+K350+H350</f>
        <v>11</v>
      </c>
      <c r="S350" s="126" t="n">
        <f aca="false">O350+L350+I350</f>
        <v>6.96</v>
      </c>
      <c r="T350" s="127"/>
      <c r="U350" s="5" t="n">
        <f aca="false">A351-A350</f>
        <v>30</v>
      </c>
      <c r="V350" s="128" t="n">
        <f aca="false">CHOOSE(F$3,A351+24,A350)</f>
        <v>47635</v>
      </c>
      <c r="W350" s="5" t="n">
        <f aca="false">V350-C$3</f>
        <v>10404</v>
      </c>
      <c r="X350" s="124" t="n">
        <f aca="false">VLOOKUP($A350,Table,MATCH(X$4,Curves,0))</f>
        <v>2</v>
      </c>
      <c r="Y350" s="129" t="n">
        <f aca="false">1/(1+CHOOSE(F$3,(X351+($K$3/10000))/2,(X350+($K$3/10000))/2))^(2*W350/365.25)</f>
        <v>7.08862852900868E-018</v>
      </c>
      <c r="Z350" s="5" t="n">
        <f aca="false">IF(AND(mthbeg&lt;=A350,mthend&gt;=A350),1,0)</f>
        <v>0</v>
      </c>
      <c r="AA350" s="5" t="n">
        <f aca="false">U350*Z350</f>
        <v>0</v>
      </c>
      <c r="AC350" s="115" t="n">
        <f aca="false">IF(G343=2,F350*(S350-Q350),F350*(Q350-S350))</f>
        <v>0</v>
      </c>
      <c r="AE350" s="116" t="n">
        <f aca="false">IF($G$3=1,F350*(R350-Q350),F350*(Q350-R350))</f>
        <v>0</v>
      </c>
      <c r="AG350" s="116" t="n">
        <f aca="false">AC350+AE350</f>
        <v>0</v>
      </c>
    </row>
    <row r="351" customFormat="false" ht="12" hidden="false" customHeight="true" outlineLevel="0" collapsed="false">
      <c r="A351" s="120" t="n">
        <f aca="false">EDATE(A350,1)</f>
        <v>47665</v>
      </c>
      <c r="B351" s="121" t="e">
        <f aca="false">VLOOKUP(A351,'Inputs-Summary'!$A$32:$E$41,5,FALSE())</f>
        <v>#N/A</v>
      </c>
      <c r="C351" s="122"/>
      <c r="D351" s="123" t="e">
        <f aca="false">B351+C351</f>
        <v>#N/A</v>
      </c>
      <c r="E351" s="111" t="n">
        <f aca="false">IF(Z351=0,0,IF(AND(Z351=1,$H$3=1),D351*U351,IF($H$3=2,D351,"N/A")))</f>
        <v>0</v>
      </c>
      <c r="F351" s="111" t="n">
        <f aca="false">E351*Y351</f>
        <v>0</v>
      </c>
      <c r="G351" s="124" t="n">
        <f aca="false">VLOOKUP($A351,Table,MATCH(G$4,Curves,0))</f>
        <v>3</v>
      </c>
      <c r="H351" s="125" t="n">
        <f aca="false">G351+$H$7</f>
        <v>3</v>
      </c>
      <c r="I351" s="124" t="n">
        <f aca="false">H351</f>
        <v>3</v>
      </c>
      <c r="J351" s="124" t="n">
        <f aca="false">VLOOKUP($A351,Table,MATCH(J$4,Curves,0))</f>
        <v>4</v>
      </c>
      <c r="K351" s="125" t="n">
        <f aca="false">J351+$K$7</f>
        <v>4</v>
      </c>
      <c r="L351" s="126" t="n">
        <f aca="false">K351</f>
        <v>4</v>
      </c>
      <c r="M351" s="124" t="n">
        <f aca="false">VLOOKUP($A351,Table,MATCH(M$4,Curves,0))</f>
        <v>4</v>
      </c>
      <c r="N351" s="125" t="n">
        <f aca="false">M351+$N$7</f>
        <v>4</v>
      </c>
      <c r="O351" s="126" t="n">
        <v>-0.04</v>
      </c>
      <c r="P351" s="114"/>
      <c r="Q351" s="126" t="n">
        <f aca="false">M351+J351+G351</f>
        <v>11</v>
      </c>
      <c r="R351" s="126" t="n">
        <f aca="false">N351+K351+H351</f>
        <v>11</v>
      </c>
      <c r="S351" s="126" t="n">
        <f aca="false">O351+L351+I351</f>
        <v>6.96</v>
      </c>
      <c r="T351" s="127"/>
      <c r="U351" s="5" t="n">
        <f aca="false">A352-A351</f>
        <v>31</v>
      </c>
      <c r="V351" s="128" t="n">
        <f aca="false">CHOOSE(F$3,A352+24,A351)</f>
        <v>47665</v>
      </c>
      <c r="W351" s="5" t="n">
        <f aca="false">V351-C$3</f>
        <v>10434</v>
      </c>
      <c r="X351" s="124" t="n">
        <f aca="false">VLOOKUP($A351,Table,MATCH(X$4,Curves,0))</f>
        <v>2</v>
      </c>
      <c r="Y351" s="129" t="n">
        <f aca="false">1/(1+CHOOSE(F$3,(X352+($K$3/10000))/2,(X351+($K$3/10000))/2))^(2*W351/365.25)</f>
        <v>6.32574536047276E-018</v>
      </c>
      <c r="Z351" s="5" t="n">
        <f aca="false">IF(AND(mthbeg&lt;=A351,mthend&gt;=A351),1,0)</f>
        <v>0</v>
      </c>
      <c r="AA351" s="5" t="n">
        <f aca="false">U351*Z351</f>
        <v>0</v>
      </c>
      <c r="AC351" s="115" t="n">
        <f aca="false">IF(G344=2,F351*(S351-Q351),F351*(Q351-S351))</f>
        <v>0</v>
      </c>
      <c r="AE351" s="116" t="n">
        <f aca="false">IF($G$3=1,F351*(R351-Q351),F351*(Q351-R351))</f>
        <v>0</v>
      </c>
      <c r="AG351" s="116" t="n">
        <f aca="false">AC351+AE351</f>
        <v>0</v>
      </c>
    </row>
    <row r="352" customFormat="false" ht="12" hidden="false" customHeight="true" outlineLevel="0" collapsed="false">
      <c r="A352" s="120" t="n">
        <f aca="false">EDATE(A351,1)</f>
        <v>47696</v>
      </c>
      <c r="B352" s="121" t="e">
        <f aca="false">VLOOKUP(A352,'Inputs-Summary'!$A$32:$E$41,5,FALSE())</f>
        <v>#N/A</v>
      </c>
      <c r="C352" s="122"/>
      <c r="D352" s="123" t="e">
        <f aca="false">B352+C352</f>
        <v>#N/A</v>
      </c>
      <c r="E352" s="111" t="n">
        <f aca="false">IF(Z352=0,0,IF(AND(Z352=1,$H$3=1),D352*U352,IF($H$3=2,D352,"N/A")))</f>
        <v>0</v>
      </c>
      <c r="F352" s="111" t="n">
        <f aca="false">E352*Y352</f>
        <v>0</v>
      </c>
      <c r="G352" s="124" t="n">
        <f aca="false">VLOOKUP($A352,Table,MATCH(G$4,Curves,0))</f>
        <v>3</v>
      </c>
      <c r="H352" s="125" t="n">
        <f aca="false">G352+$H$7</f>
        <v>3</v>
      </c>
      <c r="I352" s="124" t="n">
        <f aca="false">H352</f>
        <v>3</v>
      </c>
      <c r="J352" s="124" t="n">
        <f aca="false">VLOOKUP($A352,Table,MATCH(J$4,Curves,0))</f>
        <v>4</v>
      </c>
      <c r="K352" s="125" t="n">
        <f aca="false">J352+$K$7</f>
        <v>4</v>
      </c>
      <c r="L352" s="126" t="n">
        <f aca="false">K352</f>
        <v>4</v>
      </c>
      <c r="M352" s="124" t="n">
        <f aca="false">VLOOKUP($A352,Table,MATCH(M$4,Curves,0))</f>
        <v>4</v>
      </c>
      <c r="N352" s="125" t="n">
        <f aca="false">M352+$N$7</f>
        <v>4</v>
      </c>
      <c r="O352" s="126" t="n">
        <v>-0.04</v>
      </c>
      <c r="P352" s="114"/>
      <c r="Q352" s="126" t="n">
        <f aca="false">M352+J352+G352</f>
        <v>11</v>
      </c>
      <c r="R352" s="126" t="n">
        <f aca="false">N352+K352+H352</f>
        <v>11</v>
      </c>
      <c r="S352" s="126" t="n">
        <f aca="false">O352+L352+I352</f>
        <v>6.96</v>
      </c>
      <c r="T352" s="127"/>
      <c r="U352" s="5" t="n">
        <f aca="false">A353-A352</f>
        <v>31</v>
      </c>
      <c r="V352" s="128" t="n">
        <f aca="false">CHOOSE(F$3,A353+24,A352)</f>
        <v>47696</v>
      </c>
      <c r="W352" s="5" t="n">
        <f aca="false">V352-C$3</f>
        <v>10465</v>
      </c>
      <c r="X352" s="124" t="n">
        <f aca="false">VLOOKUP($A352,Table,MATCH(X$4,Curves,0))</f>
        <v>2</v>
      </c>
      <c r="Y352" s="129" t="n">
        <f aca="false">1/(1+CHOOSE(F$3,(X353+($K$3/10000))/2,(X352+($K$3/10000))/2))^(2*W352/365.25)</f>
        <v>5.62357954508362E-018</v>
      </c>
      <c r="Z352" s="5" t="n">
        <f aca="false">IF(AND(mthbeg&lt;=A352,mthend&gt;=A352),1,0)</f>
        <v>0</v>
      </c>
      <c r="AA352" s="5" t="n">
        <f aca="false">U352*Z352</f>
        <v>0</v>
      </c>
      <c r="AC352" s="115" t="n">
        <f aca="false">IF(G345=2,F352*(S352-Q352),F352*(Q352-S352))</f>
        <v>0</v>
      </c>
      <c r="AE352" s="116" t="n">
        <f aca="false">IF($G$3=1,F352*(R352-Q352),F352*(Q352-R352))</f>
        <v>0</v>
      </c>
      <c r="AG352" s="116" t="n">
        <f aca="false">AC352+AE352</f>
        <v>0</v>
      </c>
    </row>
    <row r="353" customFormat="false" ht="12" hidden="false" customHeight="true" outlineLevel="0" collapsed="false">
      <c r="A353" s="120" t="n">
        <f aca="false">EDATE(A352,1)</f>
        <v>47727</v>
      </c>
      <c r="B353" s="121" t="e">
        <f aca="false">VLOOKUP(A353,'Inputs-Summary'!$A$32:$E$41,5,FALSE())</f>
        <v>#N/A</v>
      </c>
      <c r="C353" s="122"/>
      <c r="D353" s="123" t="e">
        <f aca="false">B353+C353</f>
        <v>#N/A</v>
      </c>
      <c r="E353" s="111" t="n">
        <f aca="false">IF(Z353=0,0,IF(AND(Z353=1,$H$3=1),D353*U353,IF($H$3=2,D353,"N/A")))</f>
        <v>0</v>
      </c>
      <c r="F353" s="111" t="n">
        <f aca="false">E353*Y353</f>
        <v>0</v>
      </c>
      <c r="G353" s="124" t="n">
        <f aca="false">VLOOKUP($A353,Table,MATCH(G$4,Curves,0))</f>
        <v>3</v>
      </c>
      <c r="H353" s="125" t="n">
        <f aca="false">G353+$H$7</f>
        <v>3</v>
      </c>
      <c r="I353" s="124" t="n">
        <f aca="false">H353</f>
        <v>3</v>
      </c>
      <c r="J353" s="124" t="n">
        <f aca="false">VLOOKUP($A353,Table,MATCH(J$4,Curves,0))</f>
        <v>4</v>
      </c>
      <c r="K353" s="125" t="n">
        <f aca="false">J353+$K$7</f>
        <v>4</v>
      </c>
      <c r="L353" s="126" t="n">
        <f aca="false">K353</f>
        <v>4</v>
      </c>
      <c r="M353" s="124" t="n">
        <f aca="false">VLOOKUP($A353,Table,MATCH(M$4,Curves,0))</f>
        <v>4</v>
      </c>
      <c r="N353" s="125" t="n">
        <f aca="false">M353+$N$7</f>
        <v>4</v>
      </c>
      <c r="O353" s="126" t="n">
        <v>-0.04</v>
      </c>
      <c r="P353" s="114"/>
      <c r="Q353" s="126" t="n">
        <f aca="false">M353+J353+G353</f>
        <v>11</v>
      </c>
      <c r="R353" s="126" t="n">
        <f aca="false">N353+K353+H353</f>
        <v>11</v>
      </c>
      <c r="S353" s="126" t="n">
        <f aca="false">O353+L353+I353</f>
        <v>6.96</v>
      </c>
      <c r="T353" s="127"/>
      <c r="U353" s="5" t="n">
        <f aca="false">A354-A353</f>
        <v>30</v>
      </c>
      <c r="V353" s="128" t="n">
        <f aca="false">CHOOSE(F$3,A354+24,A353)</f>
        <v>47727</v>
      </c>
      <c r="W353" s="5" t="n">
        <f aca="false">V353-C$3</f>
        <v>10496</v>
      </c>
      <c r="X353" s="124" t="n">
        <f aca="false">VLOOKUP($A353,Table,MATCH(X$4,Curves,0))</f>
        <v>2</v>
      </c>
      <c r="Y353" s="129" t="n">
        <f aca="false">1/(1+CHOOSE(F$3,(X354+($K$3/10000))/2,(X353+($K$3/10000))/2))^(2*W353/365.25)</f>
        <v>4.9993550321348E-018</v>
      </c>
      <c r="Z353" s="5" t="n">
        <f aca="false">IF(AND(mthbeg&lt;=A353,mthend&gt;=A353),1,0)</f>
        <v>0</v>
      </c>
      <c r="AA353" s="5" t="n">
        <f aca="false">U353*Z353</f>
        <v>0</v>
      </c>
      <c r="AC353" s="115" t="n">
        <f aca="false">IF(G346=2,F353*(S353-Q353),F353*(Q353-S353))</f>
        <v>0</v>
      </c>
      <c r="AE353" s="116" t="n">
        <f aca="false">IF($G$3=1,F353*(R353-Q353),F353*(Q353-R353))</f>
        <v>0</v>
      </c>
      <c r="AG353" s="116" t="n">
        <f aca="false">AC353+AE353</f>
        <v>0</v>
      </c>
    </row>
    <row r="354" customFormat="false" ht="12" hidden="false" customHeight="true" outlineLevel="0" collapsed="false">
      <c r="A354" s="120" t="n">
        <f aca="false">EDATE(A353,1)</f>
        <v>47757</v>
      </c>
      <c r="B354" s="121" t="e">
        <f aca="false">VLOOKUP(A354,'Inputs-Summary'!$A$32:$E$41,5,FALSE())</f>
        <v>#N/A</v>
      </c>
      <c r="C354" s="122"/>
      <c r="D354" s="123" t="e">
        <f aca="false">B354+C354</f>
        <v>#N/A</v>
      </c>
      <c r="E354" s="111" t="n">
        <f aca="false">IF(Z354=0,0,IF(AND(Z354=1,$H$3=1),D354*U354,IF($H$3=2,D354,"N/A")))</f>
        <v>0</v>
      </c>
      <c r="F354" s="111" t="n">
        <f aca="false">E354*Y354</f>
        <v>0</v>
      </c>
      <c r="G354" s="124" t="n">
        <f aca="false">VLOOKUP($A354,Table,MATCH(G$4,Curves,0))</f>
        <v>3</v>
      </c>
      <c r="H354" s="125" t="n">
        <f aca="false">G354+$H$7</f>
        <v>3</v>
      </c>
      <c r="I354" s="124" t="n">
        <f aca="false">H354</f>
        <v>3</v>
      </c>
      <c r="J354" s="124" t="n">
        <f aca="false">VLOOKUP($A354,Table,MATCH(J$4,Curves,0))</f>
        <v>4</v>
      </c>
      <c r="K354" s="125" t="n">
        <f aca="false">J354+$K$7</f>
        <v>4</v>
      </c>
      <c r="L354" s="126" t="n">
        <f aca="false">K354</f>
        <v>4</v>
      </c>
      <c r="M354" s="124" t="n">
        <f aca="false">VLOOKUP($A354,Table,MATCH(M$4,Curves,0))</f>
        <v>4</v>
      </c>
      <c r="N354" s="125" t="n">
        <f aca="false">M354+$N$7</f>
        <v>4</v>
      </c>
      <c r="O354" s="126" t="n">
        <v>-0.04</v>
      </c>
      <c r="P354" s="114"/>
      <c r="Q354" s="126" t="n">
        <f aca="false">M354+J354+G354</f>
        <v>11</v>
      </c>
      <c r="R354" s="126" t="n">
        <f aca="false">N354+K354+H354</f>
        <v>11</v>
      </c>
      <c r="S354" s="126" t="n">
        <f aca="false">O354+L354+I354</f>
        <v>6.96</v>
      </c>
      <c r="T354" s="127"/>
      <c r="U354" s="5" t="n">
        <f aca="false">A355-A354</f>
        <v>31</v>
      </c>
      <c r="V354" s="128" t="n">
        <f aca="false">CHOOSE(F$3,A355+24,A354)</f>
        <v>47757</v>
      </c>
      <c r="W354" s="5" t="n">
        <f aca="false">V354-C$3</f>
        <v>10526</v>
      </c>
      <c r="X354" s="124" t="n">
        <f aca="false">VLOOKUP($A354,Table,MATCH(X$4,Curves,0))</f>
        <v>2</v>
      </c>
      <c r="Y354" s="129" t="n">
        <f aca="false">1/(1+CHOOSE(F$3,(X355+($K$3/10000))/2,(X354+($K$3/10000))/2))^(2*W354/365.25)</f>
        <v>4.46132094106298E-018</v>
      </c>
      <c r="Z354" s="5" t="n">
        <f aca="false">IF(AND(mthbeg&lt;=A354,mthend&gt;=A354),1,0)</f>
        <v>0</v>
      </c>
      <c r="AA354" s="5" t="n">
        <f aca="false">U354*Z354</f>
        <v>0</v>
      </c>
      <c r="AC354" s="115" t="n">
        <f aca="false">IF(G347=2,F354*(S354-Q354),F354*(Q354-S354))</f>
        <v>0</v>
      </c>
      <c r="AE354" s="116" t="n">
        <f aca="false">IF($G$3=1,F354*(R354-Q354),F354*(Q354-R354))</f>
        <v>0</v>
      </c>
      <c r="AG354" s="116" t="n">
        <f aca="false">AC354+AE354</f>
        <v>0</v>
      </c>
    </row>
    <row r="355" customFormat="false" ht="12" hidden="false" customHeight="true" outlineLevel="0" collapsed="false">
      <c r="A355" s="120" t="n">
        <f aca="false">EDATE(A354,1)</f>
        <v>47788</v>
      </c>
      <c r="B355" s="121" t="e">
        <f aca="false">VLOOKUP(A355,'Inputs-Summary'!$A$32:$E$41,5,FALSE())</f>
        <v>#N/A</v>
      </c>
      <c r="C355" s="122"/>
      <c r="D355" s="123" t="e">
        <f aca="false">B355+C355</f>
        <v>#N/A</v>
      </c>
      <c r="E355" s="111" t="n">
        <f aca="false">IF(Z355=0,0,IF(AND(Z355=1,$H$3=1),D355*U355,IF($H$3=2,D355,"N/A")))</f>
        <v>0</v>
      </c>
      <c r="F355" s="111" t="n">
        <f aca="false">E355*Y355</f>
        <v>0</v>
      </c>
      <c r="G355" s="124" t="n">
        <f aca="false">VLOOKUP($A355,Table,MATCH(G$4,Curves,0))</f>
        <v>3</v>
      </c>
      <c r="H355" s="125" t="n">
        <f aca="false">G355+$H$7</f>
        <v>3</v>
      </c>
      <c r="I355" s="124" t="n">
        <f aca="false">H355</f>
        <v>3</v>
      </c>
      <c r="J355" s="124" t="n">
        <f aca="false">VLOOKUP($A355,Table,MATCH(J$4,Curves,0))</f>
        <v>4</v>
      </c>
      <c r="K355" s="125" t="n">
        <f aca="false">J355+$K$7</f>
        <v>4</v>
      </c>
      <c r="L355" s="126" t="n">
        <f aca="false">K355</f>
        <v>4</v>
      </c>
      <c r="M355" s="124" t="n">
        <f aca="false">VLOOKUP($A355,Table,MATCH(M$4,Curves,0))</f>
        <v>4</v>
      </c>
      <c r="N355" s="125" t="n">
        <f aca="false">M355+$N$7</f>
        <v>4</v>
      </c>
      <c r="O355" s="126" t="n">
        <v>-0.04</v>
      </c>
      <c r="P355" s="114"/>
      <c r="Q355" s="126" t="n">
        <f aca="false">M355+J355+G355</f>
        <v>11</v>
      </c>
      <c r="R355" s="126" t="n">
        <f aca="false">N355+K355+H355</f>
        <v>11</v>
      </c>
      <c r="S355" s="126" t="n">
        <f aca="false">O355+L355+I355</f>
        <v>6.96</v>
      </c>
      <c r="T355" s="127"/>
      <c r="U355" s="5" t="n">
        <f aca="false">A356-A355</f>
        <v>30</v>
      </c>
      <c r="V355" s="128" t="n">
        <f aca="false">CHOOSE(F$3,A356+24,A355)</f>
        <v>47788</v>
      </c>
      <c r="W355" s="5" t="n">
        <f aca="false">V355-C$3</f>
        <v>10557</v>
      </c>
      <c r="X355" s="124" t="n">
        <f aca="false">VLOOKUP($A355,Table,MATCH(X$4,Curves,0))</f>
        <v>2</v>
      </c>
      <c r="Y355" s="129" t="n">
        <f aca="false">1/(1+CHOOSE(F$3,(X356+($K$3/10000))/2,(X355+($K$3/10000))/2))^(2*W355/365.25)</f>
        <v>3.96610861780562E-018</v>
      </c>
      <c r="Z355" s="5" t="n">
        <f aca="false">IF(AND(mthbeg&lt;=A355,mthend&gt;=A355),1,0)</f>
        <v>0</v>
      </c>
      <c r="AA355" s="5" t="n">
        <f aca="false">U355*Z355</f>
        <v>0</v>
      </c>
      <c r="AC355" s="115" t="n">
        <f aca="false">IF(G348=2,F355*(S355-Q355),F355*(Q355-S355))</f>
        <v>0</v>
      </c>
      <c r="AE355" s="116" t="n">
        <f aca="false">IF($G$3=1,F355*(R355-Q355),F355*(Q355-R355))</f>
        <v>0</v>
      </c>
      <c r="AG355" s="116" t="n">
        <f aca="false">AC355+AE355</f>
        <v>0</v>
      </c>
    </row>
    <row r="356" customFormat="false" ht="12" hidden="false" customHeight="true" outlineLevel="0" collapsed="false">
      <c r="A356" s="120" t="n">
        <f aca="false">EDATE(A355,1)</f>
        <v>47818</v>
      </c>
      <c r="B356" s="121" t="e">
        <f aca="false">VLOOKUP(A356,'Inputs-Summary'!$A$32:$E$41,5,FALSE())</f>
        <v>#N/A</v>
      </c>
      <c r="C356" s="122"/>
      <c r="D356" s="123" t="e">
        <f aca="false">B356+C356</f>
        <v>#N/A</v>
      </c>
      <c r="E356" s="111" t="n">
        <f aca="false">IF(Z356=0,0,IF(AND(Z356=1,$H$3=1),D356*U356,IF($H$3=2,D356,"N/A")))</f>
        <v>0</v>
      </c>
      <c r="F356" s="111" t="n">
        <f aca="false">E356*Y356</f>
        <v>0</v>
      </c>
      <c r="G356" s="124" t="n">
        <f aca="false">VLOOKUP($A356,Table,MATCH(G$4,Curves,0))</f>
        <v>3</v>
      </c>
      <c r="H356" s="125" t="n">
        <f aca="false">G356+$H$7</f>
        <v>3</v>
      </c>
      <c r="I356" s="124" t="n">
        <f aca="false">H356</f>
        <v>3</v>
      </c>
      <c r="J356" s="124" t="n">
        <f aca="false">VLOOKUP($A356,Table,MATCH(J$4,Curves,0))</f>
        <v>4</v>
      </c>
      <c r="K356" s="125" t="n">
        <f aca="false">J356+$K$7</f>
        <v>4</v>
      </c>
      <c r="L356" s="126" t="n">
        <f aca="false">K356</f>
        <v>4</v>
      </c>
      <c r="M356" s="124" t="n">
        <f aca="false">VLOOKUP($A356,Table,MATCH(M$4,Curves,0))</f>
        <v>4</v>
      </c>
      <c r="N356" s="125" t="n">
        <f aca="false">M356+$N$7</f>
        <v>4</v>
      </c>
      <c r="O356" s="126" t="n">
        <v>-0.04</v>
      </c>
      <c r="P356" s="114"/>
      <c r="Q356" s="126" t="n">
        <f aca="false">M356+J356+G356</f>
        <v>11</v>
      </c>
      <c r="R356" s="126" t="n">
        <f aca="false">N356+K356+H356</f>
        <v>11</v>
      </c>
      <c r="S356" s="126" t="n">
        <f aca="false">O356+L356+I356</f>
        <v>6.96</v>
      </c>
      <c r="T356" s="127"/>
      <c r="U356" s="5" t="n">
        <f aca="false">A357-A356</f>
        <v>31</v>
      </c>
      <c r="V356" s="128" t="n">
        <f aca="false">CHOOSE(F$3,A357+24,A356)</f>
        <v>47818</v>
      </c>
      <c r="W356" s="5" t="n">
        <f aca="false">V356-C$3</f>
        <v>10587</v>
      </c>
      <c r="X356" s="124" t="n">
        <f aca="false">VLOOKUP($A356,Table,MATCH(X$4,Curves,0))</f>
        <v>2</v>
      </c>
      <c r="Y356" s="129" t="n">
        <f aca="false">1/(1+CHOOSE(F$3,(X357+($K$3/10000))/2,(X356+($K$3/10000))/2))^(2*W356/365.25)</f>
        <v>3.5392732297292E-018</v>
      </c>
      <c r="Z356" s="5" t="n">
        <f aca="false">IF(AND(mthbeg&lt;=A356,mthend&gt;=A356),1,0)</f>
        <v>0</v>
      </c>
      <c r="AA356" s="5" t="n">
        <f aca="false">U356*Z356</f>
        <v>0</v>
      </c>
      <c r="AC356" s="115" t="n">
        <f aca="false">IF(G349=2,F356*(S356-Q356),F356*(Q356-S356))</f>
        <v>0</v>
      </c>
      <c r="AE356" s="116" t="n">
        <f aca="false">IF($G$3=1,F356*(R356-Q356),F356*(Q356-R356))</f>
        <v>0</v>
      </c>
      <c r="AG356" s="116" t="n">
        <f aca="false">AC356+AE356</f>
        <v>0</v>
      </c>
    </row>
    <row r="357" customFormat="false" ht="12" hidden="false" customHeight="true" outlineLevel="0" collapsed="false">
      <c r="A357" s="120" t="n">
        <f aca="false">EDATE(A356,1)</f>
        <v>47849</v>
      </c>
      <c r="B357" s="121" t="e">
        <f aca="false">VLOOKUP(A357,'Inputs-Summary'!$A$32:$E$41,5,FALSE())</f>
        <v>#N/A</v>
      </c>
      <c r="C357" s="122"/>
      <c r="D357" s="123" t="e">
        <f aca="false">B357+C357</f>
        <v>#N/A</v>
      </c>
      <c r="E357" s="111" t="n">
        <f aca="false">IF(Z357=0,0,IF(AND(Z357=1,$H$3=1),D357*U357,IF($H$3=2,D357,"N/A")))</f>
        <v>0</v>
      </c>
      <c r="F357" s="111" t="n">
        <f aca="false">E357*Y357</f>
        <v>0</v>
      </c>
      <c r="G357" s="124" t="n">
        <f aca="false">VLOOKUP($A357,Table,MATCH(G$4,Curves,0))</f>
        <v>3</v>
      </c>
      <c r="H357" s="125" t="n">
        <f aca="false">G357+$H$7</f>
        <v>3</v>
      </c>
      <c r="I357" s="124" t="n">
        <f aca="false">H357</f>
        <v>3</v>
      </c>
      <c r="J357" s="124" t="n">
        <f aca="false">VLOOKUP($A357,Table,MATCH(J$4,Curves,0))</f>
        <v>4</v>
      </c>
      <c r="K357" s="125" t="n">
        <f aca="false">J357+$K$7</f>
        <v>4</v>
      </c>
      <c r="L357" s="126" t="n">
        <f aca="false">K357</f>
        <v>4</v>
      </c>
      <c r="M357" s="124" t="n">
        <f aca="false">VLOOKUP($A357,Table,MATCH(M$4,Curves,0))</f>
        <v>4</v>
      </c>
      <c r="N357" s="125" t="n">
        <f aca="false">M357+$N$7</f>
        <v>4</v>
      </c>
      <c r="O357" s="126" t="n">
        <v>-0.04</v>
      </c>
      <c r="P357" s="114"/>
      <c r="Q357" s="126" t="n">
        <f aca="false">M357+J357+G357</f>
        <v>11</v>
      </c>
      <c r="R357" s="126" t="n">
        <f aca="false">N357+K357+H357</f>
        <v>11</v>
      </c>
      <c r="S357" s="126" t="n">
        <f aca="false">O357+L357+I357</f>
        <v>6.96</v>
      </c>
      <c r="T357" s="127"/>
      <c r="U357" s="5" t="n">
        <f aca="false">A358-A357</f>
        <v>31</v>
      </c>
      <c r="V357" s="128" t="n">
        <f aca="false">CHOOSE(F$3,A358+24,A357)</f>
        <v>47849</v>
      </c>
      <c r="W357" s="5" t="n">
        <f aca="false">V357-C$3</f>
        <v>10618</v>
      </c>
      <c r="X357" s="124" t="n">
        <f aca="false">VLOOKUP($A357,Table,MATCH(X$4,Curves,0))</f>
        <v>2</v>
      </c>
      <c r="Y357" s="129" t="n">
        <f aca="false">1/(1+CHOOSE(F$3,(X358+($K$3/10000))/2,(X357+($K$3/10000))/2))^(2*W357/365.25)</f>
        <v>3.14640938023462E-018</v>
      </c>
      <c r="Z357" s="5" t="n">
        <f aca="false">IF(AND(mthbeg&lt;=A357,mthend&gt;=A357),1,0)</f>
        <v>0</v>
      </c>
      <c r="AA357" s="5" t="n">
        <f aca="false">U357*Z357</f>
        <v>0</v>
      </c>
      <c r="AC357" s="115" t="n">
        <f aca="false">IF(G350=2,F357*(S357-Q357),F357*(Q357-S357))</f>
        <v>0</v>
      </c>
      <c r="AE357" s="116" t="n">
        <f aca="false">IF($G$3=1,F357*(R357-Q357),F357*(Q357-R357))</f>
        <v>0</v>
      </c>
      <c r="AG357" s="116" t="n">
        <f aca="false">AC357+AE357</f>
        <v>0</v>
      </c>
    </row>
    <row r="358" customFormat="false" ht="12" hidden="false" customHeight="true" outlineLevel="0" collapsed="false">
      <c r="A358" s="120" t="n">
        <f aca="false">EDATE(A357,1)</f>
        <v>47880</v>
      </c>
      <c r="B358" s="121" t="e">
        <f aca="false">VLOOKUP(A358,'Inputs-Summary'!$A$32:$E$41,5,FALSE())</f>
        <v>#N/A</v>
      </c>
      <c r="C358" s="122"/>
      <c r="D358" s="123" t="e">
        <f aca="false">B358+C358</f>
        <v>#N/A</v>
      </c>
      <c r="E358" s="111" t="n">
        <f aca="false">IF(Z358=0,0,IF(AND(Z358=1,$H$3=1),D358*U358,IF($H$3=2,D358,"N/A")))</f>
        <v>0</v>
      </c>
      <c r="F358" s="111" t="n">
        <f aca="false">E358*Y358</f>
        <v>0</v>
      </c>
      <c r="G358" s="124" t="n">
        <f aca="false">VLOOKUP($A358,Table,MATCH(G$4,Curves,0))</f>
        <v>3</v>
      </c>
      <c r="H358" s="125" t="n">
        <f aca="false">G358+$H$7</f>
        <v>3</v>
      </c>
      <c r="I358" s="124" t="n">
        <f aca="false">H358</f>
        <v>3</v>
      </c>
      <c r="J358" s="124" t="n">
        <f aca="false">VLOOKUP($A358,Table,MATCH(J$4,Curves,0))</f>
        <v>4</v>
      </c>
      <c r="K358" s="125" t="n">
        <f aca="false">J358+$K$7</f>
        <v>4</v>
      </c>
      <c r="L358" s="126" t="n">
        <f aca="false">K358</f>
        <v>4</v>
      </c>
      <c r="M358" s="124" t="n">
        <f aca="false">VLOOKUP($A358,Table,MATCH(M$4,Curves,0))</f>
        <v>4</v>
      </c>
      <c r="N358" s="125" t="n">
        <f aca="false">M358+$N$7</f>
        <v>4</v>
      </c>
      <c r="O358" s="126" t="n">
        <v>-0.04</v>
      </c>
      <c r="P358" s="114"/>
      <c r="Q358" s="126" t="n">
        <f aca="false">M358+J358+G358</f>
        <v>11</v>
      </c>
      <c r="R358" s="126" t="n">
        <f aca="false">N358+K358+H358</f>
        <v>11</v>
      </c>
      <c r="S358" s="126" t="n">
        <f aca="false">O358+L358+I358</f>
        <v>6.96</v>
      </c>
      <c r="T358" s="127"/>
      <c r="U358" s="5" t="n">
        <f aca="false">A359-A358</f>
        <v>28</v>
      </c>
      <c r="V358" s="128" t="n">
        <f aca="false">CHOOSE(F$3,A359+24,A358)</f>
        <v>47880</v>
      </c>
      <c r="W358" s="5" t="n">
        <f aca="false">V358-C$3</f>
        <v>10649</v>
      </c>
      <c r="X358" s="124" t="n">
        <f aca="false">VLOOKUP($A358,Table,MATCH(X$4,Curves,0))</f>
        <v>2</v>
      </c>
      <c r="Y358" s="129" t="n">
        <f aca="false">1/(1+CHOOSE(F$3,(X359+($K$3/10000))/2,(X358+($K$3/10000))/2))^(2*W358/365.25)</f>
        <v>2.79715391987012E-018</v>
      </c>
      <c r="Z358" s="5" t="n">
        <f aca="false">IF(AND(mthbeg&lt;=A358,mthend&gt;=A358),1,0)</f>
        <v>0</v>
      </c>
      <c r="AA358" s="5" t="n">
        <f aca="false">U358*Z358</f>
        <v>0</v>
      </c>
      <c r="AC358" s="115" t="n">
        <f aca="false">IF(G351=2,F358*(S358-Q358),F358*(Q358-S358))</f>
        <v>0</v>
      </c>
      <c r="AE358" s="116" t="n">
        <f aca="false">IF($G$3=1,F358*(R358-Q358),F358*(Q358-R358))</f>
        <v>0</v>
      </c>
      <c r="AG358" s="116" t="n">
        <f aca="false">AC358+AE358</f>
        <v>0</v>
      </c>
    </row>
    <row r="359" customFormat="false" ht="12" hidden="false" customHeight="true" outlineLevel="0" collapsed="false">
      <c r="A359" s="120" t="n">
        <f aca="false">EDATE(A358,1)</f>
        <v>47908</v>
      </c>
      <c r="B359" s="121" t="e">
        <f aca="false">VLOOKUP(A359,'Inputs-Summary'!$A$32:$E$41,5,FALSE())</f>
        <v>#N/A</v>
      </c>
      <c r="C359" s="122"/>
      <c r="D359" s="123" t="e">
        <f aca="false">B359+C359</f>
        <v>#N/A</v>
      </c>
      <c r="E359" s="111" t="n">
        <f aca="false">IF(Z359=0,0,IF(AND(Z359=1,$H$3=1),D359*U359,IF($H$3=2,D359,"N/A")))</f>
        <v>0</v>
      </c>
      <c r="F359" s="111" t="n">
        <f aca="false">E359*Y359</f>
        <v>0</v>
      </c>
      <c r="G359" s="124" t="n">
        <f aca="false">VLOOKUP($A359,Table,MATCH(G$4,Curves,0))</f>
        <v>3</v>
      </c>
      <c r="H359" s="125" t="n">
        <f aca="false">G359+$H$7</f>
        <v>3</v>
      </c>
      <c r="I359" s="124" t="n">
        <f aca="false">H359</f>
        <v>3</v>
      </c>
      <c r="J359" s="124" t="n">
        <f aca="false">VLOOKUP($A359,Table,MATCH(J$4,Curves,0))</f>
        <v>4</v>
      </c>
      <c r="K359" s="125" t="n">
        <f aca="false">J359+$K$7</f>
        <v>4</v>
      </c>
      <c r="L359" s="126" t="n">
        <f aca="false">K359</f>
        <v>4</v>
      </c>
      <c r="M359" s="124" t="n">
        <f aca="false">VLOOKUP($A359,Table,MATCH(M$4,Curves,0))</f>
        <v>4</v>
      </c>
      <c r="N359" s="125" t="n">
        <f aca="false">M359+$N$7</f>
        <v>4</v>
      </c>
      <c r="O359" s="126" t="n">
        <v>-0.04</v>
      </c>
      <c r="P359" s="114"/>
      <c r="Q359" s="126" t="n">
        <f aca="false">M359+J359+G359</f>
        <v>11</v>
      </c>
      <c r="R359" s="126" t="n">
        <f aca="false">N359+K359+H359</f>
        <v>11</v>
      </c>
      <c r="S359" s="126" t="n">
        <f aca="false">O359+L359+I359</f>
        <v>6.96</v>
      </c>
      <c r="T359" s="127"/>
      <c r="U359" s="5" t="n">
        <f aca="false">A360-A359</f>
        <v>31</v>
      </c>
      <c r="V359" s="128" t="n">
        <f aca="false">CHOOSE(F$3,A360+24,A359)</f>
        <v>47908</v>
      </c>
      <c r="W359" s="5" t="n">
        <f aca="false">V359-C$3</f>
        <v>10677</v>
      </c>
      <c r="X359" s="124" t="n">
        <f aca="false">VLOOKUP($A359,Table,MATCH(X$4,Curves,0))</f>
        <v>2</v>
      </c>
      <c r="Y359" s="129" t="n">
        <f aca="false">1/(1+CHOOSE(F$3,(X360+($K$3/10000))/2,(X359+($K$3/10000))/2))^(2*W359/365.25)</f>
        <v>2.51514225362807E-018</v>
      </c>
      <c r="Z359" s="5" t="n">
        <f aca="false">IF(AND(mthbeg&lt;=A359,mthend&gt;=A359),1,0)</f>
        <v>0</v>
      </c>
      <c r="AA359" s="5" t="n">
        <f aca="false">U359*Z359</f>
        <v>0</v>
      </c>
      <c r="AC359" s="115" t="n">
        <f aca="false">IF(G352=2,F359*(S359-Q359),F359*(Q359-S359))</f>
        <v>0</v>
      </c>
      <c r="AE359" s="116" t="n">
        <f aca="false">IF($G$3=1,F359*(R359-Q359),F359*(Q359-R359))</f>
        <v>0</v>
      </c>
      <c r="AG359" s="116" t="n">
        <f aca="false">AC359+AE359</f>
        <v>0</v>
      </c>
    </row>
    <row r="360" customFormat="false" ht="12" hidden="false" customHeight="true" outlineLevel="0" collapsed="false">
      <c r="A360" s="120" t="n">
        <f aca="false">EDATE(A359,1)</f>
        <v>47939</v>
      </c>
      <c r="B360" s="121" t="e">
        <f aca="false">VLOOKUP(A360,'Inputs-Summary'!$A$32:$E$41,5,FALSE())</f>
        <v>#N/A</v>
      </c>
      <c r="C360" s="122"/>
      <c r="D360" s="123" t="e">
        <f aca="false">B360+C360</f>
        <v>#N/A</v>
      </c>
      <c r="E360" s="111" t="n">
        <f aca="false">IF(Z360=0,0,IF(AND(Z360=1,$H$3=1),D360*U360,IF($H$3=2,D360,"N/A")))</f>
        <v>0</v>
      </c>
      <c r="F360" s="111" t="n">
        <f aca="false">E360*Y360</f>
        <v>0</v>
      </c>
      <c r="G360" s="124" t="n">
        <f aca="false">VLOOKUP($A360,Table,MATCH(G$4,Curves,0))</f>
        <v>3</v>
      </c>
      <c r="H360" s="125" t="n">
        <f aca="false">G360+$H$7</f>
        <v>3</v>
      </c>
      <c r="I360" s="124" t="n">
        <f aca="false">H360</f>
        <v>3</v>
      </c>
      <c r="J360" s="124" t="n">
        <f aca="false">VLOOKUP($A360,Table,MATCH(J$4,Curves,0))</f>
        <v>4</v>
      </c>
      <c r="K360" s="125" t="n">
        <f aca="false">J360+$K$7</f>
        <v>4</v>
      </c>
      <c r="L360" s="126" t="n">
        <f aca="false">K360</f>
        <v>4</v>
      </c>
      <c r="M360" s="124" t="n">
        <f aca="false">VLOOKUP($A360,Table,MATCH(M$4,Curves,0))</f>
        <v>4</v>
      </c>
      <c r="N360" s="125" t="n">
        <f aca="false">M360+$N$7</f>
        <v>4</v>
      </c>
      <c r="O360" s="126" t="n">
        <v>-0.04</v>
      </c>
      <c r="P360" s="114"/>
      <c r="Q360" s="126" t="n">
        <f aca="false">M360+J360+G360</f>
        <v>11</v>
      </c>
      <c r="R360" s="126" t="n">
        <f aca="false">N360+K360+H360</f>
        <v>11</v>
      </c>
      <c r="S360" s="126" t="n">
        <f aca="false">O360+L360+I360</f>
        <v>6.96</v>
      </c>
      <c r="T360" s="127"/>
      <c r="U360" s="5" t="n">
        <f aca="false">A361-A360</f>
        <v>30</v>
      </c>
      <c r="V360" s="128" t="n">
        <f aca="false">CHOOSE(F$3,A361+24,A360)</f>
        <v>47939</v>
      </c>
      <c r="W360" s="5" t="n">
        <f aca="false">V360-C$3</f>
        <v>10708</v>
      </c>
      <c r="X360" s="124" t="n">
        <f aca="false">VLOOKUP($A360,Table,MATCH(X$4,Curves,0))</f>
        <v>2</v>
      </c>
      <c r="Y360" s="129" t="n">
        <f aca="false">1/(1+CHOOSE(F$3,(X361+($K$3/10000))/2,(X360+($K$3/10000))/2))^(2*W360/365.25)</f>
        <v>2.23595825068451E-018</v>
      </c>
      <c r="Z360" s="5" t="n">
        <f aca="false">IF(AND(mthbeg&lt;=A360,mthend&gt;=A360),1,0)</f>
        <v>0</v>
      </c>
      <c r="AA360" s="5" t="n">
        <f aca="false">U360*Z360</f>
        <v>0</v>
      </c>
      <c r="AC360" s="115" t="n">
        <f aca="false">IF(G353=2,F360*(S360-Q360),F360*(Q360-S360))</f>
        <v>0</v>
      </c>
      <c r="AE360" s="116" t="n">
        <f aca="false">IF($G$3=1,F360*(R360-Q360),F360*(Q360-R360))</f>
        <v>0</v>
      </c>
      <c r="AG360" s="116" t="n">
        <f aca="false">AC360+AE360</f>
        <v>0</v>
      </c>
    </row>
    <row r="361" customFormat="false" ht="12" hidden="false" customHeight="true" outlineLevel="0" collapsed="false">
      <c r="A361" s="120" t="n">
        <f aca="false">EDATE(A360,1)</f>
        <v>47969</v>
      </c>
      <c r="B361" s="121" t="e">
        <f aca="false">VLOOKUP(A361,'Inputs-Summary'!$A$32:$E$41,5,FALSE())</f>
        <v>#N/A</v>
      </c>
      <c r="C361" s="122"/>
      <c r="D361" s="123" t="e">
        <f aca="false">B361+C361</f>
        <v>#N/A</v>
      </c>
      <c r="E361" s="111" t="n">
        <f aca="false">IF(Z361=0,0,IF(AND(Z361=1,$H$3=1),D361*U361,IF($H$3=2,D361,"N/A")))</f>
        <v>0</v>
      </c>
      <c r="F361" s="111" t="n">
        <f aca="false">E361*Y361</f>
        <v>0</v>
      </c>
      <c r="G361" s="124" t="n">
        <f aca="false">VLOOKUP($A361,Table,MATCH(G$4,Curves,0))</f>
        <v>3</v>
      </c>
      <c r="H361" s="125" t="n">
        <f aca="false">G361+$H$7</f>
        <v>3</v>
      </c>
      <c r="I361" s="124" t="n">
        <f aca="false">H361</f>
        <v>3</v>
      </c>
      <c r="J361" s="124" t="n">
        <f aca="false">VLOOKUP($A361,Table,MATCH(J$4,Curves,0))</f>
        <v>4</v>
      </c>
      <c r="K361" s="125" t="n">
        <f aca="false">J361+$K$7</f>
        <v>4</v>
      </c>
      <c r="L361" s="126" t="n">
        <f aca="false">K361</f>
        <v>4</v>
      </c>
      <c r="M361" s="124" t="n">
        <f aca="false">VLOOKUP($A361,Table,MATCH(M$4,Curves,0))</f>
        <v>4</v>
      </c>
      <c r="N361" s="125" t="n">
        <f aca="false">M361+$N$7</f>
        <v>4</v>
      </c>
      <c r="O361" s="126" t="n">
        <v>-0.04</v>
      </c>
      <c r="P361" s="114"/>
      <c r="Q361" s="126" t="n">
        <f aca="false">M361+J361+G361</f>
        <v>11</v>
      </c>
      <c r="R361" s="126" t="n">
        <f aca="false">N361+K361+H361</f>
        <v>11</v>
      </c>
      <c r="S361" s="126" t="n">
        <f aca="false">O361+L361+I361</f>
        <v>6.96</v>
      </c>
      <c r="T361" s="127"/>
      <c r="U361" s="5" t="n">
        <f aca="false">A362-A361</f>
        <v>31</v>
      </c>
      <c r="V361" s="128" t="n">
        <f aca="false">CHOOSE(F$3,A362+24,A361)</f>
        <v>47969</v>
      </c>
      <c r="W361" s="5" t="n">
        <f aca="false">V361-C$3</f>
        <v>10738</v>
      </c>
      <c r="X361" s="124" t="n">
        <f aca="false">VLOOKUP($A361,Table,MATCH(X$4,Curves,0))</f>
        <v>2</v>
      </c>
      <c r="Y361" s="129" t="n">
        <f aca="false">1/(1+CHOOSE(F$3,(X362+($K$3/10000))/2,(X361+($K$3/10000))/2))^(2*W361/365.25)</f>
        <v>1.99532285724899E-018</v>
      </c>
      <c r="Z361" s="5" t="n">
        <f aca="false">IF(AND(mthbeg&lt;=A361,mthend&gt;=A361),1,0)</f>
        <v>0</v>
      </c>
      <c r="AA361" s="5" t="n">
        <f aca="false">U361*Z361</f>
        <v>0</v>
      </c>
      <c r="AC361" s="115" t="n">
        <f aca="false">IF(G354=2,F361*(S361-Q361),F361*(Q361-S361))</f>
        <v>0</v>
      </c>
      <c r="AE361" s="116" t="n">
        <f aca="false">IF($G$3=1,F361*(R361-Q361),F361*(Q361-R361))</f>
        <v>0</v>
      </c>
      <c r="AG361" s="116" t="n">
        <f aca="false">AC361+AE361</f>
        <v>0</v>
      </c>
    </row>
    <row r="362" customFormat="false" ht="12" hidden="false" customHeight="true" outlineLevel="0" collapsed="false">
      <c r="A362" s="120" t="n">
        <f aca="false">EDATE(A361,1)</f>
        <v>48000</v>
      </c>
      <c r="B362" s="121" t="e">
        <f aca="false">VLOOKUP(A362,'Inputs-Summary'!$A$32:$E$41,5,FALSE())</f>
        <v>#N/A</v>
      </c>
      <c r="C362" s="122"/>
      <c r="D362" s="123" t="e">
        <f aca="false">B362+C362</f>
        <v>#N/A</v>
      </c>
      <c r="E362" s="111" t="n">
        <f aca="false">IF(Z362=0,0,IF(AND(Z362=1,$H$3=1),D362*U362,IF($H$3=2,D362,"N/A")))</f>
        <v>0</v>
      </c>
      <c r="F362" s="111" t="n">
        <f aca="false">E362*Y362</f>
        <v>0</v>
      </c>
      <c r="G362" s="124" t="n">
        <f aca="false">VLOOKUP($A362,Table,MATCH(G$4,Curves,0))</f>
        <v>3</v>
      </c>
      <c r="H362" s="125" t="n">
        <f aca="false">G362+$H$7</f>
        <v>3</v>
      </c>
      <c r="I362" s="124" t="n">
        <f aca="false">H362</f>
        <v>3</v>
      </c>
      <c r="J362" s="124" t="n">
        <f aca="false">VLOOKUP($A362,Table,MATCH(J$4,Curves,0))</f>
        <v>4</v>
      </c>
      <c r="K362" s="125" t="n">
        <f aca="false">J362+$K$7</f>
        <v>4</v>
      </c>
      <c r="L362" s="126" t="n">
        <f aca="false">K362</f>
        <v>4</v>
      </c>
      <c r="M362" s="124" t="n">
        <f aca="false">VLOOKUP($A362,Table,MATCH(M$4,Curves,0))</f>
        <v>4</v>
      </c>
      <c r="N362" s="125" t="n">
        <f aca="false">M362+$N$7</f>
        <v>4</v>
      </c>
      <c r="O362" s="126" t="n">
        <v>-0.04</v>
      </c>
      <c r="P362" s="114"/>
      <c r="Q362" s="126" t="n">
        <f aca="false">M362+J362+G362</f>
        <v>11</v>
      </c>
      <c r="R362" s="126" t="n">
        <f aca="false">N362+K362+H362</f>
        <v>11</v>
      </c>
      <c r="S362" s="126" t="n">
        <f aca="false">O362+L362+I362</f>
        <v>6.96</v>
      </c>
      <c r="T362" s="127"/>
      <c r="U362" s="5" t="n">
        <f aca="false">A363-A362</f>
        <v>30</v>
      </c>
      <c r="V362" s="128" t="n">
        <f aca="false">CHOOSE(F$3,A363+24,A362)</f>
        <v>48000</v>
      </c>
      <c r="W362" s="5" t="n">
        <f aca="false">V362-C$3</f>
        <v>10769</v>
      </c>
      <c r="X362" s="124" t="n">
        <f aca="false">VLOOKUP($A362,Table,MATCH(X$4,Curves,0))</f>
        <v>2</v>
      </c>
      <c r="Y362" s="129" t="n">
        <f aca="false">1/(1+CHOOSE(F$3,(X363+($K$3/10000))/2,(X362+($K$3/10000))/2))^(2*W362/365.25)</f>
        <v>1.77383947131009E-018</v>
      </c>
      <c r="Z362" s="5" t="n">
        <f aca="false">IF(AND(mthbeg&lt;=A362,mthend&gt;=A362),1,0)</f>
        <v>0</v>
      </c>
      <c r="AA362" s="5" t="n">
        <f aca="false">U362*Z362</f>
        <v>0</v>
      </c>
      <c r="AC362" s="115" t="n">
        <f aca="false">IF(G355=2,F362*(S362-Q362),F362*(Q362-S362))</f>
        <v>0</v>
      </c>
      <c r="AE362" s="116" t="n">
        <f aca="false">IF($G$3=1,F362*(R362-Q362),F362*(Q362-R362))</f>
        <v>0</v>
      </c>
      <c r="AG362" s="116" t="n">
        <f aca="false">AC362+AE362</f>
        <v>0</v>
      </c>
    </row>
    <row r="363" customFormat="false" ht="12" hidden="false" customHeight="true" outlineLevel="0" collapsed="false">
      <c r="A363" s="120" t="n">
        <f aca="false">EDATE(A362,1)</f>
        <v>48030</v>
      </c>
      <c r="B363" s="121" t="e">
        <f aca="false">VLOOKUP(A363,'Inputs-Summary'!$A$32:$E$41,5,FALSE())</f>
        <v>#N/A</v>
      </c>
      <c r="C363" s="122"/>
      <c r="D363" s="123" t="e">
        <f aca="false">B363+C363</f>
        <v>#N/A</v>
      </c>
      <c r="E363" s="111" t="n">
        <f aca="false">IF(Z363=0,0,IF(AND(Z363=1,$H$3=1),D363*U363,IF($H$3=2,D363,"N/A")))</f>
        <v>0</v>
      </c>
      <c r="F363" s="111" t="n">
        <f aca="false">E363*Y363</f>
        <v>0</v>
      </c>
      <c r="G363" s="124" t="n">
        <f aca="false">VLOOKUP($A363,Table,MATCH(G$4,Curves,0))</f>
        <v>3</v>
      </c>
      <c r="H363" s="125" t="n">
        <f aca="false">G363+$H$7</f>
        <v>3</v>
      </c>
      <c r="I363" s="124" t="n">
        <f aca="false">H363</f>
        <v>3</v>
      </c>
      <c r="J363" s="124" t="n">
        <f aca="false">VLOOKUP($A363,Table,MATCH(J$4,Curves,0))</f>
        <v>4</v>
      </c>
      <c r="K363" s="125" t="n">
        <f aca="false">J363+$K$7</f>
        <v>4</v>
      </c>
      <c r="L363" s="126" t="n">
        <f aca="false">K363</f>
        <v>4</v>
      </c>
      <c r="M363" s="124" t="n">
        <f aca="false">VLOOKUP($A363,Table,MATCH(M$4,Curves,0))</f>
        <v>4</v>
      </c>
      <c r="N363" s="125" t="n">
        <f aca="false">M363+$N$7</f>
        <v>4</v>
      </c>
      <c r="O363" s="126" t="n">
        <v>-0.04</v>
      </c>
      <c r="P363" s="114"/>
      <c r="Q363" s="126" t="n">
        <f aca="false">M363+J363+G363</f>
        <v>11</v>
      </c>
      <c r="R363" s="126" t="n">
        <f aca="false">N363+K363+H363</f>
        <v>11</v>
      </c>
      <c r="S363" s="126" t="n">
        <f aca="false">O363+L363+I363</f>
        <v>6.96</v>
      </c>
      <c r="T363" s="127"/>
      <c r="U363" s="5" t="n">
        <f aca="false">A364-A363</f>
        <v>31</v>
      </c>
      <c r="V363" s="128" t="n">
        <f aca="false">CHOOSE(F$3,A364+24,A363)</f>
        <v>48030</v>
      </c>
      <c r="W363" s="5" t="n">
        <f aca="false">V363-C$3</f>
        <v>10799</v>
      </c>
      <c r="X363" s="124" t="n">
        <f aca="false">VLOOKUP($A363,Table,MATCH(X$4,Curves,0))</f>
        <v>2</v>
      </c>
      <c r="Y363" s="129" t="n">
        <f aca="false">1/(1+CHOOSE(F$3,(X364+($K$3/10000))/2,(X363+($K$3/10000))/2))^(2*W363/365.25)</f>
        <v>1.58293762466807E-018</v>
      </c>
      <c r="Z363" s="5" t="n">
        <f aca="false">IF(AND(mthbeg&lt;=A363,mthend&gt;=A363),1,0)</f>
        <v>0</v>
      </c>
      <c r="AA363" s="5" t="n">
        <f aca="false">U363*Z363</f>
        <v>0</v>
      </c>
      <c r="AC363" s="115" t="n">
        <f aca="false">IF(G356=2,F363*(S363-Q363),F363*(Q363-S363))</f>
        <v>0</v>
      </c>
      <c r="AE363" s="116" t="n">
        <f aca="false">IF($G$3=1,F363*(R363-Q363),F363*(Q363-R363))</f>
        <v>0</v>
      </c>
      <c r="AG363" s="116" t="n">
        <f aca="false">AC363+AE363</f>
        <v>0</v>
      </c>
    </row>
    <row r="364" customFormat="false" ht="12" hidden="false" customHeight="true" outlineLevel="0" collapsed="false">
      <c r="A364" s="120" t="n">
        <f aca="false">EDATE(A363,1)</f>
        <v>48061</v>
      </c>
      <c r="B364" s="121" t="e">
        <f aca="false">VLOOKUP(A364,'Inputs-Summary'!$A$32:$E$41,5,FALSE())</f>
        <v>#N/A</v>
      </c>
      <c r="C364" s="122"/>
      <c r="D364" s="123" t="e">
        <f aca="false">B364+C364</f>
        <v>#N/A</v>
      </c>
      <c r="E364" s="111" t="n">
        <f aca="false">IF(Z364=0,0,IF(AND(Z364=1,$H$3=1),D364*U364,IF($H$3=2,D364,"N/A")))</f>
        <v>0</v>
      </c>
      <c r="F364" s="111" t="n">
        <f aca="false">E364*Y364</f>
        <v>0</v>
      </c>
      <c r="G364" s="124" t="n">
        <f aca="false">VLOOKUP($A364,Table,MATCH(G$4,Curves,0))</f>
        <v>3</v>
      </c>
      <c r="H364" s="125" t="n">
        <f aca="false">G364+$H$7</f>
        <v>3</v>
      </c>
      <c r="I364" s="124" t="n">
        <f aca="false">H364</f>
        <v>3</v>
      </c>
      <c r="J364" s="124" t="n">
        <f aca="false">VLOOKUP($A364,Table,MATCH(J$4,Curves,0))</f>
        <v>4</v>
      </c>
      <c r="K364" s="125" t="n">
        <f aca="false">J364+$K$7</f>
        <v>4</v>
      </c>
      <c r="L364" s="126" t="n">
        <f aca="false">K364</f>
        <v>4</v>
      </c>
      <c r="M364" s="124" t="n">
        <f aca="false">VLOOKUP($A364,Table,MATCH(M$4,Curves,0))</f>
        <v>4</v>
      </c>
      <c r="N364" s="125" t="n">
        <f aca="false">M364+$N$7</f>
        <v>4</v>
      </c>
      <c r="O364" s="126" t="n">
        <v>-0.04</v>
      </c>
      <c r="P364" s="114"/>
      <c r="Q364" s="126" t="n">
        <f aca="false">M364+J364+G364</f>
        <v>11</v>
      </c>
      <c r="R364" s="126" t="n">
        <f aca="false">N364+K364+H364</f>
        <v>11</v>
      </c>
      <c r="S364" s="126" t="n">
        <f aca="false">O364+L364+I364</f>
        <v>6.96</v>
      </c>
      <c r="T364" s="127"/>
      <c r="U364" s="5" t="n">
        <f aca="false">A365-A364</f>
        <v>31</v>
      </c>
      <c r="V364" s="128" t="n">
        <f aca="false">CHOOSE(F$3,A365+24,A364)</f>
        <v>48061</v>
      </c>
      <c r="W364" s="5" t="n">
        <f aca="false">V364-C$3</f>
        <v>10830</v>
      </c>
      <c r="X364" s="124" t="n">
        <f aca="false">VLOOKUP($A364,Table,MATCH(X$4,Curves,0))</f>
        <v>2</v>
      </c>
      <c r="Y364" s="129" t="n">
        <f aca="false">1/(1+CHOOSE(F$3,(X365+($K$3/10000))/2,(X364+($K$3/10000))/2))^(2*W364/365.25)</f>
        <v>1.40722952631803E-018</v>
      </c>
      <c r="Z364" s="5" t="n">
        <f aca="false">IF(AND(mthbeg&lt;=A364,mthend&gt;=A364),1,0)</f>
        <v>0</v>
      </c>
      <c r="AA364" s="5" t="n">
        <f aca="false">U364*Z364</f>
        <v>0</v>
      </c>
      <c r="AC364" s="115" t="n">
        <f aca="false">IF(G357=2,F364*(S364-Q364),F364*(Q364-S364))</f>
        <v>0</v>
      </c>
      <c r="AE364" s="116" t="n">
        <f aca="false">IF($G$3=1,F364*(R364-Q364),F364*(Q364-R364))</f>
        <v>0</v>
      </c>
      <c r="AG364" s="116" t="n">
        <f aca="false">AC364+AE364</f>
        <v>0</v>
      </c>
    </row>
    <row r="365" customFormat="false" ht="12" hidden="false" customHeight="true" outlineLevel="0" collapsed="false">
      <c r="A365" s="120" t="n">
        <f aca="false">EDATE(A364,1)</f>
        <v>48092</v>
      </c>
      <c r="B365" s="121" t="e">
        <f aca="false">VLOOKUP(A365,'Inputs-Summary'!$A$32:$E$41,5,FALSE())</f>
        <v>#N/A</v>
      </c>
      <c r="C365" s="122"/>
      <c r="D365" s="123" t="e">
        <f aca="false">B365+C365</f>
        <v>#N/A</v>
      </c>
      <c r="E365" s="111" t="n">
        <f aca="false">IF(Z365=0,0,IF(AND(Z365=1,$H$3=1),D365*U365,IF($H$3=2,D365,"N/A")))</f>
        <v>0</v>
      </c>
      <c r="F365" s="111" t="n">
        <f aca="false">E365*Y365</f>
        <v>0</v>
      </c>
      <c r="G365" s="124" t="n">
        <f aca="false">VLOOKUP($A365,Table,MATCH(G$4,Curves,0))</f>
        <v>3</v>
      </c>
      <c r="H365" s="125" t="n">
        <f aca="false">G365+$H$7</f>
        <v>3</v>
      </c>
      <c r="I365" s="124" t="n">
        <f aca="false">H365</f>
        <v>3</v>
      </c>
      <c r="J365" s="124" t="n">
        <f aca="false">VLOOKUP($A365,Table,MATCH(J$4,Curves,0))</f>
        <v>4</v>
      </c>
      <c r="K365" s="125" t="n">
        <f aca="false">J365+$K$7</f>
        <v>4</v>
      </c>
      <c r="L365" s="126" t="n">
        <f aca="false">K365</f>
        <v>4</v>
      </c>
      <c r="M365" s="124" t="n">
        <f aca="false">VLOOKUP($A365,Table,MATCH(M$4,Curves,0))</f>
        <v>4</v>
      </c>
      <c r="N365" s="125" t="n">
        <f aca="false">M365+$N$7</f>
        <v>4</v>
      </c>
      <c r="O365" s="126" t="n">
        <v>-0.04</v>
      </c>
      <c r="P365" s="114"/>
      <c r="Q365" s="126" t="n">
        <f aca="false">M365+J365+G365</f>
        <v>11</v>
      </c>
      <c r="R365" s="126" t="n">
        <f aca="false">N365+K365+H365</f>
        <v>11</v>
      </c>
      <c r="S365" s="126" t="n">
        <f aca="false">O365+L365+I365</f>
        <v>6.96</v>
      </c>
      <c r="T365" s="127"/>
      <c r="U365" s="5" t="n">
        <f aca="false">A366-A365</f>
        <v>30</v>
      </c>
      <c r="V365" s="128" t="n">
        <f aca="false">CHOOSE(F$3,A366+24,A365)</f>
        <v>48092</v>
      </c>
      <c r="W365" s="5" t="n">
        <f aca="false">V365-C$3</f>
        <v>10861</v>
      </c>
      <c r="X365" s="124" t="n">
        <f aca="false">VLOOKUP($A365,Table,MATCH(X$4,Curves,0))</f>
        <v>2</v>
      </c>
      <c r="Y365" s="129" t="n">
        <f aca="false">1/(1+CHOOSE(F$3,(X366+($K$3/10000))/2,(X365+($K$3/10000))/2))^(2*W365/365.25)</f>
        <v>1.25102525133076E-018</v>
      </c>
      <c r="Z365" s="5" t="n">
        <f aca="false">IF(AND(mthbeg&lt;=A365,mthend&gt;=A365),1,0)</f>
        <v>0</v>
      </c>
      <c r="AA365" s="5" t="n">
        <f aca="false">U365*Z365</f>
        <v>0</v>
      </c>
      <c r="AC365" s="115" t="n">
        <f aca="false">IF(G358=2,F365*(S365-Q365),F365*(Q365-S365))</f>
        <v>0</v>
      </c>
      <c r="AE365" s="116" t="n">
        <f aca="false">IF($G$3=1,F365*(R365-Q365),F365*(Q365-R365))</f>
        <v>0</v>
      </c>
      <c r="AG365" s="116" t="n">
        <f aca="false">AC365+AE365</f>
        <v>0</v>
      </c>
    </row>
    <row r="366" customFormat="false" ht="12" hidden="false" customHeight="true" outlineLevel="0" collapsed="false">
      <c r="A366" s="120" t="n">
        <f aca="false">EDATE(A365,1)</f>
        <v>48122</v>
      </c>
      <c r="B366" s="121" t="e">
        <f aca="false">VLOOKUP(A366,'Inputs-Summary'!$A$32:$E$41,5,FALSE())</f>
        <v>#N/A</v>
      </c>
      <c r="C366" s="122"/>
      <c r="D366" s="123" t="e">
        <f aca="false">B366+C366</f>
        <v>#N/A</v>
      </c>
      <c r="E366" s="111" t="n">
        <f aca="false">IF(Z366=0,0,IF(AND(Z366=1,$H$3=1),D366*U366,IF($H$3=2,D366,"N/A")))</f>
        <v>0</v>
      </c>
      <c r="F366" s="111" t="n">
        <f aca="false">E366*Y366</f>
        <v>0</v>
      </c>
      <c r="G366" s="124" t="n">
        <f aca="false">VLOOKUP($A366,Table,MATCH(G$4,Curves,0))</f>
        <v>3</v>
      </c>
      <c r="H366" s="125" t="n">
        <f aca="false">G366+$H$7</f>
        <v>3</v>
      </c>
      <c r="I366" s="124" t="n">
        <f aca="false">H366</f>
        <v>3</v>
      </c>
      <c r="J366" s="124" t="n">
        <f aca="false">VLOOKUP($A366,Table,MATCH(J$4,Curves,0))</f>
        <v>4</v>
      </c>
      <c r="K366" s="125" t="n">
        <f aca="false">J366+$K$7</f>
        <v>4</v>
      </c>
      <c r="L366" s="126" t="n">
        <f aca="false">K366</f>
        <v>4</v>
      </c>
      <c r="M366" s="124" t="n">
        <f aca="false">VLOOKUP($A366,Table,MATCH(M$4,Curves,0))</f>
        <v>4</v>
      </c>
      <c r="N366" s="125" t="n">
        <f aca="false">M366+$N$7</f>
        <v>4</v>
      </c>
      <c r="O366" s="126" t="n">
        <v>-0.04</v>
      </c>
      <c r="P366" s="114"/>
      <c r="Q366" s="126" t="n">
        <f aca="false">M366+J366+G366</f>
        <v>11</v>
      </c>
      <c r="R366" s="126" t="n">
        <f aca="false">N366+K366+H366</f>
        <v>11</v>
      </c>
      <c r="S366" s="126" t="n">
        <f aca="false">O366+L366+I366</f>
        <v>6.96</v>
      </c>
      <c r="T366" s="127"/>
      <c r="U366" s="5" t="n">
        <f aca="false">A367-A366</f>
        <v>31</v>
      </c>
      <c r="V366" s="128" t="n">
        <f aca="false">CHOOSE(F$3,A367+24,A366)</f>
        <v>48122</v>
      </c>
      <c r="W366" s="5" t="n">
        <f aca="false">V366-C$3</f>
        <v>10891</v>
      </c>
      <c r="X366" s="124" t="n">
        <f aca="false">VLOOKUP($A366,Table,MATCH(X$4,Curves,0))</f>
        <v>2</v>
      </c>
      <c r="Y366" s="129" t="n">
        <f aca="false">1/(1+CHOOSE(F$3,(X367+($K$3/10000))/2,(X366+($K$3/10000))/2))^(2*W366/365.25)</f>
        <v>1.11638903732292E-018</v>
      </c>
      <c r="Z366" s="5" t="n">
        <f aca="false">IF(AND(mthbeg&lt;=A366,mthend&gt;=A366),1,0)</f>
        <v>0</v>
      </c>
      <c r="AA366" s="5" t="n">
        <f aca="false">U366*Z366</f>
        <v>0</v>
      </c>
      <c r="AC366" s="115" t="n">
        <f aca="false">IF(G359=2,F366*(S366-Q366),F366*(Q366-S366))</f>
        <v>0</v>
      </c>
      <c r="AE366" s="116" t="n">
        <f aca="false">IF($G$3=1,F366*(R366-Q366),F366*(Q366-R366))</f>
        <v>0</v>
      </c>
      <c r="AG366" s="116" t="n">
        <f aca="false">AC366+AE366</f>
        <v>0</v>
      </c>
    </row>
    <row r="367" customFormat="false" ht="12" hidden="false" customHeight="true" outlineLevel="0" collapsed="false">
      <c r="A367" s="120" t="n">
        <f aca="false">EDATE(A366,1)</f>
        <v>48153</v>
      </c>
      <c r="B367" s="121" t="e">
        <f aca="false">VLOOKUP(A367,'Inputs-Summary'!$A$32:$E$41,5,FALSE())</f>
        <v>#N/A</v>
      </c>
      <c r="C367" s="122"/>
      <c r="D367" s="123" t="e">
        <f aca="false">B367+C367</f>
        <v>#N/A</v>
      </c>
      <c r="E367" s="111" t="n">
        <f aca="false">IF(Z367=0,0,IF(AND(Z367=1,$H$3=1),D367*U367,IF($H$3=2,D367,"N/A")))</f>
        <v>0</v>
      </c>
      <c r="F367" s="111" t="n">
        <f aca="false">E367*Y367</f>
        <v>0</v>
      </c>
      <c r="G367" s="124" t="n">
        <f aca="false">VLOOKUP($A367,Table,MATCH(G$4,Curves,0))</f>
        <v>3</v>
      </c>
      <c r="H367" s="125" t="n">
        <f aca="false">G367+$H$7</f>
        <v>3</v>
      </c>
      <c r="I367" s="124" t="n">
        <f aca="false">H367</f>
        <v>3</v>
      </c>
      <c r="J367" s="124" t="n">
        <f aca="false">VLOOKUP($A367,Table,MATCH(J$4,Curves,0))</f>
        <v>4</v>
      </c>
      <c r="K367" s="125" t="n">
        <f aca="false">J367+$K$7</f>
        <v>4</v>
      </c>
      <c r="L367" s="126" t="n">
        <f aca="false">K367</f>
        <v>4</v>
      </c>
      <c r="M367" s="124" t="n">
        <f aca="false">VLOOKUP($A367,Table,MATCH(M$4,Curves,0))</f>
        <v>4</v>
      </c>
      <c r="N367" s="125" t="n">
        <f aca="false">M367+$N$7</f>
        <v>4</v>
      </c>
      <c r="O367" s="126" t="n">
        <v>-0.04</v>
      </c>
      <c r="P367" s="114"/>
      <c r="Q367" s="126" t="n">
        <f aca="false">M367+J367+G367</f>
        <v>11</v>
      </c>
      <c r="R367" s="126" t="n">
        <f aca="false">N367+K367+H367</f>
        <v>11</v>
      </c>
      <c r="S367" s="126" t="n">
        <f aca="false">O367+L367+I367</f>
        <v>6.96</v>
      </c>
      <c r="T367" s="127"/>
      <c r="U367" s="5" t="n">
        <f aca="false">A368-A367</f>
        <v>30</v>
      </c>
      <c r="V367" s="128" t="n">
        <f aca="false">CHOOSE(F$3,A368+24,A367)</f>
        <v>48153</v>
      </c>
      <c r="W367" s="5" t="n">
        <f aca="false">V367-C$3</f>
        <v>10922</v>
      </c>
      <c r="X367" s="124" t="n">
        <f aca="false">VLOOKUP($A367,Table,MATCH(X$4,Curves,0))</f>
        <v>2</v>
      </c>
      <c r="Y367" s="129" t="n">
        <f aca="false">1/(1+CHOOSE(F$3,(X368+($K$3/10000))/2,(X367+($K$3/10000))/2))^(2*W367/365.25)</f>
        <v>9.92468428127745E-019</v>
      </c>
      <c r="Z367" s="5" t="n">
        <f aca="false">IF(AND(mthbeg&lt;=A367,mthend&gt;=A367),1,0)</f>
        <v>0</v>
      </c>
      <c r="AA367" s="5" t="n">
        <f aca="false">U367*Z367</f>
        <v>0</v>
      </c>
      <c r="AC367" s="115" t="n">
        <f aca="false">IF(G360=2,F367*(S367-Q367),F367*(Q367-S367))</f>
        <v>0</v>
      </c>
      <c r="AE367" s="116" t="n">
        <f aca="false">IF($G$3=1,F367*(R367-Q367),F367*(Q367-R367))</f>
        <v>0</v>
      </c>
      <c r="AG367" s="116" t="n">
        <f aca="false">AC367+AE367</f>
        <v>0</v>
      </c>
    </row>
    <row r="368" customFormat="false" ht="12" hidden="false" customHeight="true" outlineLevel="0" collapsed="false">
      <c r="A368" s="120" t="n">
        <f aca="false">EDATE(A367,1)</f>
        <v>48183</v>
      </c>
      <c r="B368" s="121" t="e">
        <f aca="false">VLOOKUP(A368,'Inputs-Summary'!$A$32:$E$41,5,FALSE())</f>
        <v>#N/A</v>
      </c>
      <c r="C368" s="122"/>
      <c r="D368" s="123" t="e">
        <f aca="false">B368+C368</f>
        <v>#N/A</v>
      </c>
      <c r="E368" s="111" t="n">
        <f aca="false">IF(Z368=0,0,IF(AND(Z368=1,$H$3=1),D368*U368,IF($H$3=2,D368,"N/A")))</f>
        <v>0</v>
      </c>
      <c r="F368" s="111" t="n">
        <f aca="false">E368*Y368</f>
        <v>0</v>
      </c>
      <c r="G368" s="124" t="n">
        <f aca="false">VLOOKUP($A368,Table,MATCH(G$4,Curves,0))</f>
        <v>3</v>
      </c>
      <c r="H368" s="125" t="n">
        <f aca="false">G368+$H$7</f>
        <v>3</v>
      </c>
      <c r="I368" s="124" t="n">
        <f aca="false">H368</f>
        <v>3</v>
      </c>
      <c r="J368" s="124" t="n">
        <f aca="false">VLOOKUP($A368,Table,MATCH(J$4,Curves,0))</f>
        <v>4</v>
      </c>
      <c r="K368" s="125" t="n">
        <f aca="false">J368+$K$7</f>
        <v>4</v>
      </c>
      <c r="L368" s="126" t="n">
        <f aca="false">K368</f>
        <v>4</v>
      </c>
      <c r="M368" s="124" t="n">
        <f aca="false">VLOOKUP($A368,Table,MATCH(M$4,Curves,0))</f>
        <v>4</v>
      </c>
      <c r="N368" s="125" t="n">
        <f aca="false">M368+$N$7</f>
        <v>4</v>
      </c>
      <c r="O368" s="126" t="n">
        <v>-0.04</v>
      </c>
      <c r="P368" s="114"/>
      <c r="Q368" s="126" t="n">
        <f aca="false">M368+J368+G368</f>
        <v>11</v>
      </c>
      <c r="R368" s="126" t="n">
        <f aca="false">N368+K368+H368</f>
        <v>11</v>
      </c>
      <c r="S368" s="126" t="n">
        <f aca="false">O368+L368+I368</f>
        <v>6.96</v>
      </c>
      <c r="T368" s="127"/>
      <c r="U368" s="5" t="n">
        <f aca="false">A369-A368</f>
        <v>31</v>
      </c>
      <c r="V368" s="128" t="n">
        <f aca="false">CHOOSE(F$3,A369+24,A368)</f>
        <v>48183</v>
      </c>
      <c r="W368" s="5" t="n">
        <f aca="false">V368-C$3</f>
        <v>10952</v>
      </c>
      <c r="X368" s="124" t="n">
        <f aca="false">VLOOKUP($A368,Table,MATCH(X$4,Curves,0))</f>
        <v>2</v>
      </c>
      <c r="Y368" s="129" t="n">
        <f aca="false">1/(1+CHOOSE(F$3,(X369+($K$3/10000))/2,(X368+($K$3/10000))/2))^(2*W368/365.25)</f>
        <v>8.85658280576137E-019</v>
      </c>
      <c r="Z368" s="5" t="n">
        <f aca="false">IF(AND(mthbeg&lt;=A368,mthend&gt;=A368),1,0)</f>
        <v>0</v>
      </c>
      <c r="AA368" s="5" t="n">
        <f aca="false">U368*Z368</f>
        <v>0</v>
      </c>
      <c r="AC368" s="115" t="n">
        <f aca="false">IF(G361=2,F368*(S368-Q368),F368*(Q368-S368))</f>
        <v>0</v>
      </c>
      <c r="AE368" s="116" t="n">
        <f aca="false">IF($G$3=1,F368*(R368-Q368),F368*(Q368-R368))</f>
        <v>0</v>
      </c>
      <c r="AG368" s="116" t="n">
        <f aca="false">AC368+AE368</f>
        <v>0</v>
      </c>
    </row>
    <row r="369" customFormat="false" ht="12" hidden="false" customHeight="true" outlineLevel="0" collapsed="false">
      <c r="A369" s="120" t="n">
        <f aca="false">EDATE(A368,1)</f>
        <v>48214</v>
      </c>
      <c r="B369" s="121" t="e">
        <f aca="false">VLOOKUP(A369,'Inputs-Summary'!$A$32:$E$41,5,FALSE())</f>
        <v>#N/A</v>
      </c>
      <c r="C369" s="122"/>
      <c r="D369" s="123" t="e">
        <f aca="false">B369+C369</f>
        <v>#N/A</v>
      </c>
      <c r="E369" s="111" t="n">
        <f aca="false">IF(Z369=0,0,IF(AND(Z369=1,$H$3=1),D369*U369,IF($H$3=2,D369,"N/A")))</f>
        <v>0</v>
      </c>
      <c r="F369" s="111" t="n">
        <f aca="false">E369*Y369</f>
        <v>0</v>
      </c>
      <c r="G369" s="124" t="n">
        <f aca="false">VLOOKUP($A369,Table,MATCH(G$4,Curves,0))</f>
        <v>3</v>
      </c>
      <c r="H369" s="125" t="n">
        <f aca="false">G369+$H$7</f>
        <v>3</v>
      </c>
      <c r="I369" s="124" t="n">
        <f aca="false">H369</f>
        <v>3</v>
      </c>
      <c r="J369" s="124" t="n">
        <f aca="false">VLOOKUP($A369,Table,MATCH(J$4,Curves,0))</f>
        <v>4</v>
      </c>
      <c r="K369" s="125" t="n">
        <f aca="false">J369+$K$7</f>
        <v>4</v>
      </c>
      <c r="L369" s="126" t="n">
        <f aca="false">K369</f>
        <v>4</v>
      </c>
      <c r="M369" s="124" t="n">
        <f aca="false">VLOOKUP($A369,Table,MATCH(M$4,Curves,0))</f>
        <v>4</v>
      </c>
      <c r="N369" s="125" t="n">
        <f aca="false">M369+$N$7</f>
        <v>4</v>
      </c>
      <c r="O369" s="126" t="n">
        <v>-0.04</v>
      </c>
      <c r="P369" s="114"/>
      <c r="Q369" s="126" t="n">
        <f aca="false">M369+J369+G369</f>
        <v>11</v>
      </c>
      <c r="R369" s="126" t="n">
        <f aca="false">N369+K369+H369</f>
        <v>11</v>
      </c>
      <c r="S369" s="126" t="n">
        <f aca="false">O369+L369+I369</f>
        <v>6.96</v>
      </c>
      <c r="T369" s="127"/>
      <c r="U369" s="5" t="n">
        <f aca="false">A370-A369</f>
        <v>31</v>
      </c>
      <c r="V369" s="128" t="n">
        <f aca="false">CHOOSE(F$3,A370+24,A369)</f>
        <v>48214</v>
      </c>
      <c r="W369" s="5" t="n">
        <f aca="false">V369-C$3</f>
        <v>10983</v>
      </c>
      <c r="X369" s="124" t="n">
        <f aca="false">VLOOKUP($A369,Table,MATCH(X$4,Curves,0))</f>
        <v>2</v>
      </c>
      <c r="Y369" s="129" t="n">
        <f aca="false">1/(1+CHOOSE(F$3,(X370+($K$3/10000))/2,(X369+($K$3/10000))/2))^(2*W369/365.25)</f>
        <v>7.87349080110563E-019</v>
      </c>
      <c r="Z369" s="5" t="n">
        <f aca="false">IF(AND(mthbeg&lt;=A369,mthend&gt;=A369),1,0)</f>
        <v>0</v>
      </c>
      <c r="AA369" s="5" t="n">
        <f aca="false">U369*Z369</f>
        <v>0</v>
      </c>
      <c r="AC369" s="115" t="n">
        <f aca="false">IF(G362=2,F369*(S369-Q369),F369*(Q369-S369))</f>
        <v>0</v>
      </c>
      <c r="AE369" s="116" t="n">
        <f aca="false">IF($G$3=1,F369*(R369-Q369),F369*(Q369-R369))</f>
        <v>0</v>
      </c>
      <c r="AG369" s="130" t="n">
        <f aca="false">AC369+AE369</f>
        <v>0</v>
      </c>
    </row>
    <row r="370" customFormat="false" ht="13.5" hidden="false" customHeight="false" outlineLevel="0" collapsed="false">
      <c r="A370" s="120" t="n">
        <f aca="false">EDATE(A369,1)</f>
        <v>48245</v>
      </c>
      <c r="X370" s="124" t="n">
        <f aca="false">VLOOKUP($A370,Table,MATCH(X$4,Curves,0))</f>
        <v>2</v>
      </c>
      <c r="AE370" s="130" t="n">
        <f aca="false">IF($G$3=1,F370*(R370-Q370),F370*(Q370-R370))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0" topLeftCell="D1" activePane="topRight" state="frozen"/>
      <selection pane="topLeft" activeCell="A1" activeCellId="0" sqref="A1"/>
      <selection pane="topRigh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13.85"/>
    <col collapsed="false" customWidth="true" hidden="false" outlineLevel="0" max="2" min="2" style="131" width="14.7"/>
    <col collapsed="false" customWidth="true" hidden="false" outlineLevel="0" max="3" min="3" style="132" width="13.28"/>
    <col collapsed="false" customWidth="true" hidden="false" outlineLevel="0" max="5" min="4" style="132" width="19.14"/>
    <col collapsed="false" customWidth="true" hidden="false" outlineLevel="0" max="11" min="6" style="132" width="18.85"/>
    <col collapsed="false" customWidth="true" hidden="false" outlineLevel="0" max="12" min="12" style="0" width="15.28"/>
    <col collapsed="false" customWidth="true" hidden="false" outlineLevel="0" max="13" min="13" style="133" width="12.7"/>
    <col collapsed="false" customWidth="true" hidden="false" outlineLevel="0" max="14" min="14" style="0" width="12.7"/>
    <col collapsed="false" customWidth="true" hidden="false" outlineLevel="0" max="16" min="15" style="134" width="17.85"/>
    <col collapsed="false" customWidth="false" hidden="false" outlineLevel="0" max="257" min="17" style="133" width="9.14"/>
  </cols>
  <sheetData>
    <row r="1" customFormat="false" ht="12.75" hidden="false" customHeight="false" outlineLevel="0" collapsed="false">
      <c r="A1" s="133" t="s">
        <v>79</v>
      </c>
      <c r="B1" s="133"/>
      <c r="C1" s="135" t="s">
        <v>80</v>
      </c>
      <c r="D1" s="136" t="s">
        <v>81</v>
      </c>
    </row>
    <row r="2" customFormat="false" ht="12.75" hidden="false" customHeight="false" outlineLevel="0" collapsed="false">
      <c r="A2" s="133" t="s">
        <v>82</v>
      </c>
      <c r="B2" s="133"/>
      <c r="C2" s="135" t="s">
        <v>80</v>
      </c>
      <c r="D2" s="136" t="s">
        <v>83</v>
      </c>
    </row>
    <row r="3" customFormat="false" ht="12.75" hidden="false" customHeight="false" outlineLevel="0" collapsed="false">
      <c r="A3" s="133" t="s">
        <v>84</v>
      </c>
      <c r="B3" s="133"/>
      <c r="C3" s="135" t="s">
        <v>85</v>
      </c>
      <c r="D3" s="136" t="s">
        <v>86</v>
      </c>
      <c r="AE3" s="132"/>
    </row>
    <row r="4" customFormat="false" ht="12.75" hidden="false" customHeight="false" outlineLevel="0" collapsed="false">
      <c r="A4" s="133"/>
      <c r="B4" s="133"/>
      <c r="C4" s="135"/>
      <c r="D4" s="136"/>
      <c r="M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</row>
    <row r="5" customFormat="false" ht="12.75" hidden="false" customHeight="false" outlineLevel="0" collapsed="false">
      <c r="A5" s="136"/>
      <c r="B5" s="136"/>
      <c r="I5" s="132" t="s">
        <v>87</v>
      </c>
      <c r="J5" s="132" t="s">
        <v>87</v>
      </c>
    </row>
    <row r="6" customFormat="false" ht="12.75" hidden="false" customHeight="false" outlineLevel="0" collapsed="false">
      <c r="A6" s="137" t="n">
        <f aca="false">'Inputs-Summary'!B5</f>
        <v>37260</v>
      </c>
      <c r="B6" s="138"/>
      <c r="D6" s="136"/>
      <c r="E6" s="136"/>
    </row>
    <row r="7" customFormat="false" ht="12.75" hidden="false" customHeight="false" outlineLevel="0" collapsed="false">
      <c r="A7" s="133"/>
      <c r="B7" s="133"/>
      <c r="C7" s="135"/>
      <c r="D7" s="139"/>
    </row>
    <row r="8" customFormat="false" ht="11.25" hidden="false" customHeight="false" outlineLevel="0" collapsed="false">
      <c r="A8" s="133"/>
      <c r="B8" s="133"/>
      <c r="C8" s="131"/>
      <c r="D8" s="132" t="s">
        <v>57</v>
      </c>
      <c r="E8" s="132" t="s">
        <v>55</v>
      </c>
      <c r="F8" s="132" t="s">
        <v>88</v>
      </c>
      <c r="G8" s="132" t="str">
        <f aca="false">CONCATENATE(G13,"-",G15)</f>
        <v>IF-TENN/LA_OFF-D</v>
      </c>
      <c r="H8" s="132" t="str">
        <f aca="false">CONCATENATE(H13,"-",H15)</f>
        <v>IF-TENN/LA_OFF-I</v>
      </c>
      <c r="I8" s="132" t="str">
        <f aca="false">CONCATENATE(I13,"-",I15)</f>
        <v>IF-HEHUB-D</v>
      </c>
      <c r="J8" s="132" t="str">
        <f aca="false">CONCATENATE(J13,"-",J15)</f>
        <v>IF-HEHUB-I</v>
      </c>
      <c r="K8" s="132" t="str">
        <f aca="false">CONCATENATE(K13,"-",K15)</f>
        <v>IF-HPL/SHPCHAN-D</v>
      </c>
      <c r="L8" s="132" t="str">
        <f aca="false">CONCATENATE(L13,"-",L15)</f>
        <v>IF-HPL/SHPCHAN-I</v>
      </c>
      <c r="M8" s="132" t="str">
        <f aca="false">CONCATENATE(M13,"-",M15)</f>
        <v>NGI-SOCAL-D</v>
      </c>
      <c r="N8" s="132" t="str">
        <f aca="false">CONCATENATE(N13,"-",N15)</f>
        <v>NGI-SOCAL-I</v>
      </c>
      <c r="O8" s="132" t="str">
        <f aca="false">CONCATENATE(O13,"-",O15)</f>
        <v>IF-TRANSCO/Z6-D</v>
      </c>
      <c r="P8" s="132" t="str">
        <f aca="false">CONCATENATE(P13,"-",P15)</f>
        <v>IF-TRANSCO/Z6-I</v>
      </c>
    </row>
    <row r="9" customFormat="false" ht="12.75" hidden="false" customHeight="false" outlineLevel="0" collapsed="false">
      <c r="A9" s="133"/>
      <c r="B9" s="133"/>
      <c r="C9" s="131"/>
    </row>
    <row r="10" customFormat="false" ht="11.25" hidden="false" customHeight="false" outlineLevel="0" collapsed="false">
      <c r="A10" s="132"/>
      <c r="B10" s="132"/>
      <c r="C10" s="132" t="n">
        <v>1</v>
      </c>
      <c r="D10" s="132" t="n">
        <v>2</v>
      </c>
      <c r="E10" s="132" t="n">
        <v>3</v>
      </c>
      <c r="F10" s="132" t="n">
        <v>4</v>
      </c>
      <c r="G10" s="132" t="n">
        <v>4</v>
      </c>
      <c r="H10" s="132" t="n">
        <v>4</v>
      </c>
      <c r="I10" s="132" t="n">
        <v>5</v>
      </c>
      <c r="J10" s="132" t="n">
        <v>5</v>
      </c>
      <c r="K10" s="132" t="n">
        <v>6</v>
      </c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  <c r="IW10" s="132"/>
    </row>
    <row r="11" customFormat="false" ht="11.25" hidden="false" customHeight="false" outlineLevel="0" collapsed="false">
      <c r="A11" s="132"/>
      <c r="B11" s="132"/>
      <c r="C11" s="135" t="s">
        <v>89</v>
      </c>
      <c r="D11" s="140" t="n">
        <f aca="false">today</f>
        <v>37260</v>
      </c>
      <c r="E11" s="140" t="n">
        <f aca="false">today</f>
        <v>37260</v>
      </c>
      <c r="F11" s="140" t="n">
        <f aca="false">today</f>
        <v>37260</v>
      </c>
      <c r="G11" s="140" t="n">
        <f aca="false">today</f>
        <v>37260</v>
      </c>
      <c r="H11" s="140" t="n">
        <f aca="false">today</f>
        <v>37260</v>
      </c>
      <c r="I11" s="140" t="n">
        <f aca="false">today</f>
        <v>37260</v>
      </c>
      <c r="J11" s="140" t="n">
        <f aca="false">today</f>
        <v>37260</v>
      </c>
      <c r="K11" s="140" t="n">
        <f aca="false">today</f>
        <v>37260</v>
      </c>
      <c r="L11" s="140" t="n">
        <f aca="false">today</f>
        <v>37260</v>
      </c>
      <c r="M11" s="140" t="n">
        <f aca="false">today</f>
        <v>37260</v>
      </c>
      <c r="N11" s="140" t="n">
        <f aca="false">today</f>
        <v>37260</v>
      </c>
      <c r="O11" s="140" t="n">
        <f aca="false">today</f>
        <v>37260</v>
      </c>
      <c r="P11" s="140" t="n">
        <f aca="false">today</f>
        <v>37260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  <c r="IW11" s="132"/>
    </row>
    <row r="12" customFormat="false" ht="11.25" hidden="false" customHeight="false" outlineLevel="0" collapsed="false">
      <c r="A12" s="132"/>
      <c r="B12" s="132"/>
      <c r="C12" s="135" t="s">
        <v>90</v>
      </c>
      <c r="D12" s="135" t="e">
        <f aca="false">BeginningOfNextMonth(D11)</f>
        <v>#VALUE!</v>
      </c>
      <c r="E12" s="135" t="e">
        <f aca="false">BeginningOfNextMonth(E11)</f>
        <v>#VALUE!</v>
      </c>
      <c r="F12" s="135" t="e">
        <f aca="false">BeginningOfNextMonth(F11)</f>
        <v>#VALUE!</v>
      </c>
      <c r="G12" s="135" t="e">
        <f aca="false">BeginningOfNextMonth(G11)</f>
        <v>#VALUE!</v>
      </c>
      <c r="H12" s="135" t="e">
        <f aca="false">BeginningOfNextMonth(H11)</f>
        <v>#VALUE!</v>
      </c>
      <c r="I12" s="135" t="e">
        <f aca="false">BeginningOfNextMonth(I11)</f>
        <v>#VALUE!</v>
      </c>
      <c r="J12" s="135" t="e">
        <f aca="false">BeginningOfNextMonth(J11)</f>
        <v>#VALUE!</v>
      </c>
      <c r="K12" s="135" t="e">
        <f aca="false">BeginningOfNextMonth(K11)</f>
        <v>#VALUE!</v>
      </c>
      <c r="L12" s="135" t="e">
        <f aca="false">BeginningOfNextMonth(L11)</f>
        <v>#VALUE!</v>
      </c>
      <c r="M12" s="135" t="e">
        <f aca="false">BeginningOfNextMonth(M11)</f>
        <v>#VALUE!</v>
      </c>
      <c r="N12" s="135" t="e">
        <f aca="false">BeginningOfNextMonth(N11)</f>
        <v>#VALUE!</v>
      </c>
      <c r="O12" s="135" t="e">
        <f aca="false">BeginningOfNextMonth(O11)</f>
        <v>#VALUE!</v>
      </c>
      <c r="P12" s="135" t="e">
        <f aca="false">BeginningOfNextMonth(P11)</f>
        <v>#VALUE!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  <c r="IW12" s="132"/>
    </row>
    <row r="13" customFormat="false" ht="12.75" hidden="false" customHeight="false" outlineLevel="0" collapsed="false">
      <c r="A13" s="132"/>
      <c r="B13" s="132"/>
      <c r="C13" s="135" t="s">
        <v>91</v>
      </c>
      <c r="D13" s="141" t="s">
        <v>92</v>
      </c>
      <c r="E13" s="132" t="s">
        <v>93</v>
      </c>
      <c r="F13" s="132" t="s">
        <v>93</v>
      </c>
      <c r="G13" s="91" t="s">
        <v>48</v>
      </c>
      <c r="H13" s="91" t="s">
        <v>48</v>
      </c>
      <c r="I13" s="132" t="s">
        <v>94</v>
      </c>
      <c r="J13" s="132" t="s">
        <v>94</v>
      </c>
      <c r="K13" s="132" t="s">
        <v>95</v>
      </c>
      <c r="L13" s="132" t="s">
        <v>95</v>
      </c>
      <c r="M13" s="132" t="s">
        <v>96</v>
      </c>
      <c r="N13" s="132" t="s">
        <v>96</v>
      </c>
      <c r="O13" s="132" t="s">
        <v>97</v>
      </c>
      <c r="P13" s="132" t="s">
        <v>97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  <c r="IW13" s="132"/>
    </row>
    <row r="14" customFormat="false" ht="11.25" hidden="false" customHeight="false" outlineLevel="0" collapsed="false">
      <c r="A14" s="132"/>
      <c r="B14" s="132"/>
      <c r="C14" s="135" t="s">
        <v>98</v>
      </c>
      <c r="D14" s="142" t="s">
        <v>73</v>
      </c>
      <c r="E14" s="132" t="s">
        <v>99</v>
      </c>
      <c r="F14" s="132" t="s">
        <v>100</v>
      </c>
      <c r="G14" s="132" t="s">
        <v>99</v>
      </c>
      <c r="H14" s="132" t="s">
        <v>99</v>
      </c>
      <c r="I14" s="132" t="s">
        <v>99</v>
      </c>
      <c r="J14" s="132" t="s">
        <v>99</v>
      </c>
      <c r="K14" s="132" t="s">
        <v>99</v>
      </c>
      <c r="L14" s="132" t="s">
        <v>99</v>
      </c>
      <c r="M14" s="132" t="s">
        <v>99</v>
      </c>
      <c r="N14" s="132" t="s">
        <v>99</v>
      </c>
      <c r="O14" s="132" t="s">
        <v>99</v>
      </c>
      <c r="P14" s="132" t="s">
        <v>99</v>
      </c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  <c r="IW14" s="132"/>
    </row>
    <row r="15" customFormat="false" ht="11.25" hidden="false" customHeight="false" outlineLevel="0" collapsed="false">
      <c r="A15" s="133"/>
      <c r="B15" s="133"/>
      <c r="C15" s="143" t="s">
        <v>101</v>
      </c>
      <c r="D15" s="142" t="s">
        <v>102</v>
      </c>
      <c r="E15" s="132" t="s">
        <v>103</v>
      </c>
      <c r="F15" s="132" t="s">
        <v>103</v>
      </c>
      <c r="G15" s="132" t="s">
        <v>104</v>
      </c>
      <c r="H15" s="132" t="s">
        <v>105</v>
      </c>
      <c r="I15" s="132" t="s">
        <v>104</v>
      </c>
      <c r="J15" s="132" t="s">
        <v>105</v>
      </c>
      <c r="K15" s="132" t="s">
        <v>104</v>
      </c>
      <c r="L15" s="132" t="s">
        <v>105</v>
      </c>
      <c r="M15" s="132" t="s">
        <v>104</v>
      </c>
      <c r="N15" s="132" t="s">
        <v>105</v>
      </c>
      <c r="O15" s="132" t="s">
        <v>104</v>
      </c>
      <c r="P15" s="132" t="s">
        <v>105</v>
      </c>
    </row>
    <row r="16" customFormat="false" ht="12.75" hidden="false" customHeight="false" outlineLevel="0" collapsed="false">
      <c r="A16" s="133"/>
      <c r="B16" s="133"/>
      <c r="C16" s="143" t="s">
        <v>106</v>
      </c>
      <c r="D16" s="142" t="s">
        <v>107</v>
      </c>
      <c r="E16" s="132" t="s">
        <v>108</v>
      </c>
      <c r="F16" s="132" t="s">
        <v>108</v>
      </c>
      <c r="G16" s="132" t="s">
        <v>109</v>
      </c>
      <c r="H16" s="132" t="s">
        <v>109</v>
      </c>
      <c r="I16" s="132" t="s">
        <v>109</v>
      </c>
      <c r="J16" s="132" t="s">
        <v>109</v>
      </c>
      <c r="K16" s="132" t="s">
        <v>110</v>
      </c>
      <c r="L16" s="0" t="s">
        <v>110</v>
      </c>
      <c r="M16" s="133" t="s">
        <v>111</v>
      </c>
      <c r="N16" s="0" t="s">
        <v>111</v>
      </c>
      <c r="O16" s="134" t="s">
        <v>112</v>
      </c>
      <c r="P16" s="134" t="s">
        <v>112</v>
      </c>
      <c r="Q16" s="132"/>
      <c r="R16" s="132"/>
      <c r="S16" s="132"/>
      <c r="T16" s="132"/>
      <c r="U16" s="132"/>
      <c r="V16" s="132"/>
    </row>
    <row r="17" customFormat="false" ht="12.75" hidden="false" customHeight="false" outlineLevel="0" collapsed="false">
      <c r="A17" s="133"/>
      <c r="B17" s="133"/>
      <c r="C17" s="144" t="e">
        <f aca="false">BeginningOfNextMonth(today)</f>
        <v>#VALUE!</v>
      </c>
      <c r="D17" s="145" t="n">
        <v>0.018781742132278</v>
      </c>
      <c r="E17" s="145" t="n">
        <v>2.275</v>
      </c>
      <c r="F17" s="145" t="n">
        <v>0.84</v>
      </c>
      <c r="G17" s="145" t="n">
        <v>-0.08</v>
      </c>
      <c r="H17" s="145" t="n">
        <v>-0.0075</v>
      </c>
      <c r="I17" s="145" t="n">
        <v>0.0025</v>
      </c>
      <c r="J17" s="145" t="n">
        <v>-0.005</v>
      </c>
      <c r="K17" s="145" t="n">
        <v>-0.005</v>
      </c>
      <c r="L17" s="0" t="n">
        <v>-0.025</v>
      </c>
      <c r="M17" s="133" t="n">
        <v>-0.15</v>
      </c>
      <c r="N17" s="0" t="n">
        <v>-0.01</v>
      </c>
      <c r="O17" s="134" t="n">
        <v>1.9</v>
      </c>
      <c r="P17" s="134" t="n">
        <v>0.35</v>
      </c>
    </row>
    <row r="18" customFormat="false" ht="12.75" hidden="false" customHeight="false" outlineLevel="0" collapsed="false">
      <c r="A18" s="133"/>
      <c r="B18" s="133"/>
      <c r="C18" s="144" t="e">
        <f aca="false">NextMonth(C17)</f>
        <v>#VALUE!</v>
      </c>
      <c r="D18" s="132" t="n">
        <v>0.0188803513618052</v>
      </c>
      <c r="E18" s="145" t="n">
        <v>2.265</v>
      </c>
      <c r="F18" s="145" t="n">
        <v>0.765</v>
      </c>
      <c r="G18" s="145" t="n">
        <v>-0.08</v>
      </c>
      <c r="H18" s="145" t="n">
        <v>-0.0075</v>
      </c>
      <c r="I18" s="145" t="n">
        <v>0.0025</v>
      </c>
      <c r="J18" s="145" t="n">
        <v>-0.005</v>
      </c>
      <c r="K18" s="145" t="n">
        <v>-0.0075</v>
      </c>
      <c r="L18" s="0" t="n">
        <v>-0.02</v>
      </c>
      <c r="M18" s="133" t="n">
        <v>-0.16</v>
      </c>
      <c r="N18" s="0" t="n">
        <v>-0.01</v>
      </c>
      <c r="O18" s="134" t="n">
        <v>0.645</v>
      </c>
      <c r="P18" s="134" t="n">
        <v>0.04</v>
      </c>
    </row>
    <row r="19" customFormat="false" ht="12.75" hidden="false" customHeight="false" outlineLevel="0" collapsed="false">
      <c r="A19" s="133"/>
      <c r="B19" s="133"/>
      <c r="C19" s="144" t="e">
        <f aca="false">NextMonth(C18)</f>
        <v>#VALUE!</v>
      </c>
      <c r="D19" s="132" t="n">
        <v>0.0189303252506687</v>
      </c>
      <c r="E19" s="145" t="n">
        <v>2.288</v>
      </c>
      <c r="F19" s="145" t="n">
        <v>0.61</v>
      </c>
      <c r="G19" s="145" t="n">
        <v>-0.0775</v>
      </c>
      <c r="H19" s="145" t="n">
        <v>0.005</v>
      </c>
      <c r="I19" s="145" t="n">
        <v>0.0025</v>
      </c>
      <c r="J19" s="145" t="n">
        <v>-0.0025</v>
      </c>
      <c r="K19" s="145" t="n">
        <v>0.015</v>
      </c>
      <c r="L19" s="0" t="n">
        <v>-0.015</v>
      </c>
      <c r="M19" s="133" t="n">
        <v>-0.14</v>
      </c>
      <c r="N19" s="0" t="n">
        <v>-0.01</v>
      </c>
      <c r="O19" s="134" t="n">
        <v>0.386</v>
      </c>
      <c r="P19" s="134" t="n">
        <v>0.01</v>
      </c>
    </row>
    <row r="20" customFormat="false" ht="12.75" hidden="false" customHeight="false" outlineLevel="0" collapsed="false">
      <c r="A20" s="133"/>
      <c r="B20" s="133"/>
      <c r="C20" s="144" t="e">
        <f aca="false">NextMonth(C19)</f>
        <v>#VALUE!</v>
      </c>
      <c r="D20" s="132" t="n">
        <v>0.0191931509944241</v>
      </c>
      <c r="E20" s="145" t="n">
        <v>2.352</v>
      </c>
      <c r="F20" s="145" t="n">
        <v>0.5725</v>
      </c>
      <c r="G20" s="145" t="n">
        <v>-0.0775</v>
      </c>
      <c r="H20" s="145" t="n">
        <v>0.005</v>
      </c>
      <c r="I20" s="145" t="n">
        <v>0.0025</v>
      </c>
      <c r="J20" s="145" t="n">
        <v>-0.0025</v>
      </c>
      <c r="K20" s="145" t="n">
        <v>0.02</v>
      </c>
      <c r="L20" s="0" t="n">
        <v>-0.015</v>
      </c>
      <c r="M20" s="133" t="n">
        <v>-0.12</v>
      </c>
      <c r="N20" s="0" t="n">
        <v>-0.01</v>
      </c>
      <c r="O20" s="134" t="n">
        <v>0.386</v>
      </c>
      <c r="P20" s="134" t="n">
        <v>0.01</v>
      </c>
    </row>
    <row r="21" customFormat="false" ht="12.75" hidden="false" customHeight="false" outlineLevel="0" collapsed="false">
      <c r="A21" s="133"/>
      <c r="B21" s="133"/>
      <c r="C21" s="144" t="e">
        <f aca="false">NextMonth(C20)</f>
        <v>#VALUE!</v>
      </c>
      <c r="D21" s="132" t="n">
        <v>0.0194745845811064</v>
      </c>
      <c r="E21" s="145" t="n">
        <v>2.421</v>
      </c>
      <c r="F21" s="145" t="n">
        <v>0.5325</v>
      </c>
      <c r="G21" s="145" t="n">
        <v>-0.0775</v>
      </c>
      <c r="H21" s="145" t="n">
        <v>0.005</v>
      </c>
      <c r="I21" s="145" t="n">
        <v>0.0025</v>
      </c>
      <c r="J21" s="145" t="n">
        <v>-0.0025</v>
      </c>
      <c r="K21" s="145" t="n">
        <v>0.0325</v>
      </c>
      <c r="L21" s="0" t="n">
        <v>-0.015</v>
      </c>
      <c r="M21" s="133" t="n">
        <v>-0.1</v>
      </c>
      <c r="N21" s="0" t="n">
        <v>-0.01</v>
      </c>
      <c r="O21" s="134" t="n">
        <v>0.386</v>
      </c>
      <c r="P21" s="134" t="n">
        <v>0.02</v>
      </c>
    </row>
    <row r="22" customFormat="false" ht="12.75" hidden="false" customHeight="false" outlineLevel="0" collapsed="false">
      <c r="A22" s="133"/>
      <c r="B22" s="133"/>
      <c r="C22" s="144" t="e">
        <f aca="false">NextMonth(C21)</f>
        <v>#VALUE!</v>
      </c>
      <c r="D22" s="132" t="n">
        <v>0.0198664191744551</v>
      </c>
      <c r="E22" s="145" t="n">
        <v>2.483</v>
      </c>
      <c r="F22" s="145" t="n">
        <v>0.5225</v>
      </c>
      <c r="G22" s="145" t="n">
        <v>-0.0775</v>
      </c>
      <c r="H22" s="145" t="n">
        <v>0.005</v>
      </c>
      <c r="I22" s="145" t="n">
        <v>0.0025</v>
      </c>
      <c r="J22" s="145" t="n">
        <v>-0.0025</v>
      </c>
      <c r="K22" s="145" t="n">
        <v>0.045</v>
      </c>
      <c r="L22" s="0" t="n">
        <v>-0.01</v>
      </c>
      <c r="M22" s="133" t="n">
        <v>0.1</v>
      </c>
      <c r="N22" s="0" t="n">
        <v>-0.01</v>
      </c>
      <c r="O22" s="134" t="n">
        <v>0.386</v>
      </c>
      <c r="P22" s="134" t="n">
        <v>0.02</v>
      </c>
    </row>
    <row r="23" customFormat="false" ht="12.75" hidden="false" customHeight="false" outlineLevel="0" collapsed="false">
      <c r="A23" s="133"/>
      <c r="B23" s="133"/>
      <c r="C23" s="144" t="e">
        <f aca="false">NextMonth(C22)</f>
        <v>#VALUE!</v>
      </c>
      <c r="D23" s="132" t="n">
        <v>0.0204609227879979</v>
      </c>
      <c r="E23" s="145" t="n">
        <v>2.536</v>
      </c>
      <c r="F23" s="145" t="n">
        <v>0.52</v>
      </c>
      <c r="G23" s="145" t="n">
        <v>-0.0775</v>
      </c>
      <c r="H23" s="145" t="n">
        <v>0.005</v>
      </c>
      <c r="I23" s="145" t="n">
        <v>0.0025</v>
      </c>
      <c r="J23" s="145" t="n">
        <v>-0.0025</v>
      </c>
      <c r="K23" s="145" t="n">
        <v>0.05</v>
      </c>
      <c r="L23" s="0" t="n">
        <v>-0.01</v>
      </c>
      <c r="M23" s="133" t="n">
        <v>0.11</v>
      </c>
      <c r="N23" s="0" t="n">
        <v>-0.01</v>
      </c>
      <c r="O23" s="134" t="n">
        <v>0.386</v>
      </c>
      <c r="P23" s="134" t="n">
        <v>0.005</v>
      </c>
    </row>
    <row r="24" customFormat="false" ht="12.75" hidden="false" customHeight="false" outlineLevel="0" collapsed="false">
      <c r="A24" s="133"/>
      <c r="B24" s="133"/>
      <c r="C24" s="144" t="e">
        <f aca="false">NextMonth(C23)</f>
        <v>#VALUE!</v>
      </c>
      <c r="D24" s="132" t="n">
        <v>0.0210554265212721</v>
      </c>
      <c r="E24" s="132" t="n">
        <v>2.551</v>
      </c>
      <c r="F24" s="132" t="n">
        <v>0.52</v>
      </c>
      <c r="G24" s="132" t="n">
        <v>-0.0775</v>
      </c>
      <c r="H24" s="132" t="n">
        <v>0.005</v>
      </c>
      <c r="I24" s="132" t="n">
        <v>0.0025</v>
      </c>
      <c r="J24" s="132" t="n">
        <v>-0.0025</v>
      </c>
      <c r="K24" s="132" t="n">
        <v>0.04</v>
      </c>
      <c r="L24" s="0" t="n">
        <v>-0.01</v>
      </c>
      <c r="M24" s="133" t="n">
        <v>0.1</v>
      </c>
      <c r="N24" s="0" t="n">
        <v>-0.01</v>
      </c>
      <c r="O24" s="134" t="n">
        <v>0.386</v>
      </c>
      <c r="P24" s="134" t="n">
        <v>0.005</v>
      </c>
    </row>
    <row r="25" customFormat="false" ht="12.75" hidden="false" customHeight="false" outlineLevel="0" collapsed="false">
      <c r="A25" s="133"/>
      <c r="B25" s="133"/>
      <c r="C25" s="144" t="e">
        <f aca="false">NextMonth(C24)</f>
        <v>#VALUE!</v>
      </c>
      <c r="D25" s="132" t="n">
        <v>0.0217122055515615</v>
      </c>
      <c r="E25" s="132" t="n">
        <v>2.588</v>
      </c>
      <c r="F25" s="132" t="n">
        <v>0.52</v>
      </c>
      <c r="G25" s="132" t="n">
        <v>-0.0775</v>
      </c>
      <c r="H25" s="132" t="n">
        <v>0.005</v>
      </c>
      <c r="I25" s="132" t="n">
        <v>0.0025</v>
      </c>
      <c r="J25" s="132" t="n">
        <v>0</v>
      </c>
      <c r="K25" s="132" t="n">
        <v>0.0075</v>
      </c>
      <c r="L25" s="0" t="n">
        <v>-0.015</v>
      </c>
      <c r="M25" s="133" t="n">
        <v>0</v>
      </c>
      <c r="N25" s="0" t="n">
        <v>-0.01</v>
      </c>
      <c r="O25" s="134" t="n">
        <v>0.386</v>
      </c>
      <c r="P25" s="134" t="n">
        <v>0.005</v>
      </c>
    </row>
    <row r="26" customFormat="false" ht="12.75" hidden="false" customHeight="false" outlineLevel="0" collapsed="false">
      <c r="A26" s="133"/>
      <c r="B26" s="133"/>
      <c r="C26" s="144" t="e">
        <f aca="false">NextMonth(C25)</f>
        <v>#VALUE!</v>
      </c>
      <c r="D26" s="132" t="n">
        <v>0.0225059296503969</v>
      </c>
      <c r="E26" s="132" t="n">
        <v>2.818</v>
      </c>
      <c r="F26" s="132" t="n">
        <v>0.5275</v>
      </c>
      <c r="G26" s="132" t="n">
        <v>-0.075</v>
      </c>
      <c r="H26" s="132" t="n">
        <v>0</v>
      </c>
      <c r="I26" s="132" t="n">
        <v>0.0025</v>
      </c>
      <c r="J26" s="132" t="n">
        <v>0</v>
      </c>
      <c r="K26" s="132" t="n">
        <v>-0.0225</v>
      </c>
      <c r="L26" s="0" t="n">
        <v>-0.02</v>
      </c>
      <c r="M26" s="133" t="n">
        <v>0.03</v>
      </c>
      <c r="N26" s="0" t="n">
        <v>0.02</v>
      </c>
      <c r="O26" s="134" t="n">
        <v>1.2</v>
      </c>
      <c r="P26" s="134" t="n">
        <v>0.05</v>
      </c>
    </row>
    <row r="27" customFormat="false" ht="12.75" hidden="false" customHeight="false" outlineLevel="0" collapsed="false">
      <c r="A27" s="133"/>
      <c r="B27" s="133"/>
      <c r="C27" s="144" t="e">
        <f aca="false">NextMonth(C26)</f>
        <v>#VALUE!</v>
      </c>
      <c r="D27" s="132" t="n">
        <v>0.0232740499490451</v>
      </c>
      <c r="E27" s="132" t="n">
        <v>3.048</v>
      </c>
      <c r="F27" s="132" t="n">
        <v>0.5275</v>
      </c>
      <c r="G27" s="132" t="n">
        <v>-0.075</v>
      </c>
      <c r="H27" s="132" t="n">
        <v>0</v>
      </c>
      <c r="I27" s="132" t="n">
        <v>0.0025</v>
      </c>
      <c r="J27" s="132" t="n">
        <v>0</v>
      </c>
      <c r="K27" s="132" t="n">
        <v>-0.045</v>
      </c>
      <c r="L27" s="0" t="n">
        <v>-0.025</v>
      </c>
      <c r="M27" s="133" t="n">
        <v>0.03</v>
      </c>
      <c r="N27" s="0" t="n">
        <v>0.02</v>
      </c>
      <c r="O27" s="134" t="n">
        <v>1.2</v>
      </c>
      <c r="P27" s="134" t="n">
        <v>0.225</v>
      </c>
    </row>
    <row r="28" customFormat="false" ht="12.75" hidden="false" customHeight="false" outlineLevel="0" collapsed="false">
      <c r="A28" s="133"/>
      <c r="B28" s="133"/>
      <c r="C28" s="144" t="e">
        <f aca="false">NextMonth(C27)</f>
        <v>#VALUE!</v>
      </c>
      <c r="D28" s="132" t="n">
        <v>0.0241320972638857</v>
      </c>
      <c r="E28" s="132" t="n">
        <v>3.168</v>
      </c>
      <c r="F28" s="132" t="n">
        <v>0.525</v>
      </c>
      <c r="G28" s="132" t="n">
        <v>-0.075</v>
      </c>
      <c r="H28" s="132" t="n">
        <v>0</v>
      </c>
      <c r="I28" s="132" t="n">
        <v>0.0025</v>
      </c>
      <c r="J28" s="132" t="n">
        <v>0</v>
      </c>
      <c r="K28" s="132" t="n">
        <v>-0.05</v>
      </c>
      <c r="L28" s="0" t="n">
        <v>-0.025</v>
      </c>
      <c r="M28" s="133" t="n">
        <v>0.02</v>
      </c>
      <c r="N28" s="0" t="n">
        <v>0.02</v>
      </c>
      <c r="O28" s="134" t="n">
        <v>1.2</v>
      </c>
      <c r="P28" s="134" t="n">
        <v>0.35</v>
      </c>
    </row>
    <row r="29" customFormat="false" ht="12.75" hidden="false" customHeight="false" outlineLevel="0" collapsed="false">
      <c r="A29" s="133"/>
      <c r="B29" s="133"/>
      <c r="C29" s="144" t="e">
        <f aca="false">NextMonth(C28)</f>
        <v>#VALUE!</v>
      </c>
      <c r="D29" s="132" t="n">
        <v>0.0250682511051794</v>
      </c>
      <c r="E29" s="132" t="n">
        <v>3.118</v>
      </c>
      <c r="F29" s="132" t="n">
        <v>0.515</v>
      </c>
      <c r="G29" s="132" t="n">
        <v>-0.075</v>
      </c>
      <c r="H29" s="132" t="n">
        <v>0</v>
      </c>
      <c r="I29" s="132" t="n">
        <v>0.0025</v>
      </c>
      <c r="J29" s="132" t="n">
        <v>0</v>
      </c>
      <c r="K29" s="132" t="n">
        <v>-0.035</v>
      </c>
      <c r="L29" s="0" t="n">
        <v>-0.025</v>
      </c>
      <c r="M29" s="133" t="n">
        <v>0.02</v>
      </c>
      <c r="N29" s="0" t="n">
        <v>0.02</v>
      </c>
      <c r="O29" s="134" t="n">
        <v>1.2</v>
      </c>
      <c r="P29" s="134" t="n">
        <v>0.35</v>
      </c>
    </row>
    <row r="30" customFormat="false" ht="12.75" hidden="false" customHeight="false" outlineLevel="0" collapsed="false">
      <c r="A30" s="133"/>
      <c r="B30" s="133"/>
      <c r="C30" s="144" t="e">
        <f aca="false">NextMonth(C29)</f>
        <v>#VALUE!</v>
      </c>
      <c r="D30" s="132" t="n">
        <v>0.0259138096680505</v>
      </c>
      <c r="E30" s="132" t="n">
        <v>3.063</v>
      </c>
      <c r="F30" s="132" t="n">
        <v>0.475</v>
      </c>
      <c r="G30" s="132" t="n">
        <v>-0.075</v>
      </c>
      <c r="H30" s="132" t="n">
        <v>0</v>
      </c>
      <c r="I30" s="132" t="n">
        <v>0.0025</v>
      </c>
      <c r="J30" s="132" t="n">
        <v>0</v>
      </c>
      <c r="K30" s="132" t="n">
        <v>-0.0225</v>
      </c>
      <c r="L30" s="0" t="n">
        <v>-0.02</v>
      </c>
      <c r="M30" s="133" t="n">
        <v>0.02</v>
      </c>
      <c r="N30" s="0" t="n">
        <v>0.02</v>
      </c>
      <c r="O30" s="134" t="n">
        <v>1.2</v>
      </c>
      <c r="P30" s="134" t="n">
        <v>0.1</v>
      </c>
    </row>
    <row r="31" customFormat="false" ht="12.75" hidden="false" customHeight="false" outlineLevel="0" collapsed="false">
      <c r="A31" s="133"/>
      <c r="B31" s="133"/>
      <c r="C31" s="144" t="e">
        <f aca="false">NextMonth(C30)</f>
        <v>#VALUE!</v>
      </c>
      <c r="D31" s="132" t="n">
        <v>0.0268857760696264</v>
      </c>
      <c r="E31" s="132" t="n">
        <v>2.928</v>
      </c>
      <c r="F31" s="132" t="n">
        <v>0.3775</v>
      </c>
      <c r="G31" s="132" t="n">
        <v>-0.0775</v>
      </c>
      <c r="H31" s="132" t="n">
        <v>0</v>
      </c>
      <c r="I31" s="132" t="n">
        <v>0.0025</v>
      </c>
      <c r="J31" s="132" t="n">
        <v>0</v>
      </c>
      <c r="K31" s="132" t="n">
        <v>0.03</v>
      </c>
      <c r="L31" s="0" t="n">
        <v>-0.015</v>
      </c>
      <c r="M31" s="133" t="n">
        <v>0.14</v>
      </c>
      <c r="N31" s="0" t="n">
        <v>0.02</v>
      </c>
      <c r="O31" s="134" t="n">
        <v>0.3875</v>
      </c>
      <c r="P31" s="134" t="n">
        <v>0.01</v>
      </c>
    </row>
    <row r="32" customFormat="false" ht="12.75" hidden="false" customHeight="false" outlineLevel="0" collapsed="false">
      <c r="A32" s="133"/>
      <c r="B32" s="133"/>
      <c r="C32" s="144" t="e">
        <f aca="false">NextMonth(C31)</f>
        <v>#VALUE!</v>
      </c>
      <c r="D32" s="132" t="n">
        <v>0.027852882945091</v>
      </c>
      <c r="E32" s="132" t="n">
        <v>2.923</v>
      </c>
      <c r="F32" s="132" t="n">
        <v>0.3625</v>
      </c>
      <c r="G32" s="132" t="n">
        <v>-0.0775</v>
      </c>
      <c r="H32" s="132" t="n">
        <v>0</v>
      </c>
      <c r="I32" s="132" t="n">
        <v>0.0025</v>
      </c>
      <c r="J32" s="132" t="n">
        <v>0</v>
      </c>
      <c r="K32" s="132" t="n">
        <v>0.03</v>
      </c>
      <c r="L32" s="0" t="n">
        <v>-0.015</v>
      </c>
      <c r="M32" s="133" t="n">
        <v>0.14</v>
      </c>
      <c r="N32" s="0" t="n">
        <v>0.02</v>
      </c>
      <c r="O32" s="134" t="n">
        <v>0.3875</v>
      </c>
      <c r="P32" s="134" t="n">
        <v>0.01</v>
      </c>
    </row>
    <row r="33" customFormat="false" ht="12.75" hidden="false" customHeight="false" outlineLevel="0" collapsed="false">
      <c r="A33" s="133"/>
      <c r="B33" s="133"/>
      <c r="C33" s="144" t="e">
        <f aca="false">NextMonth(C32)</f>
        <v>#VALUE!</v>
      </c>
      <c r="D33" s="132" t="n">
        <v>0.0288522270480533</v>
      </c>
      <c r="E33" s="132" t="n">
        <v>2.963</v>
      </c>
      <c r="F33" s="132" t="n">
        <v>0.3625</v>
      </c>
      <c r="G33" s="132" t="n">
        <v>-0.0775</v>
      </c>
      <c r="H33" s="132" t="n">
        <v>0</v>
      </c>
      <c r="I33" s="132" t="n">
        <v>0.0025</v>
      </c>
      <c r="J33" s="132" t="n">
        <v>0</v>
      </c>
      <c r="K33" s="132" t="n">
        <v>0.035</v>
      </c>
      <c r="L33" s="0" t="n">
        <v>-0.015</v>
      </c>
      <c r="M33" s="133" t="n">
        <v>0.14</v>
      </c>
      <c r="N33" s="0" t="n">
        <v>0.02</v>
      </c>
      <c r="O33" s="134" t="n">
        <v>0.3875</v>
      </c>
      <c r="P33" s="134" t="n">
        <v>0.02</v>
      </c>
    </row>
    <row r="34" customFormat="false" ht="12.75" hidden="false" customHeight="false" outlineLevel="0" collapsed="false">
      <c r="A34" s="133"/>
      <c r="B34" s="133"/>
      <c r="C34" s="144" t="e">
        <f aca="false">NextMonth(C33)</f>
        <v>#VALUE!</v>
      </c>
      <c r="D34" s="132" t="n">
        <v>0.0298323167924472</v>
      </c>
      <c r="E34" s="132" t="n">
        <v>3.003</v>
      </c>
      <c r="F34" s="132" t="n">
        <v>0.3625</v>
      </c>
      <c r="G34" s="132" t="n">
        <v>-0.0775</v>
      </c>
      <c r="H34" s="132" t="n">
        <v>0</v>
      </c>
      <c r="I34" s="132" t="n">
        <v>0.0025</v>
      </c>
      <c r="J34" s="132" t="n">
        <v>0</v>
      </c>
      <c r="K34" s="132" t="n">
        <v>0.0375</v>
      </c>
      <c r="L34" s="0" t="n">
        <v>-0.01</v>
      </c>
      <c r="M34" s="133" t="n">
        <v>0.14</v>
      </c>
      <c r="N34" s="0" t="n">
        <v>0.02</v>
      </c>
      <c r="O34" s="134" t="n">
        <v>0.3875</v>
      </c>
      <c r="P34" s="134" t="n">
        <v>0.02</v>
      </c>
    </row>
    <row r="35" customFormat="false" ht="12.75" hidden="false" customHeight="false" outlineLevel="0" collapsed="false">
      <c r="A35" s="133"/>
      <c r="B35" s="133"/>
      <c r="C35" s="144" t="e">
        <f aca="false">NextMonth(C34)</f>
        <v>#VALUE!</v>
      </c>
      <c r="D35" s="132" t="n">
        <v>0.0308636620116682</v>
      </c>
      <c r="E35" s="132" t="n">
        <v>3.045</v>
      </c>
      <c r="F35" s="132" t="n">
        <v>0.3625</v>
      </c>
      <c r="G35" s="132" t="n">
        <v>-0.0775</v>
      </c>
      <c r="H35" s="132" t="n">
        <v>0</v>
      </c>
      <c r="I35" s="132" t="n">
        <v>0.0025</v>
      </c>
      <c r="J35" s="132" t="n">
        <v>0</v>
      </c>
      <c r="K35" s="132" t="n">
        <v>0.04</v>
      </c>
      <c r="L35" s="0" t="n">
        <v>-0.01</v>
      </c>
      <c r="M35" s="133" t="n">
        <v>0.14</v>
      </c>
      <c r="N35" s="0" t="n">
        <v>0.02</v>
      </c>
      <c r="O35" s="134" t="n">
        <v>0.3875</v>
      </c>
      <c r="P35" s="134" t="n">
        <v>0.005</v>
      </c>
    </row>
    <row r="36" customFormat="false" ht="12.75" hidden="false" customHeight="false" outlineLevel="0" collapsed="false">
      <c r="A36" s="133"/>
      <c r="B36" s="133"/>
      <c r="C36" s="144" t="e">
        <f aca="false">NextMonth(C35)</f>
        <v>#VALUE!</v>
      </c>
      <c r="D36" s="132" t="n">
        <v>0.0318950075893794</v>
      </c>
      <c r="E36" s="132" t="n">
        <v>3.045</v>
      </c>
      <c r="F36" s="132" t="n">
        <v>0.36</v>
      </c>
      <c r="G36" s="132" t="n">
        <v>-0.0775</v>
      </c>
      <c r="H36" s="132" t="n">
        <v>0</v>
      </c>
      <c r="I36" s="132" t="n">
        <v>0.0025</v>
      </c>
      <c r="J36" s="132" t="n">
        <v>0</v>
      </c>
      <c r="K36" s="132" t="n">
        <v>0.0325</v>
      </c>
      <c r="L36" s="0" t="n">
        <v>-0.01</v>
      </c>
      <c r="M36" s="133" t="n">
        <v>0.14</v>
      </c>
      <c r="N36" s="0" t="n">
        <v>0.02</v>
      </c>
      <c r="O36" s="134" t="n">
        <v>0.3875</v>
      </c>
      <c r="P36" s="134" t="n">
        <v>0.005</v>
      </c>
    </row>
    <row r="37" customFormat="false" ht="12.75" hidden="false" customHeight="false" outlineLevel="0" collapsed="false">
      <c r="A37" s="133"/>
      <c r="B37" s="133"/>
      <c r="C37" s="144" t="e">
        <f aca="false">NextMonth(C36)</f>
        <v>#VALUE!</v>
      </c>
      <c r="D37" s="132" t="n">
        <v>0.032873733398032</v>
      </c>
      <c r="E37" s="132" t="n">
        <v>3.084</v>
      </c>
      <c r="F37" s="132" t="n">
        <v>0.3625</v>
      </c>
      <c r="G37" s="132" t="n">
        <v>-0.0775</v>
      </c>
      <c r="H37" s="132" t="n">
        <v>0</v>
      </c>
      <c r="I37" s="132" t="n">
        <v>0.0025</v>
      </c>
      <c r="J37" s="132" t="n">
        <v>0</v>
      </c>
      <c r="K37" s="132" t="n">
        <v>0.0225</v>
      </c>
      <c r="L37" s="0" t="n">
        <v>-0.015</v>
      </c>
      <c r="M37" s="133" t="n">
        <v>0.14</v>
      </c>
      <c r="N37" s="0" t="n">
        <v>0.02</v>
      </c>
      <c r="O37" s="134" t="n">
        <v>0.3875</v>
      </c>
      <c r="P37" s="134" t="n">
        <v>0.005</v>
      </c>
    </row>
    <row r="38" customFormat="false" ht="12.75" hidden="false" customHeight="false" outlineLevel="0" collapsed="false">
      <c r="A38" s="133"/>
      <c r="B38" s="133"/>
      <c r="C38" s="144" t="e">
        <f aca="false">NextMonth(C37)</f>
        <v>#VALUE!</v>
      </c>
      <c r="D38" s="132" t="n">
        <v>0.0338608881049329</v>
      </c>
      <c r="E38" s="132" t="n">
        <v>3.233</v>
      </c>
      <c r="F38" s="132" t="n">
        <v>0.3625</v>
      </c>
      <c r="G38" s="132" t="n">
        <v>-0.0775</v>
      </c>
      <c r="H38" s="132" t="n">
        <v>0.0025</v>
      </c>
      <c r="I38" s="132" t="n">
        <v>0.0025</v>
      </c>
      <c r="J38" s="132" t="n">
        <v>0</v>
      </c>
      <c r="K38" s="132" t="n">
        <v>-0.025</v>
      </c>
      <c r="L38" s="0" t="n">
        <v>-0.02</v>
      </c>
      <c r="M38" s="133" t="n">
        <v>0.16</v>
      </c>
      <c r="N38" s="0" t="n">
        <v>0.03</v>
      </c>
      <c r="O38" s="134" t="n">
        <v>0.64</v>
      </c>
      <c r="P38" s="134" t="n">
        <v>0.05</v>
      </c>
    </row>
    <row r="39" customFormat="false" ht="12.75" hidden="false" customHeight="false" outlineLevel="0" collapsed="false">
      <c r="A39" s="133"/>
      <c r="B39" s="133"/>
      <c r="C39" s="144" t="e">
        <f aca="false">NextMonth(C38)</f>
        <v>#VALUE!</v>
      </c>
      <c r="D39" s="132" t="n">
        <v>0.0348161994238589</v>
      </c>
      <c r="E39" s="132" t="n">
        <v>3.384</v>
      </c>
      <c r="F39" s="132" t="n">
        <v>0.3625</v>
      </c>
      <c r="G39" s="132" t="n">
        <v>-0.0775</v>
      </c>
      <c r="H39" s="132" t="n">
        <v>0.0025</v>
      </c>
      <c r="I39" s="132" t="n">
        <v>0.0025</v>
      </c>
      <c r="J39" s="132" t="n">
        <v>0</v>
      </c>
      <c r="K39" s="132" t="n">
        <v>-0.0475</v>
      </c>
      <c r="L39" s="0" t="n">
        <v>-0.025</v>
      </c>
      <c r="M39" s="133" t="n">
        <v>0.16</v>
      </c>
      <c r="N39" s="0" t="n">
        <v>0.03</v>
      </c>
      <c r="O39" s="134" t="n">
        <v>0.89</v>
      </c>
      <c r="P39" s="134" t="n">
        <v>0.225</v>
      </c>
    </row>
    <row r="40" customFormat="false" ht="12.75" hidden="false" customHeight="false" outlineLevel="0" collapsed="false">
      <c r="A40" s="133"/>
      <c r="B40" s="133"/>
      <c r="C40" s="144" t="e">
        <f aca="false">NextMonth(C39)</f>
        <v>#VALUE!</v>
      </c>
      <c r="D40" s="132" t="n">
        <v>0.0357603806024009</v>
      </c>
      <c r="E40" s="132" t="n">
        <v>3.444</v>
      </c>
      <c r="F40" s="132" t="n">
        <v>0.3625</v>
      </c>
      <c r="G40" s="132" t="n">
        <v>-0.0775</v>
      </c>
      <c r="H40" s="132" t="n">
        <v>0.0025</v>
      </c>
      <c r="I40" s="132" t="n">
        <v>0.0025</v>
      </c>
      <c r="J40" s="132" t="n">
        <v>0</v>
      </c>
      <c r="K40" s="132" t="n">
        <v>-0.05</v>
      </c>
      <c r="L40" s="0" t="n">
        <v>-0.025</v>
      </c>
      <c r="M40" s="133" t="n">
        <v>0.16</v>
      </c>
      <c r="N40" s="0" t="n">
        <v>0.03</v>
      </c>
      <c r="O40" s="134" t="n">
        <v>1.52</v>
      </c>
      <c r="P40" s="134" t="n">
        <v>0.35</v>
      </c>
    </row>
    <row r="41" customFormat="false" ht="12.75" hidden="false" customHeight="false" outlineLevel="0" collapsed="false">
      <c r="A41" s="133"/>
      <c r="B41" s="133"/>
      <c r="C41" s="144" t="e">
        <f aca="false">NextMonth(C40)</f>
        <v>#VALUE!</v>
      </c>
      <c r="D41" s="132" t="n">
        <v>0.0366587229483932</v>
      </c>
      <c r="E41" s="132" t="n">
        <v>3.35</v>
      </c>
      <c r="F41" s="132" t="n">
        <v>0.3625</v>
      </c>
      <c r="G41" s="132" t="n">
        <v>-0.0775</v>
      </c>
      <c r="H41" s="132" t="n">
        <v>0.0025</v>
      </c>
      <c r="I41" s="132" t="n">
        <v>0.0025</v>
      </c>
      <c r="J41" s="132" t="n">
        <v>0</v>
      </c>
      <c r="K41" s="132" t="n">
        <v>-0.0325</v>
      </c>
      <c r="L41" s="0" t="n">
        <v>-0.025</v>
      </c>
      <c r="M41" s="133" t="n">
        <v>0.16</v>
      </c>
      <c r="N41" s="0" t="n">
        <v>0.03</v>
      </c>
      <c r="O41" s="134" t="n">
        <v>1.52</v>
      </c>
      <c r="P41" s="134" t="n">
        <v>0.35</v>
      </c>
    </row>
    <row r="42" customFormat="false" ht="12.75" hidden="false" customHeight="false" outlineLevel="0" collapsed="false">
      <c r="A42" s="133"/>
      <c r="B42" s="133"/>
      <c r="C42" s="144" t="e">
        <f aca="false">NextMonth(C41)</f>
        <v>#VALUE!</v>
      </c>
      <c r="D42" s="132" t="n">
        <v>0.0374991079692126</v>
      </c>
      <c r="E42" s="132" t="n">
        <v>3.25</v>
      </c>
      <c r="F42" s="132" t="n">
        <v>0.3475</v>
      </c>
      <c r="G42" s="132" t="n">
        <v>-0.0775</v>
      </c>
      <c r="H42" s="132" t="n">
        <v>0.0025</v>
      </c>
      <c r="I42" s="132" t="n">
        <v>0.0025</v>
      </c>
      <c r="J42" s="132" t="n">
        <v>0</v>
      </c>
      <c r="K42" s="132" t="n">
        <v>-0.02</v>
      </c>
      <c r="L42" s="0" t="n">
        <v>-0.02</v>
      </c>
      <c r="M42" s="133" t="n">
        <v>0.16</v>
      </c>
      <c r="N42" s="0" t="n">
        <v>0.03</v>
      </c>
      <c r="O42" s="134" t="n">
        <v>0.63</v>
      </c>
      <c r="P42" s="134" t="n">
        <v>0.1</v>
      </c>
    </row>
    <row r="43" customFormat="false" ht="12.75" hidden="false" customHeight="false" outlineLevel="0" collapsed="false">
      <c r="A43" s="133"/>
      <c r="B43" s="133"/>
      <c r="C43" s="131" t="e">
        <f aca="false">NextMonth(C42)</f>
        <v>#VALUE!</v>
      </c>
      <c r="D43" s="132" t="n">
        <v>0.038332765936655</v>
      </c>
      <c r="E43" s="132" t="n">
        <v>3.08</v>
      </c>
      <c r="F43" s="132" t="n">
        <v>0.3225</v>
      </c>
      <c r="G43" s="132" t="n">
        <v>-0.0775</v>
      </c>
      <c r="H43" s="132" t="n">
        <v>0.0025</v>
      </c>
      <c r="I43" s="132" t="n">
        <v>0.0025</v>
      </c>
      <c r="J43" s="132" t="n">
        <v>0</v>
      </c>
      <c r="K43" s="132" t="n">
        <v>0.025</v>
      </c>
      <c r="L43" s="0" t="n">
        <v>-0.015</v>
      </c>
      <c r="M43" s="133" t="n">
        <v>0.21</v>
      </c>
      <c r="N43" s="0" t="n">
        <v>0.03</v>
      </c>
      <c r="O43" s="134" t="n">
        <v>0.38</v>
      </c>
      <c r="P43" s="134" t="n">
        <v>0.01</v>
      </c>
    </row>
    <row r="44" customFormat="false" ht="12.75" hidden="false" customHeight="false" outlineLevel="0" collapsed="false">
      <c r="A44" s="133"/>
      <c r="B44" s="133"/>
      <c r="C44" s="131" t="e">
        <f aca="false">NextMonth(C43)</f>
        <v>#VALUE!</v>
      </c>
      <c r="D44" s="132" t="n">
        <v>0.0390727604040277</v>
      </c>
      <c r="E44" s="132" t="n">
        <v>3.083</v>
      </c>
      <c r="F44" s="132" t="n">
        <v>0.3175</v>
      </c>
      <c r="G44" s="132" t="n">
        <v>-0.0775</v>
      </c>
      <c r="H44" s="132" t="n">
        <v>0.0025</v>
      </c>
      <c r="I44" s="132" t="n">
        <v>0.0025</v>
      </c>
      <c r="J44" s="132" t="n">
        <v>0</v>
      </c>
      <c r="K44" s="132" t="n">
        <v>0.025</v>
      </c>
      <c r="L44" s="0" t="n">
        <v>-0.015</v>
      </c>
      <c r="M44" s="133" t="n">
        <v>0.21</v>
      </c>
      <c r="N44" s="0" t="n">
        <v>0.03</v>
      </c>
      <c r="O44" s="134" t="n">
        <v>0.33</v>
      </c>
      <c r="P44" s="134" t="n">
        <v>0.01</v>
      </c>
    </row>
    <row r="45" customFormat="false" ht="12.75" hidden="false" customHeight="false" outlineLevel="0" collapsed="false">
      <c r="A45" s="133"/>
      <c r="B45" s="133"/>
      <c r="C45" s="131" t="e">
        <f aca="false">NextMonth(C44)</f>
        <v>#VALUE!</v>
      </c>
      <c r="D45" s="132" t="n">
        <v>0.0398374215467498</v>
      </c>
      <c r="E45" s="132" t="n">
        <v>3.123</v>
      </c>
      <c r="F45" s="132" t="n">
        <v>0.3125</v>
      </c>
      <c r="G45" s="132" t="n">
        <v>-0.0775</v>
      </c>
      <c r="H45" s="132" t="n">
        <v>0.0025</v>
      </c>
      <c r="I45" s="132" t="n">
        <v>0.0025</v>
      </c>
      <c r="J45" s="132" t="n">
        <v>0</v>
      </c>
      <c r="K45" s="132" t="n">
        <v>0.03</v>
      </c>
      <c r="L45" s="0" t="n">
        <v>-0.015</v>
      </c>
      <c r="M45" s="133" t="n">
        <v>0.21</v>
      </c>
      <c r="N45" s="0" t="n">
        <v>0.03</v>
      </c>
      <c r="O45" s="134" t="n">
        <v>0.37</v>
      </c>
      <c r="P45" s="134" t="n">
        <v>0.02</v>
      </c>
    </row>
    <row r="46" customFormat="false" ht="12.75" hidden="false" customHeight="false" outlineLevel="0" collapsed="false">
      <c r="A46" s="133"/>
      <c r="B46" s="133"/>
      <c r="C46" s="131" t="e">
        <f aca="false">NextMonth(C45)</f>
        <v>#VALUE!</v>
      </c>
      <c r="D46" s="132" t="n">
        <v>0.0405319817493814</v>
      </c>
      <c r="E46" s="132" t="n">
        <v>3.163</v>
      </c>
      <c r="F46" s="132" t="n">
        <v>0.3125</v>
      </c>
      <c r="G46" s="132" t="n">
        <v>-0.0775</v>
      </c>
      <c r="H46" s="132" t="n">
        <v>0.0025</v>
      </c>
      <c r="I46" s="132" t="n">
        <v>0.0025</v>
      </c>
      <c r="J46" s="132" t="n">
        <v>0</v>
      </c>
      <c r="K46" s="132" t="n">
        <v>0.0325</v>
      </c>
      <c r="L46" s="0" t="n">
        <v>-0.01</v>
      </c>
      <c r="M46" s="133" t="n">
        <v>0.21</v>
      </c>
      <c r="N46" s="0" t="n">
        <v>0.03</v>
      </c>
      <c r="O46" s="134" t="n">
        <v>0.41</v>
      </c>
      <c r="P46" s="134" t="n">
        <v>0.02</v>
      </c>
    </row>
    <row r="47" customFormat="false" ht="12.75" hidden="false" customHeight="false" outlineLevel="0" collapsed="false">
      <c r="A47" s="133"/>
      <c r="B47" s="133"/>
      <c r="C47" s="131" t="e">
        <f aca="false">NextMonth(C46)</f>
        <v>#VALUE!</v>
      </c>
      <c r="D47" s="132" t="n">
        <v>0.0411998656916759</v>
      </c>
      <c r="E47" s="132" t="n">
        <v>3.213</v>
      </c>
      <c r="F47" s="132" t="n">
        <v>0.3125</v>
      </c>
      <c r="G47" s="132" t="n">
        <v>-0.0775</v>
      </c>
      <c r="H47" s="132" t="n">
        <v>0.0025</v>
      </c>
      <c r="I47" s="132" t="n">
        <v>0.0025</v>
      </c>
      <c r="J47" s="132" t="n">
        <v>0</v>
      </c>
      <c r="K47" s="132" t="n">
        <v>0.035</v>
      </c>
      <c r="L47" s="0" t="n">
        <v>-0.01</v>
      </c>
      <c r="M47" s="133" t="n">
        <v>0.21</v>
      </c>
      <c r="N47" s="0" t="n">
        <v>0.03</v>
      </c>
      <c r="O47" s="134" t="n">
        <v>0.41</v>
      </c>
      <c r="P47" s="134" t="n">
        <v>0.005</v>
      </c>
    </row>
    <row r="48" customFormat="false" ht="12.75" hidden="false" customHeight="false" outlineLevel="0" collapsed="false">
      <c r="A48" s="133"/>
      <c r="B48" s="133"/>
      <c r="C48" s="131" t="e">
        <f aca="false">NextMonth(C47)</f>
        <v>#VALUE!</v>
      </c>
      <c r="D48" s="132" t="n">
        <v>0.041867749783548</v>
      </c>
      <c r="E48" s="132" t="n">
        <v>3.198</v>
      </c>
      <c r="F48" s="132" t="n">
        <v>0.3125</v>
      </c>
      <c r="G48" s="132" t="n">
        <v>-0.0775</v>
      </c>
      <c r="H48" s="132" t="n">
        <v>0.0025</v>
      </c>
      <c r="I48" s="132" t="n">
        <v>0.0025</v>
      </c>
      <c r="J48" s="132" t="n">
        <v>0</v>
      </c>
      <c r="K48" s="132" t="n">
        <v>0.0275</v>
      </c>
      <c r="L48" s="0" t="n">
        <v>-0.01</v>
      </c>
      <c r="M48" s="133" t="n">
        <v>0.21</v>
      </c>
      <c r="N48" s="0" t="n">
        <v>0.03</v>
      </c>
      <c r="O48" s="134" t="n">
        <v>0.36</v>
      </c>
      <c r="P48" s="134" t="n">
        <v>0.005</v>
      </c>
    </row>
    <row r="49" customFormat="false" ht="12.75" hidden="false" customHeight="false" outlineLevel="0" collapsed="false">
      <c r="A49" s="146"/>
      <c r="B49" s="146"/>
      <c r="C49" s="147" t="e">
        <f aca="false">NextMonth(C48)</f>
        <v>#VALUE!</v>
      </c>
      <c r="D49" s="148" t="n">
        <v>0.04247437163556</v>
      </c>
      <c r="E49" s="148" t="n">
        <v>3.213</v>
      </c>
      <c r="F49" s="148" t="n">
        <v>0.3125</v>
      </c>
      <c r="G49" s="148" t="n">
        <v>-0.0775</v>
      </c>
      <c r="H49" s="148" t="n">
        <v>0.0025</v>
      </c>
      <c r="I49" s="148" t="n">
        <v>0.0025</v>
      </c>
      <c r="J49" s="148" t="n">
        <v>0</v>
      </c>
      <c r="K49" s="148" t="n">
        <v>0.0175</v>
      </c>
      <c r="L49" s="149" t="n">
        <v>-0.015</v>
      </c>
      <c r="M49" s="146" t="n">
        <v>0.21</v>
      </c>
      <c r="N49" s="149" t="n">
        <v>0.03</v>
      </c>
      <c r="O49" s="150" t="n">
        <v>0.4</v>
      </c>
      <c r="P49" s="150" t="n">
        <v>0.005</v>
      </c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146"/>
      <c r="DF49" s="146"/>
      <c r="DG49" s="146"/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46"/>
      <c r="EG49" s="146"/>
      <c r="EH49" s="146"/>
      <c r="EI49" s="146"/>
      <c r="EJ49" s="146"/>
      <c r="EK49" s="146"/>
      <c r="EL49" s="146"/>
      <c r="EM49" s="146"/>
      <c r="EN49" s="146"/>
      <c r="EO49" s="146"/>
      <c r="EP49" s="146"/>
      <c r="EQ49" s="146"/>
      <c r="ER49" s="146"/>
      <c r="ES49" s="146"/>
      <c r="ET49" s="146"/>
      <c r="EU49" s="146"/>
      <c r="EV49" s="146"/>
      <c r="EW49" s="146"/>
      <c r="EX49" s="146"/>
      <c r="EY49" s="146"/>
      <c r="EZ49" s="146"/>
      <c r="FA49" s="146"/>
      <c r="FB49" s="146"/>
      <c r="FC49" s="146"/>
      <c r="FD49" s="146"/>
      <c r="FE49" s="146"/>
      <c r="FF49" s="146"/>
      <c r="FG49" s="146"/>
      <c r="FH49" s="146"/>
      <c r="FI49" s="146"/>
      <c r="FJ49" s="146"/>
      <c r="FK49" s="146"/>
      <c r="FL49" s="146"/>
      <c r="FM49" s="146"/>
      <c r="FN49" s="146"/>
      <c r="FO49" s="146"/>
      <c r="FP49" s="146"/>
      <c r="FQ49" s="146"/>
      <c r="FR49" s="146"/>
      <c r="FS49" s="146"/>
      <c r="FT49" s="146"/>
      <c r="FU49" s="146"/>
      <c r="FV49" s="146"/>
      <c r="FW49" s="146"/>
      <c r="FX49" s="146"/>
      <c r="FY49" s="146"/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T49" s="146"/>
      <c r="GU49" s="146"/>
      <c r="GV49" s="146"/>
      <c r="GW49" s="146"/>
      <c r="GX49" s="146"/>
      <c r="GY49" s="146"/>
      <c r="GZ49" s="146"/>
      <c r="HA49" s="146"/>
      <c r="HB49" s="146"/>
      <c r="HC49" s="146"/>
      <c r="HD49" s="146"/>
      <c r="HE49" s="146"/>
      <c r="HF49" s="146"/>
      <c r="HG49" s="146"/>
      <c r="HH49" s="146"/>
      <c r="HI49" s="146"/>
      <c r="HJ49" s="146"/>
      <c r="HK49" s="146"/>
      <c r="HL49" s="146"/>
      <c r="HM49" s="146"/>
      <c r="HN49" s="146"/>
      <c r="HO49" s="146"/>
      <c r="HP49" s="146"/>
      <c r="HQ49" s="146"/>
      <c r="HR49" s="146"/>
      <c r="HS49" s="146"/>
      <c r="HT49" s="146"/>
      <c r="HU49" s="146"/>
      <c r="HV49" s="146"/>
      <c r="HW49" s="146"/>
      <c r="HX49" s="146"/>
      <c r="HY49" s="146"/>
      <c r="HZ49" s="146"/>
      <c r="IA49" s="146"/>
      <c r="IB49" s="146"/>
      <c r="IC49" s="146"/>
      <c r="ID49" s="146"/>
      <c r="IE49" s="146"/>
      <c r="IF49" s="146"/>
      <c r="IG49" s="146"/>
      <c r="IH49" s="146"/>
      <c r="II49" s="146"/>
      <c r="IJ49" s="146"/>
      <c r="IK49" s="146"/>
      <c r="IL49" s="146"/>
      <c r="IM49" s="146"/>
      <c r="IN49" s="146"/>
      <c r="IO49" s="146"/>
      <c r="IP49" s="146"/>
      <c r="IQ49" s="146"/>
      <c r="IR49" s="146"/>
      <c r="IS49" s="146"/>
      <c r="IT49" s="146"/>
      <c r="IU49" s="146"/>
      <c r="IV49" s="146"/>
      <c r="IW49" s="146"/>
    </row>
    <row r="50" customFormat="false" ht="12.75" hidden="false" customHeight="false" outlineLevel="0" collapsed="false">
      <c r="A50" s="133"/>
      <c r="B50" s="133"/>
      <c r="C50" s="131" t="e">
        <f aca="false">NextMonth(C49)</f>
        <v>#VALUE!</v>
      </c>
      <c r="D50" s="132" t="n">
        <v>0.0430630545298105</v>
      </c>
      <c r="E50" s="132" t="n">
        <v>3.358</v>
      </c>
      <c r="F50" s="132" t="n">
        <v>0.3125</v>
      </c>
      <c r="G50" s="132" t="n">
        <v>-0.0775</v>
      </c>
      <c r="H50" s="132" t="n">
        <v>0.0025</v>
      </c>
      <c r="I50" s="132" t="n">
        <v>0.0025</v>
      </c>
      <c r="J50" s="132" t="n">
        <v>0</v>
      </c>
      <c r="K50" s="132" t="n">
        <v>-0.025</v>
      </c>
      <c r="L50" s="0" t="n">
        <v>-0.02</v>
      </c>
      <c r="M50" s="133" t="n">
        <v>0.18</v>
      </c>
      <c r="N50" s="0" t="n">
        <v>0.03</v>
      </c>
      <c r="O50" s="134" t="n">
        <v>0.645</v>
      </c>
      <c r="P50" s="134" t="n">
        <v>0.05</v>
      </c>
    </row>
    <row r="51" customFormat="false" ht="12.75" hidden="false" customHeight="false" outlineLevel="0" collapsed="false">
      <c r="A51" s="133"/>
      <c r="B51" s="133"/>
      <c r="C51" s="131" t="e">
        <f aca="false">NextMonth(C50)</f>
        <v>#VALUE!</v>
      </c>
      <c r="D51" s="132" t="n">
        <v>0.0436327477638216</v>
      </c>
      <c r="E51" s="132" t="n">
        <v>3.493</v>
      </c>
      <c r="F51" s="132" t="n">
        <v>0.3125</v>
      </c>
      <c r="G51" s="132" t="n">
        <v>-0.0775</v>
      </c>
      <c r="H51" s="132" t="n">
        <v>0.0025</v>
      </c>
      <c r="I51" s="132" t="n">
        <v>0.0025</v>
      </c>
      <c r="J51" s="132" t="n">
        <v>0</v>
      </c>
      <c r="K51" s="132" t="n">
        <v>-0.0475</v>
      </c>
      <c r="L51" s="0" t="n">
        <v>-0.025</v>
      </c>
      <c r="M51" s="133" t="n">
        <v>0.18</v>
      </c>
      <c r="N51" s="0" t="n">
        <v>0.03</v>
      </c>
      <c r="O51" s="134" t="n">
        <v>0.9</v>
      </c>
      <c r="P51" s="134" t="n">
        <v>0.225</v>
      </c>
    </row>
    <row r="52" customFormat="false" ht="12.75" hidden="false" customHeight="false" outlineLevel="0" collapsed="false">
      <c r="A52" s="133"/>
      <c r="B52" s="133"/>
      <c r="C52" s="131" t="e">
        <f aca="false">NextMonth(C51)</f>
        <v>#VALUE!</v>
      </c>
      <c r="D52" s="132" t="n">
        <v>0.0441944339234936</v>
      </c>
      <c r="E52" s="132" t="n">
        <v>3.548</v>
      </c>
      <c r="F52" s="132" t="n">
        <v>0.3175</v>
      </c>
      <c r="G52" s="132" t="n">
        <v>-0.0775</v>
      </c>
      <c r="H52" s="132" t="n">
        <v>0.0025</v>
      </c>
      <c r="I52" s="132" t="n">
        <v>0.0025</v>
      </c>
      <c r="J52" s="132" t="n">
        <v>0</v>
      </c>
      <c r="K52" s="132" t="n">
        <v>-0.05</v>
      </c>
      <c r="L52" s="0" t="n">
        <v>-0.025</v>
      </c>
      <c r="M52" s="133" t="n">
        <v>0.18</v>
      </c>
      <c r="N52" s="0" t="n">
        <v>0.03</v>
      </c>
      <c r="O52" s="134" t="n">
        <v>1.535</v>
      </c>
      <c r="P52" s="134" t="n">
        <v>0.35</v>
      </c>
    </row>
    <row r="53" customFormat="false" ht="12.75" hidden="false" customHeight="false" outlineLevel="0" collapsed="false">
      <c r="A53" s="133"/>
      <c r="B53" s="133"/>
      <c r="C53" s="131" t="e">
        <f aca="false">NextMonth(C52)</f>
        <v>#VALUE!</v>
      </c>
      <c r="D53" s="132" t="n">
        <v>0.044733887391744</v>
      </c>
      <c r="E53" s="132" t="n">
        <v>3.461</v>
      </c>
      <c r="F53" s="132" t="n">
        <v>0.315</v>
      </c>
      <c r="G53" s="132" t="n">
        <v>-0.0775</v>
      </c>
      <c r="H53" s="132" t="n">
        <v>0.0025</v>
      </c>
      <c r="I53" s="132" t="n">
        <v>0.0025</v>
      </c>
      <c r="J53" s="132" t="n">
        <v>0</v>
      </c>
      <c r="K53" s="132" t="n">
        <v>-0.0325</v>
      </c>
      <c r="L53" s="0" t="n">
        <v>-0.025</v>
      </c>
      <c r="M53" s="133" t="n">
        <v>0.18</v>
      </c>
      <c r="N53" s="0" t="n">
        <v>0.03</v>
      </c>
      <c r="O53" s="134" t="n">
        <v>1.535</v>
      </c>
      <c r="P53" s="134" t="n">
        <v>0.35</v>
      </c>
    </row>
    <row r="54" customFormat="false" ht="12.75" hidden="false" customHeight="false" outlineLevel="0" collapsed="false">
      <c r="A54" s="133"/>
      <c r="B54" s="133"/>
      <c r="C54" s="131" t="e">
        <f aca="false">NextMonth(C53)</f>
        <v>#VALUE!</v>
      </c>
      <c r="D54" s="132" t="n">
        <v>0.0452211357693777</v>
      </c>
      <c r="E54" s="132" t="n">
        <v>3.361</v>
      </c>
      <c r="F54" s="132" t="n">
        <v>0.305</v>
      </c>
      <c r="G54" s="132" t="n">
        <v>-0.0775</v>
      </c>
      <c r="H54" s="132" t="n">
        <v>0.0025</v>
      </c>
      <c r="I54" s="132" t="n">
        <v>0.0025</v>
      </c>
      <c r="J54" s="132" t="n">
        <v>0</v>
      </c>
      <c r="K54" s="132" t="n">
        <v>-0.02</v>
      </c>
      <c r="L54" s="0" t="n">
        <v>-0.02</v>
      </c>
      <c r="M54" s="133" t="n">
        <v>0.18</v>
      </c>
      <c r="N54" s="0" t="n">
        <v>0.03</v>
      </c>
      <c r="O54" s="134" t="n">
        <v>0.635</v>
      </c>
      <c r="P54" s="134" t="n">
        <v>0.1</v>
      </c>
    </row>
    <row r="55" customFormat="false" ht="12.75" hidden="false" customHeight="false" outlineLevel="0" collapsed="false">
      <c r="A55" s="133"/>
      <c r="B55" s="133"/>
      <c r="C55" s="131" t="e">
        <f aca="false">NextMonth(C54)</f>
        <v>#VALUE!</v>
      </c>
      <c r="D55" s="132" t="n">
        <v>0.0457192871629522</v>
      </c>
      <c r="E55" s="132" t="n">
        <v>3.179</v>
      </c>
      <c r="F55" s="132" t="n">
        <v>0.295</v>
      </c>
      <c r="G55" s="132" t="n">
        <v>-0.0775</v>
      </c>
      <c r="H55" s="132" t="n">
        <v>0.0025</v>
      </c>
      <c r="I55" s="132" t="n">
        <v>0.0025</v>
      </c>
      <c r="J55" s="132" t="n">
        <v>0</v>
      </c>
      <c r="K55" s="132" t="n">
        <v>0.0175</v>
      </c>
      <c r="L55" s="0" t="n">
        <v>-0.015</v>
      </c>
      <c r="M55" s="133" t="n">
        <v>0.22</v>
      </c>
      <c r="N55" s="0" t="n">
        <v>0.03</v>
      </c>
      <c r="O55" s="134" t="n">
        <v>0.38</v>
      </c>
      <c r="P55" s="134" t="n">
        <v>0.01</v>
      </c>
    </row>
    <row r="56" customFormat="false" ht="12.75" hidden="false" customHeight="false" outlineLevel="0" collapsed="false">
      <c r="A56" s="133"/>
      <c r="B56" s="133"/>
      <c r="C56" s="131" t="e">
        <f aca="false">NextMonth(C55)</f>
        <v>#VALUE!</v>
      </c>
      <c r="D56" s="132" t="n">
        <v>0.0461656234664427</v>
      </c>
      <c r="E56" s="132" t="n">
        <v>3.182</v>
      </c>
      <c r="F56" s="132" t="n">
        <v>0.2875</v>
      </c>
      <c r="G56" s="132" t="n">
        <v>-0.0775</v>
      </c>
      <c r="H56" s="132" t="n">
        <v>0.0025</v>
      </c>
      <c r="I56" s="132" t="n">
        <v>0.0025</v>
      </c>
      <c r="J56" s="132" t="n">
        <v>0</v>
      </c>
      <c r="K56" s="132" t="n">
        <v>0.0175</v>
      </c>
      <c r="L56" s="0" t="n">
        <v>-0.015</v>
      </c>
      <c r="M56" s="133" t="n">
        <v>0.22</v>
      </c>
      <c r="N56" s="0" t="n">
        <v>0.03</v>
      </c>
      <c r="O56" s="134" t="n">
        <v>0.33</v>
      </c>
      <c r="P56" s="134" t="n">
        <v>0.01</v>
      </c>
    </row>
    <row r="57" customFormat="false" ht="12.75" hidden="false" customHeight="false" outlineLevel="0" collapsed="false">
      <c r="A57" s="133"/>
      <c r="B57" s="133"/>
      <c r="C57" s="131" t="e">
        <f aca="false">NextMonth(C56)</f>
        <v>#VALUE!</v>
      </c>
      <c r="D57" s="132" t="n">
        <v>0.0466268377167252</v>
      </c>
      <c r="E57" s="132" t="n">
        <v>3.222</v>
      </c>
      <c r="F57" s="132" t="n">
        <v>0.2875</v>
      </c>
      <c r="G57" s="132" t="n">
        <v>-0.0775</v>
      </c>
      <c r="H57" s="132" t="n">
        <v>0.0025</v>
      </c>
      <c r="I57" s="132" t="n">
        <v>0.0025</v>
      </c>
      <c r="J57" s="132" t="n">
        <v>0</v>
      </c>
      <c r="K57" s="132" t="n">
        <v>0.0225</v>
      </c>
      <c r="L57" s="0" t="n">
        <v>-0.015</v>
      </c>
      <c r="M57" s="133" t="n">
        <v>0.22</v>
      </c>
      <c r="N57" s="0" t="n">
        <v>0.03</v>
      </c>
      <c r="O57" s="134" t="n">
        <v>0.37</v>
      </c>
      <c r="P57" s="134" t="n">
        <v>0.02</v>
      </c>
    </row>
    <row r="58" customFormat="false" ht="12.75" hidden="false" customHeight="false" outlineLevel="0" collapsed="false">
      <c r="A58" s="133"/>
      <c r="B58" s="133"/>
      <c r="C58" s="131" t="e">
        <f aca="false">NextMonth(C57)</f>
        <v>#VALUE!</v>
      </c>
      <c r="D58" s="132" t="n">
        <v>0.0470502493838412</v>
      </c>
      <c r="E58" s="132" t="n">
        <v>3.262</v>
      </c>
      <c r="F58" s="132" t="n">
        <v>0.2825</v>
      </c>
      <c r="G58" s="132" t="n">
        <v>-0.0775</v>
      </c>
      <c r="H58" s="132" t="n">
        <v>0.0025</v>
      </c>
      <c r="I58" s="132" t="n">
        <v>0.0025</v>
      </c>
      <c r="J58" s="132" t="n">
        <v>0</v>
      </c>
      <c r="K58" s="132" t="n">
        <v>0.025</v>
      </c>
      <c r="L58" s="0" t="n">
        <v>-0.01</v>
      </c>
      <c r="M58" s="133" t="n">
        <v>0.22</v>
      </c>
      <c r="N58" s="0" t="n">
        <v>0.03</v>
      </c>
      <c r="O58" s="134" t="n">
        <v>0.41</v>
      </c>
      <c r="P58" s="134" t="n">
        <v>0.02</v>
      </c>
    </row>
    <row r="59" customFormat="false" ht="12.75" hidden="false" customHeight="false" outlineLevel="0" collapsed="false">
      <c r="A59" s="133"/>
      <c r="B59" s="133"/>
      <c r="C59" s="131" t="e">
        <f aca="false">NextMonth(C58)</f>
        <v>#VALUE!</v>
      </c>
      <c r="D59" s="132" t="n">
        <v>0.0474657212210721</v>
      </c>
      <c r="E59" s="132" t="n">
        <v>3.312</v>
      </c>
      <c r="F59" s="132" t="n">
        <v>0.2825</v>
      </c>
      <c r="G59" s="132" t="n">
        <v>-0.0775</v>
      </c>
      <c r="H59" s="132" t="n">
        <v>0.0025</v>
      </c>
      <c r="I59" s="132" t="n">
        <v>0.0025</v>
      </c>
      <c r="J59" s="132" t="n">
        <v>0</v>
      </c>
      <c r="K59" s="132" t="n">
        <v>0.0275</v>
      </c>
      <c r="L59" s="0" t="n">
        <v>-0.01</v>
      </c>
      <c r="M59" s="133" t="n">
        <v>0.22</v>
      </c>
      <c r="N59" s="0" t="n">
        <v>0.03</v>
      </c>
      <c r="O59" s="134" t="n">
        <v>0.41</v>
      </c>
      <c r="P59" s="134" t="n">
        <v>0.005</v>
      </c>
    </row>
    <row r="60" customFormat="false" ht="12.75" hidden="false" customHeight="false" outlineLevel="0" collapsed="false">
      <c r="A60" s="133"/>
      <c r="B60" s="133"/>
      <c r="C60" s="131" t="e">
        <f aca="false">NextMonth(C59)</f>
        <v>#VALUE!</v>
      </c>
      <c r="D60" s="132" t="n">
        <v>0.0478811931160079</v>
      </c>
      <c r="E60" s="132" t="n">
        <v>3.297</v>
      </c>
      <c r="F60" s="132" t="n">
        <v>0.2825</v>
      </c>
      <c r="G60" s="132" t="n">
        <v>-0.0775</v>
      </c>
      <c r="H60" s="132" t="n">
        <v>0.0025</v>
      </c>
      <c r="I60" s="132" t="n">
        <v>0.0025</v>
      </c>
      <c r="J60" s="132" t="n">
        <v>0</v>
      </c>
      <c r="K60" s="132" t="n">
        <v>0.02</v>
      </c>
      <c r="L60" s="0" t="n">
        <v>-0.01</v>
      </c>
      <c r="M60" s="133" t="n">
        <v>0.22</v>
      </c>
      <c r="N60" s="0" t="n">
        <v>0.03</v>
      </c>
      <c r="O60" s="134" t="n">
        <v>0.36</v>
      </c>
      <c r="P60" s="134" t="n">
        <v>0.005</v>
      </c>
    </row>
    <row r="61" customFormat="false" ht="12.75" hidden="false" customHeight="false" outlineLevel="0" collapsed="false">
      <c r="A61" s="133"/>
      <c r="B61" s="133"/>
      <c r="C61" s="131" t="e">
        <f aca="false">NextMonth(C60)</f>
        <v>#VALUE!</v>
      </c>
      <c r="D61" s="132" t="n">
        <v>0.048268942016644</v>
      </c>
      <c r="E61" s="132" t="n">
        <v>3.312</v>
      </c>
      <c r="F61" s="132" t="n">
        <v>0.2825</v>
      </c>
      <c r="G61" s="132" t="n">
        <v>-0.0775</v>
      </c>
      <c r="H61" s="132" t="n">
        <v>0.0025</v>
      </c>
      <c r="I61" s="132" t="n">
        <v>0.0025</v>
      </c>
      <c r="J61" s="132" t="n">
        <v>0</v>
      </c>
      <c r="K61" s="132" t="n">
        <v>0.01</v>
      </c>
      <c r="L61" s="0" t="n">
        <v>-0.015</v>
      </c>
      <c r="M61" s="133" t="n">
        <v>0.22</v>
      </c>
      <c r="N61" s="0" t="n">
        <v>0.03</v>
      </c>
      <c r="O61" s="134" t="n">
        <v>0.4</v>
      </c>
      <c r="P61" s="134" t="n">
        <v>0.005</v>
      </c>
    </row>
    <row r="62" customFormat="false" ht="12.75" hidden="false" customHeight="false" outlineLevel="0" collapsed="false">
      <c r="A62" s="133"/>
      <c r="B62" s="133"/>
      <c r="C62" s="131" t="e">
        <f aca="false">NextMonth(C61)</f>
        <v>#VALUE!</v>
      </c>
      <c r="D62" s="132" t="n">
        <v>0.0486423483012173</v>
      </c>
      <c r="E62" s="132" t="n">
        <v>3.457</v>
      </c>
      <c r="F62" s="132" t="n">
        <v>0.2825</v>
      </c>
      <c r="G62" s="132" t="n">
        <v>-0.0775</v>
      </c>
      <c r="H62" s="132" t="n">
        <v>0.0025</v>
      </c>
      <c r="I62" s="132" t="n">
        <v>0.0025</v>
      </c>
      <c r="J62" s="132" t="n">
        <v>0</v>
      </c>
      <c r="K62" s="132" t="n">
        <v>-0.0225</v>
      </c>
      <c r="L62" s="0" t="n">
        <v>-0.02</v>
      </c>
      <c r="M62" s="133" t="n">
        <v>0.22</v>
      </c>
      <c r="N62" s="0" t="n">
        <v>0.032</v>
      </c>
      <c r="O62" s="134" t="n">
        <v>0.65</v>
      </c>
      <c r="P62" s="134" t="n">
        <v>0.05</v>
      </c>
    </row>
    <row r="63" customFormat="false" ht="12.75" hidden="false" customHeight="false" outlineLevel="0" collapsed="false">
      <c r="A63" s="133"/>
      <c r="B63" s="133"/>
      <c r="C63" s="131" t="e">
        <f aca="false">NextMonth(C62)</f>
        <v>#VALUE!</v>
      </c>
      <c r="D63" s="132" t="n">
        <v>0.0490037092661271</v>
      </c>
      <c r="E63" s="132" t="n">
        <v>3.592</v>
      </c>
      <c r="F63" s="132" t="n">
        <v>0.2825</v>
      </c>
      <c r="G63" s="132" t="n">
        <v>-0.0775</v>
      </c>
      <c r="H63" s="132" t="n">
        <v>0.0025</v>
      </c>
      <c r="I63" s="132" t="n">
        <v>0.0025</v>
      </c>
      <c r="J63" s="132" t="n">
        <v>0</v>
      </c>
      <c r="K63" s="132" t="n">
        <v>-0.045</v>
      </c>
      <c r="L63" s="0" t="n">
        <v>-0.025</v>
      </c>
      <c r="M63" s="133" t="n">
        <v>0.22</v>
      </c>
      <c r="N63" s="0" t="n">
        <v>0.032</v>
      </c>
      <c r="O63" s="134" t="n">
        <v>0.98</v>
      </c>
      <c r="P63" s="134" t="n">
        <v>0.225</v>
      </c>
    </row>
    <row r="64" customFormat="false" ht="12.75" hidden="false" customHeight="false" outlineLevel="0" collapsed="false">
      <c r="A64" s="133"/>
      <c r="B64" s="133"/>
      <c r="C64" s="131" t="e">
        <f aca="false">NextMonth(C63)</f>
        <v>#VALUE!</v>
      </c>
      <c r="D64" s="132" t="n">
        <v>0.0493693038260337</v>
      </c>
      <c r="E64" s="132" t="n">
        <v>3.642</v>
      </c>
      <c r="F64" s="132" t="n">
        <v>0.2825</v>
      </c>
      <c r="G64" s="132" t="n">
        <v>-0.0775</v>
      </c>
      <c r="H64" s="132" t="n">
        <v>0.0025</v>
      </c>
      <c r="I64" s="132" t="n">
        <v>0.0025</v>
      </c>
      <c r="J64" s="132" t="n">
        <v>0</v>
      </c>
      <c r="K64" s="132" t="n">
        <v>-0.0475</v>
      </c>
      <c r="L64" s="0" t="n">
        <v>-0.025</v>
      </c>
      <c r="M64" s="133" t="n">
        <v>0.22</v>
      </c>
      <c r="N64" s="0" t="n">
        <v>0.032</v>
      </c>
      <c r="O64" s="134" t="n">
        <v>1.6</v>
      </c>
      <c r="P64" s="134" t="n">
        <v>0.35</v>
      </c>
    </row>
    <row r="65" customFormat="false" ht="12.75" hidden="false" customHeight="false" outlineLevel="0" collapsed="false">
      <c r="A65" s="133"/>
      <c r="B65" s="133"/>
      <c r="C65" s="131" t="e">
        <f aca="false">NextMonth(C64)</f>
        <v>#VALUE!</v>
      </c>
      <c r="D65" s="132" t="n">
        <v>0.0497206951264872</v>
      </c>
      <c r="E65" s="132" t="n">
        <v>3.561</v>
      </c>
      <c r="F65" s="132" t="n">
        <v>0.2775</v>
      </c>
      <c r="G65" s="132" t="n">
        <v>-0.0775</v>
      </c>
      <c r="H65" s="132" t="n">
        <v>0.0025</v>
      </c>
      <c r="I65" s="132" t="n">
        <v>0.0025</v>
      </c>
      <c r="J65" s="132" t="n">
        <v>0</v>
      </c>
      <c r="K65" s="132" t="n">
        <v>-0.03</v>
      </c>
      <c r="L65" s="0" t="n">
        <v>-0.025</v>
      </c>
      <c r="M65" s="133" t="n">
        <v>0.22</v>
      </c>
      <c r="N65" s="0" t="n">
        <v>0.032</v>
      </c>
      <c r="O65" s="134" t="n">
        <v>1.6</v>
      </c>
      <c r="P65" s="134" t="n">
        <v>0.35</v>
      </c>
    </row>
    <row r="66" customFormat="false" ht="12.75" hidden="false" customHeight="false" outlineLevel="0" collapsed="false">
      <c r="A66" s="133"/>
      <c r="B66" s="133"/>
      <c r="C66" s="131" t="e">
        <f aca="false">NextMonth(C65)</f>
        <v>#VALUE!</v>
      </c>
      <c r="D66" s="132" t="n">
        <v>0.0500380808526604</v>
      </c>
      <c r="E66" s="132" t="n">
        <v>3.461</v>
      </c>
      <c r="F66" s="132" t="n">
        <v>0.2675</v>
      </c>
      <c r="G66" s="132" t="n">
        <v>-0.0775</v>
      </c>
      <c r="H66" s="132" t="n">
        <v>0.0025</v>
      </c>
      <c r="I66" s="132" t="n">
        <v>0.0025</v>
      </c>
      <c r="J66" s="132" t="n">
        <v>0</v>
      </c>
      <c r="K66" s="132" t="n">
        <v>-0.0175</v>
      </c>
      <c r="L66" s="0" t="n">
        <v>-0.02</v>
      </c>
      <c r="M66" s="133" t="n">
        <v>0.22</v>
      </c>
      <c r="N66" s="0" t="n">
        <v>0.032</v>
      </c>
      <c r="O66" s="134" t="n">
        <v>0.64</v>
      </c>
      <c r="P66" s="134" t="n">
        <v>0.1</v>
      </c>
    </row>
    <row r="67" customFormat="false" ht="12.75" hidden="false" customHeight="false" outlineLevel="0" collapsed="false">
      <c r="A67" s="133"/>
      <c r="B67" s="133"/>
      <c r="C67" s="131" t="e">
        <f aca="false">NextMonth(C66)</f>
        <v>#VALUE!</v>
      </c>
      <c r="D67" s="132" t="n">
        <v>0.0503519700796731</v>
      </c>
      <c r="E67" s="132" t="n">
        <v>3.279</v>
      </c>
      <c r="F67" s="132" t="n">
        <v>0.2475</v>
      </c>
      <c r="G67" s="132" t="n">
        <v>-0.0775</v>
      </c>
      <c r="H67" s="132" t="n">
        <v>0.0025</v>
      </c>
      <c r="I67" s="132" t="n">
        <v>0.0025</v>
      </c>
      <c r="J67" s="132" t="n">
        <v>0</v>
      </c>
      <c r="K67" s="132" t="n">
        <v>0.02</v>
      </c>
      <c r="L67" s="0" t="n">
        <v>-0.015</v>
      </c>
      <c r="M67" s="133" t="n">
        <v>0.24</v>
      </c>
      <c r="N67" s="0" t="n">
        <v>0.032</v>
      </c>
      <c r="O67" s="134" t="n">
        <v>0.38</v>
      </c>
      <c r="P67" s="134" t="n">
        <v>0.01</v>
      </c>
    </row>
    <row r="68" customFormat="false" ht="12.75" hidden="false" customHeight="false" outlineLevel="0" collapsed="false">
      <c r="A68" s="133"/>
      <c r="B68" s="133"/>
      <c r="C68" s="131" t="e">
        <f aca="false">NextMonth(C67)</f>
        <v>#VALUE!</v>
      </c>
      <c r="D68" s="132" t="n">
        <v>0.0505897476824715</v>
      </c>
      <c r="E68" s="132" t="n">
        <v>3.282</v>
      </c>
      <c r="F68" s="132" t="n">
        <v>0.2425</v>
      </c>
      <c r="G68" s="132" t="n">
        <v>-0.0775</v>
      </c>
      <c r="H68" s="132" t="n">
        <v>0.0025</v>
      </c>
      <c r="I68" s="132" t="n">
        <v>0.0025</v>
      </c>
      <c r="J68" s="132" t="n">
        <v>0</v>
      </c>
      <c r="K68" s="132" t="n">
        <v>0.02</v>
      </c>
      <c r="L68" s="0" t="n">
        <v>-0.015</v>
      </c>
      <c r="M68" s="133" t="n">
        <v>0.24</v>
      </c>
      <c r="N68" s="0" t="n">
        <v>0.032</v>
      </c>
      <c r="O68" s="134" t="n">
        <v>0.33</v>
      </c>
      <c r="P68" s="134" t="n">
        <v>0.01</v>
      </c>
    </row>
    <row r="69" customFormat="false" ht="12.75" hidden="false" customHeight="false" outlineLevel="0" collapsed="false">
      <c r="A69" s="133"/>
      <c r="B69" s="133"/>
      <c r="C69" s="131" t="e">
        <f aca="false">NextMonth(C68)</f>
        <v>#VALUE!</v>
      </c>
      <c r="D69" s="132" t="n">
        <v>0.050835451225189</v>
      </c>
      <c r="E69" s="132" t="n">
        <v>3.322</v>
      </c>
      <c r="F69" s="132" t="n">
        <v>0.245</v>
      </c>
      <c r="G69" s="132" t="n">
        <v>-0.0775</v>
      </c>
      <c r="H69" s="132" t="n">
        <v>0.0025</v>
      </c>
      <c r="I69" s="132" t="n">
        <v>0.0025</v>
      </c>
      <c r="J69" s="132" t="n">
        <v>0</v>
      </c>
      <c r="K69" s="132" t="n">
        <v>0.025</v>
      </c>
      <c r="L69" s="0" t="n">
        <v>-0.015</v>
      </c>
      <c r="M69" s="133" t="n">
        <v>0.24</v>
      </c>
      <c r="N69" s="0" t="n">
        <v>0.032</v>
      </c>
      <c r="O69" s="134" t="n">
        <v>0.37</v>
      </c>
      <c r="P69" s="134" t="n">
        <v>0.02</v>
      </c>
    </row>
    <row r="70" customFormat="false" ht="12.75" hidden="false" customHeight="false" outlineLevel="0" collapsed="false">
      <c r="A70" s="133"/>
      <c r="B70" s="133"/>
      <c r="C70" s="131" t="e">
        <f aca="false">NextMonth(C69)</f>
        <v>#VALUE!</v>
      </c>
      <c r="D70" s="132" t="n">
        <v>0.051073228866358</v>
      </c>
      <c r="E70" s="132" t="n">
        <v>3.362</v>
      </c>
      <c r="F70" s="132" t="n">
        <v>0.245</v>
      </c>
      <c r="G70" s="132" t="n">
        <v>-0.0775</v>
      </c>
      <c r="H70" s="132" t="n">
        <v>0.0025</v>
      </c>
      <c r="I70" s="132" t="n">
        <v>0.0025</v>
      </c>
      <c r="J70" s="132" t="n">
        <v>0</v>
      </c>
      <c r="K70" s="132" t="n">
        <v>0.0275</v>
      </c>
      <c r="L70" s="0" t="n">
        <v>-0.01</v>
      </c>
      <c r="M70" s="133" t="n">
        <v>0.24</v>
      </c>
      <c r="N70" s="0" t="n">
        <v>0.032</v>
      </c>
      <c r="O70" s="134" t="n">
        <v>0.41</v>
      </c>
      <c r="P70" s="134" t="n">
        <v>0.02</v>
      </c>
    </row>
    <row r="71" customFormat="false" ht="12.75" hidden="false" customHeight="false" outlineLevel="0" collapsed="false">
      <c r="A71" s="133"/>
      <c r="B71" s="133"/>
      <c r="C71" s="131" t="e">
        <f aca="false">NextMonth(C70)</f>
        <v>#VALUE!</v>
      </c>
      <c r="D71" s="132" t="n">
        <v>0.0513189324487207</v>
      </c>
      <c r="E71" s="132" t="n">
        <v>3.412</v>
      </c>
      <c r="F71" s="132" t="n">
        <v>0.245</v>
      </c>
      <c r="G71" s="132" t="n">
        <v>-0.0775</v>
      </c>
      <c r="H71" s="132" t="n">
        <v>0.0025</v>
      </c>
      <c r="I71" s="132" t="n">
        <v>0.0025</v>
      </c>
      <c r="J71" s="132" t="n">
        <v>0</v>
      </c>
      <c r="K71" s="132" t="n">
        <v>0.03</v>
      </c>
      <c r="L71" s="0" t="n">
        <v>-0.01</v>
      </c>
      <c r="M71" s="133" t="n">
        <v>0.24</v>
      </c>
      <c r="N71" s="0" t="n">
        <v>0.032</v>
      </c>
      <c r="O71" s="134" t="n">
        <v>0.41</v>
      </c>
      <c r="P71" s="134" t="n">
        <v>0.005</v>
      </c>
    </row>
    <row r="72" customFormat="false" ht="12.75" hidden="false" customHeight="false" outlineLevel="0" collapsed="false">
      <c r="A72" s="133"/>
      <c r="B72" s="133"/>
      <c r="C72" s="131" t="e">
        <f aca="false">NextMonth(C71)</f>
        <v>#VALUE!</v>
      </c>
      <c r="D72" s="132" t="n">
        <v>0.0515646360512263</v>
      </c>
      <c r="E72" s="132" t="n">
        <v>3.397</v>
      </c>
      <c r="F72" s="132" t="n">
        <v>0.245</v>
      </c>
      <c r="G72" s="132" t="n">
        <v>-0.0775</v>
      </c>
      <c r="H72" s="132" t="n">
        <v>0.0025</v>
      </c>
      <c r="I72" s="132" t="n">
        <v>0.0025</v>
      </c>
      <c r="J72" s="132" t="n">
        <v>0</v>
      </c>
      <c r="K72" s="132" t="n">
        <v>0.0225</v>
      </c>
      <c r="L72" s="0" t="n">
        <v>-0.01</v>
      </c>
      <c r="M72" s="133" t="n">
        <v>0.24</v>
      </c>
      <c r="N72" s="0" t="n">
        <v>0.032</v>
      </c>
      <c r="O72" s="134" t="n">
        <v>0.36</v>
      </c>
      <c r="P72" s="134" t="n">
        <v>0.005</v>
      </c>
    </row>
    <row r="73" customFormat="false" ht="12.75" hidden="false" customHeight="false" outlineLevel="0" collapsed="false">
      <c r="A73" s="133"/>
      <c r="B73" s="133"/>
      <c r="C73" s="131" t="e">
        <f aca="false">NextMonth(C72)</f>
        <v>#VALUE!</v>
      </c>
      <c r="D73" s="132" t="n">
        <v>0.0518024137502482</v>
      </c>
      <c r="E73" s="132" t="n">
        <v>3.412</v>
      </c>
      <c r="F73" s="132" t="n">
        <v>0.245</v>
      </c>
      <c r="G73" s="132" t="n">
        <v>-0.0775</v>
      </c>
      <c r="H73" s="132" t="n">
        <v>0.0025</v>
      </c>
      <c r="I73" s="132" t="n">
        <v>0.0025</v>
      </c>
      <c r="J73" s="132" t="n">
        <v>0</v>
      </c>
      <c r="K73" s="132" t="n">
        <v>0.0125</v>
      </c>
      <c r="L73" s="0" t="n">
        <v>-0.015</v>
      </c>
      <c r="M73" s="133" t="n">
        <v>0.24</v>
      </c>
      <c r="N73" s="0" t="n">
        <v>0.032</v>
      </c>
      <c r="O73" s="134" t="n">
        <v>0.4</v>
      </c>
      <c r="P73" s="134" t="n">
        <v>0.005</v>
      </c>
    </row>
    <row r="74" customFormat="false" ht="12.75" hidden="false" customHeight="false" outlineLevel="0" collapsed="false">
      <c r="A74" s="133"/>
      <c r="B74" s="133"/>
      <c r="C74" s="131" t="e">
        <f aca="false">NextMonth(C73)</f>
        <v>#VALUE!</v>
      </c>
      <c r="D74" s="132" t="n">
        <v>0.0520481173923852</v>
      </c>
      <c r="E74" s="132" t="n">
        <v>3.557</v>
      </c>
      <c r="F74" s="132" t="n">
        <v>0.245</v>
      </c>
      <c r="G74" s="132" t="n">
        <v>-0.0775</v>
      </c>
      <c r="H74" s="132" t="n">
        <v>0.0025</v>
      </c>
      <c r="I74" s="132" t="n">
        <v>0.0025</v>
      </c>
      <c r="J74" s="132" t="n">
        <v>0</v>
      </c>
      <c r="K74" s="132" t="n">
        <v>-0.0225</v>
      </c>
      <c r="L74" s="0" t="n">
        <v>-0.02</v>
      </c>
      <c r="M74" s="133" t="n">
        <v>0.23</v>
      </c>
      <c r="N74" s="0" t="n">
        <v>0.034</v>
      </c>
      <c r="O74" s="134" t="n">
        <v>0.65</v>
      </c>
      <c r="P74" s="134" t="n">
        <v>0.05</v>
      </c>
    </row>
    <row r="75" customFormat="false" ht="12.75" hidden="false" customHeight="false" outlineLevel="0" collapsed="false">
      <c r="A75" s="133"/>
      <c r="B75" s="133"/>
      <c r="C75" s="131" t="e">
        <f aca="false">NextMonth(C74)</f>
        <v>#VALUE!</v>
      </c>
      <c r="D75" s="132" t="n">
        <v>0.0522858951297542</v>
      </c>
      <c r="E75" s="132" t="n">
        <v>3.692</v>
      </c>
      <c r="F75" s="132" t="n">
        <v>0.245</v>
      </c>
      <c r="G75" s="132" t="n">
        <v>-0.0775</v>
      </c>
      <c r="H75" s="132" t="n">
        <v>0.0025</v>
      </c>
      <c r="I75" s="132" t="n">
        <v>0.0025</v>
      </c>
      <c r="J75" s="132" t="n">
        <v>0</v>
      </c>
      <c r="K75" s="132" t="n">
        <v>-0.045</v>
      </c>
      <c r="L75" s="0" t="n">
        <v>-0.025</v>
      </c>
      <c r="M75" s="133" t="n">
        <v>0.23</v>
      </c>
      <c r="N75" s="0" t="n">
        <v>0.034</v>
      </c>
      <c r="O75" s="134" t="n">
        <v>0.98</v>
      </c>
      <c r="P75" s="134" t="n">
        <v>0.225</v>
      </c>
    </row>
    <row r="76" customFormat="false" ht="12.75" hidden="false" customHeight="false" outlineLevel="0" collapsed="false">
      <c r="A76" s="133"/>
      <c r="B76" s="133"/>
      <c r="C76" s="131" t="e">
        <f aca="false">NextMonth(C75)</f>
        <v>#VALUE!</v>
      </c>
      <c r="D76" s="132" t="n">
        <v>0.0525315988115125</v>
      </c>
      <c r="E76" s="132" t="n">
        <v>3.737</v>
      </c>
      <c r="F76" s="132" t="n">
        <v>0.245</v>
      </c>
      <c r="G76" s="132" t="n">
        <v>-0.0775</v>
      </c>
      <c r="H76" s="132" t="n">
        <v>0.0025</v>
      </c>
      <c r="I76" s="132" t="n">
        <v>0.0025</v>
      </c>
      <c r="J76" s="132" t="n">
        <v>0.0025</v>
      </c>
      <c r="K76" s="132" t="n">
        <v>-0.0475</v>
      </c>
      <c r="L76" s="0" t="n">
        <v>-0.025</v>
      </c>
      <c r="M76" s="133" t="n">
        <v>0.23</v>
      </c>
      <c r="N76" s="0" t="n">
        <v>0.034</v>
      </c>
      <c r="O76" s="134" t="n">
        <v>1.6</v>
      </c>
      <c r="P76" s="134" t="n">
        <v>0.35</v>
      </c>
    </row>
    <row r="77" customFormat="false" ht="12.75" hidden="false" customHeight="false" outlineLevel="0" collapsed="false">
      <c r="A77" s="133"/>
      <c r="B77" s="133"/>
      <c r="C77" s="131" t="e">
        <f aca="false">NextMonth(C76)</f>
        <v>#VALUE!</v>
      </c>
      <c r="D77" s="132" t="n">
        <v>0.052725601905002</v>
      </c>
      <c r="E77" s="132" t="n">
        <v>3.656</v>
      </c>
      <c r="F77" s="132" t="n">
        <v>0.24</v>
      </c>
      <c r="G77" s="132" t="n">
        <v>-0.0775</v>
      </c>
      <c r="H77" s="132" t="n">
        <v>0.0025</v>
      </c>
      <c r="I77" s="132" t="n">
        <v>0.0025</v>
      </c>
      <c r="J77" s="132" t="n">
        <v>0.0025</v>
      </c>
      <c r="K77" s="132" t="n">
        <v>-0.03</v>
      </c>
      <c r="L77" s="0" t="n">
        <v>-0.025</v>
      </c>
      <c r="M77" s="133" t="n">
        <v>0.23</v>
      </c>
      <c r="N77" s="0" t="n">
        <v>0.034</v>
      </c>
      <c r="O77" s="134" t="n">
        <v>1.6</v>
      </c>
      <c r="P77" s="134" t="n">
        <v>0.35</v>
      </c>
    </row>
    <row r="78" customFormat="false" ht="12.75" hidden="false" customHeight="false" outlineLevel="0" collapsed="false">
      <c r="A78" s="133"/>
      <c r="B78" s="133"/>
      <c r="C78" s="131" t="e">
        <f aca="false">NextMonth(C77)</f>
        <v>#VALUE!</v>
      </c>
      <c r="D78" s="132" t="n">
        <v>0.0528872104629618</v>
      </c>
      <c r="E78" s="132" t="n">
        <v>3.556</v>
      </c>
      <c r="F78" s="132" t="n">
        <v>0.2375</v>
      </c>
      <c r="G78" s="132" t="n">
        <v>-0.0775</v>
      </c>
      <c r="H78" s="132" t="n">
        <v>0.0025</v>
      </c>
      <c r="I78" s="132" t="n">
        <v>0.0025</v>
      </c>
      <c r="J78" s="132" t="n">
        <v>0.0025</v>
      </c>
      <c r="K78" s="132" t="n">
        <v>-0.0175</v>
      </c>
      <c r="L78" s="0" t="n">
        <v>-0.02</v>
      </c>
      <c r="M78" s="133" t="n">
        <v>0.23</v>
      </c>
      <c r="N78" s="0" t="n">
        <v>0.034</v>
      </c>
      <c r="O78" s="134" t="n">
        <v>0.64</v>
      </c>
      <c r="P78" s="134" t="n">
        <v>0.1</v>
      </c>
    </row>
    <row r="79" customFormat="false" ht="12.75" hidden="false" customHeight="false" outlineLevel="0" collapsed="false">
      <c r="A79" s="133"/>
      <c r="B79" s="133"/>
      <c r="C79" s="131" t="e">
        <f aca="false">NextMonth(C78)</f>
        <v>#VALUE!</v>
      </c>
      <c r="D79" s="132" t="n">
        <v>0.0530661342337173</v>
      </c>
      <c r="E79" s="132" t="n">
        <v>3.374</v>
      </c>
      <c r="F79" s="132" t="n">
        <v>0.2375</v>
      </c>
      <c r="G79" s="132" t="n">
        <v>-0.0775</v>
      </c>
      <c r="H79" s="132" t="n">
        <v>0.0025</v>
      </c>
      <c r="I79" s="132" t="n">
        <v>0.0025</v>
      </c>
      <c r="J79" s="132" t="n">
        <v>0.0025</v>
      </c>
      <c r="K79" s="132" t="n">
        <v>0.02</v>
      </c>
      <c r="L79" s="0" t="n">
        <v>-0.015</v>
      </c>
      <c r="M79" s="133" t="n">
        <v>0.24</v>
      </c>
      <c r="N79" s="0" t="n">
        <v>0.034</v>
      </c>
      <c r="O79" s="134" t="n">
        <v>0.38</v>
      </c>
      <c r="P79" s="134" t="n">
        <v>0.01</v>
      </c>
    </row>
    <row r="80" customFormat="false" ht="12.75" hidden="false" customHeight="false" outlineLevel="0" collapsed="false">
      <c r="A80" s="133"/>
      <c r="B80" s="133"/>
      <c r="C80" s="131" t="e">
        <f aca="false">NextMonth(C79)</f>
        <v>#VALUE!</v>
      </c>
      <c r="D80" s="132" t="n">
        <v>0.0532392862800948</v>
      </c>
      <c r="E80" s="132" t="n">
        <v>3.377</v>
      </c>
      <c r="F80" s="132" t="n">
        <v>0.2375</v>
      </c>
      <c r="G80" s="132" t="n">
        <v>-0.0775</v>
      </c>
      <c r="H80" s="132" t="n">
        <v>0.0025</v>
      </c>
      <c r="I80" s="132" t="n">
        <v>0.0025</v>
      </c>
      <c r="J80" s="132" t="n">
        <v>0.0025</v>
      </c>
      <c r="K80" s="132" t="n">
        <v>0.02</v>
      </c>
      <c r="L80" s="0" t="n">
        <v>-0.015</v>
      </c>
      <c r="M80" s="133" t="n">
        <v>0.24</v>
      </c>
      <c r="N80" s="0" t="n">
        <v>0.034</v>
      </c>
      <c r="O80" s="134" t="n">
        <v>0.33</v>
      </c>
      <c r="P80" s="134" t="n">
        <v>0.01</v>
      </c>
    </row>
    <row r="81" customFormat="false" ht="12.75" hidden="false" customHeight="false" outlineLevel="0" collapsed="false">
      <c r="A81" s="133"/>
      <c r="B81" s="133"/>
      <c r="C81" s="131" t="e">
        <f aca="false">NextMonth(C80)</f>
        <v>#VALUE!</v>
      </c>
      <c r="D81" s="132" t="n">
        <v>0.0534182100718512</v>
      </c>
      <c r="E81" s="132" t="n">
        <v>3.417</v>
      </c>
      <c r="F81" s="132" t="n">
        <v>0.2375</v>
      </c>
      <c r="G81" s="132" t="n">
        <v>-0.0775</v>
      </c>
      <c r="H81" s="132" t="n">
        <v>0.0025</v>
      </c>
      <c r="I81" s="132" t="n">
        <v>0.0025</v>
      </c>
      <c r="J81" s="132" t="n">
        <v>0.0025</v>
      </c>
      <c r="K81" s="132" t="n">
        <v>0.025</v>
      </c>
      <c r="L81" s="0" t="n">
        <v>-0.015</v>
      </c>
      <c r="M81" s="133" t="n">
        <v>0.24</v>
      </c>
      <c r="N81" s="0" t="n">
        <v>0.034</v>
      </c>
      <c r="O81" s="134" t="n">
        <v>0.37</v>
      </c>
      <c r="P81" s="134" t="n">
        <v>0.02</v>
      </c>
    </row>
    <row r="82" customFormat="false" ht="12.75" hidden="false" customHeight="false" outlineLevel="0" collapsed="false">
      <c r="A82" s="133"/>
      <c r="B82" s="133"/>
      <c r="C82" s="131" t="e">
        <f aca="false">NextMonth(C81)</f>
        <v>#VALUE!</v>
      </c>
      <c r="D82" s="132" t="n">
        <v>0.0535913621385498</v>
      </c>
      <c r="E82" s="132" t="n">
        <v>3.457</v>
      </c>
      <c r="F82" s="132" t="n">
        <v>0.2375</v>
      </c>
      <c r="G82" s="132" t="n">
        <v>-0.0775</v>
      </c>
      <c r="H82" s="132" t="n">
        <v>0.0025</v>
      </c>
      <c r="I82" s="132" t="n">
        <v>0.0025</v>
      </c>
      <c r="J82" s="132" t="n">
        <v>0.0025</v>
      </c>
      <c r="K82" s="132" t="n">
        <v>0.0275</v>
      </c>
      <c r="L82" s="0" t="n">
        <v>-0.01</v>
      </c>
      <c r="M82" s="133" t="n">
        <v>0.24</v>
      </c>
      <c r="N82" s="0" t="n">
        <v>0.034</v>
      </c>
      <c r="O82" s="134" t="n">
        <v>0.41</v>
      </c>
      <c r="P82" s="134" t="n">
        <v>0.02</v>
      </c>
    </row>
    <row r="83" customFormat="false" ht="12.75" hidden="false" customHeight="false" outlineLevel="0" collapsed="false">
      <c r="A83" s="133"/>
      <c r="B83" s="133"/>
      <c r="C83" s="131" t="e">
        <f aca="false">NextMonth(C82)</f>
        <v>#VALUE!</v>
      </c>
      <c r="D83" s="132" t="n">
        <v>0.0537702859513032</v>
      </c>
      <c r="E83" s="132" t="n">
        <v>3.507</v>
      </c>
      <c r="F83" s="132" t="n">
        <v>0.2375</v>
      </c>
      <c r="G83" s="132" t="n">
        <v>-0.0775</v>
      </c>
      <c r="H83" s="132" t="n">
        <v>0.0025</v>
      </c>
      <c r="I83" s="132" t="n">
        <v>0.0025</v>
      </c>
      <c r="J83" s="132" t="n">
        <v>0.0025</v>
      </c>
      <c r="K83" s="132" t="n">
        <v>0.03</v>
      </c>
      <c r="L83" s="0" t="n">
        <v>-0.01</v>
      </c>
      <c r="M83" s="133" t="n">
        <v>0.24</v>
      </c>
      <c r="N83" s="0" t="n">
        <v>0.034</v>
      </c>
      <c r="O83" s="134" t="n">
        <v>0.41</v>
      </c>
      <c r="P83" s="134" t="n">
        <v>0.005</v>
      </c>
    </row>
    <row r="84" customFormat="false" ht="12.75" hidden="false" customHeight="false" outlineLevel="0" collapsed="false">
      <c r="A84" s="133"/>
      <c r="B84" s="133"/>
      <c r="C84" s="131" t="e">
        <f aca="false">NextMonth(C83)</f>
        <v>#VALUE!</v>
      </c>
      <c r="D84" s="132" t="n">
        <v>0.0539492097747258</v>
      </c>
      <c r="E84" s="132" t="n">
        <v>3.492</v>
      </c>
      <c r="F84" s="132" t="n">
        <v>0.2375</v>
      </c>
      <c r="G84" s="132" t="n">
        <v>-0.0775</v>
      </c>
      <c r="H84" s="132" t="n">
        <v>0.0025</v>
      </c>
      <c r="I84" s="132" t="n">
        <v>0.0025</v>
      </c>
      <c r="J84" s="132" t="n">
        <v>0.0025</v>
      </c>
      <c r="K84" s="132" t="n">
        <v>0.0225</v>
      </c>
      <c r="L84" s="0" t="n">
        <v>-0.01</v>
      </c>
      <c r="M84" s="133" t="n">
        <v>0.24</v>
      </c>
      <c r="N84" s="0" t="n">
        <v>0.034</v>
      </c>
      <c r="O84" s="134" t="n">
        <v>0.36</v>
      </c>
      <c r="P84" s="134" t="n">
        <v>0.005</v>
      </c>
    </row>
    <row r="85" customFormat="false" ht="12.75" hidden="false" customHeight="false" outlineLevel="0" collapsed="false">
      <c r="A85" s="133"/>
      <c r="B85" s="133"/>
      <c r="C85" s="131" t="e">
        <f aca="false">NextMonth(C84)</f>
        <v>#VALUE!</v>
      </c>
      <c r="D85" s="132" t="n">
        <v>0.054122361872067</v>
      </c>
      <c r="E85" s="132" t="n">
        <v>3.507</v>
      </c>
      <c r="F85" s="132" t="n">
        <v>0.2375</v>
      </c>
      <c r="G85" s="132" t="n">
        <v>-0.0775</v>
      </c>
      <c r="H85" s="132" t="n">
        <v>0.0025</v>
      </c>
      <c r="I85" s="132" t="n">
        <v>0.0025</v>
      </c>
      <c r="J85" s="132" t="n">
        <v>0.0025</v>
      </c>
      <c r="K85" s="132" t="n">
        <v>0.0125</v>
      </c>
      <c r="L85" s="0" t="n">
        <v>-0.015</v>
      </c>
      <c r="M85" s="133" t="n">
        <v>0.24</v>
      </c>
      <c r="N85" s="0" t="n">
        <v>0.034</v>
      </c>
      <c r="O85" s="134" t="n">
        <v>0.4</v>
      </c>
      <c r="P85" s="134" t="n">
        <v>0.005</v>
      </c>
    </row>
    <row r="86" customFormat="false" ht="12.75" hidden="false" customHeight="false" outlineLevel="0" collapsed="false">
      <c r="A86" s="133"/>
      <c r="B86" s="133"/>
      <c r="C86" s="131" t="e">
        <f aca="false">NextMonth(C85)</f>
        <v>#VALUE!</v>
      </c>
      <c r="D86" s="132" t="n">
        <v>0.0543012857164813</v>
      </c>
      <c r="E86" s="132" t="n">
        <v>3.652</v>
      </c>
      <c r="F86" s="132" t="n">
        <v>0.2375</v>
      </c>
      <c r="G86" s="132" t="n">
        <v>-0.0775</v>
      </c>
      <c r="H86" s="132" t="n">
        <v>0.0025</v>
      </c>
      <c r="I86" s="132" t="n">
        <v>0.0025</v>
      </c>
      <c r="J86" s="132" t="n">
        <v>0.0025</v>
      </c>
      <c r="K86" s="132" t="n">
        <v>-0.0225</v>
      </c>
      <c r="L86" s="0" t="n">
        <v>-0.02</v>
      </c>
      <c r="M86" s="133" t="n">
        <v>0.23</v>
      </c>
      <c r="N86" s="0" t="n">
        <v>0.036</v>
      </c>
      <c r="O86" s="134" t="n">
        <v>0.65</v>
      </c>
      <c r="P86" s="134" t="n">
        <v>0.05</v>
      </c>
    </row>
    <row r="87" customFormat="false" ht="12.75" hidden="false" customHeight="false" outlineLevel="0" collapsed="false">
      <c r="A87" s="133"/>
      <c r="B87" s="133"/>
      <c r="C87" s="131" t="e">
        <f aca="false">NextMonth(C86)</f>
        <v>#VALUE!</v>
      </c>
      <c r="D87" s="132" t="n">
        <v>0.0544744378341351</v>
      </c>
      <c r="E87" s="132" t="n">
        <v>3.787</v>
      </c>
      <c r="F87" s="132" t="n">
        <v>0.2375</v>
      </c>
      <c r="G87" s="132" t="n">
        <v>-0.0775</v>
      </c>
      <c r="H87" s="132" t="n">
        <v>0.0025</v>
      </c>
      <c r="I87" s="132" t="n">
        <v>0.0025</v>
      </c>
      <c r="J87" s="132" t="n">
        <v>0.0025</v>
      </c>
      <c r="K87" s="132" t="n">
        <v>-0.045</v>
      </c>
      <c r="L87" s="0" t="n">
        <v>-0.025</v>
      </c>
      <c r="M87" s="133" t="n">
        <v>0.23</v>
      </c>
      <c r="N87" s="0" t="n">
        <v>0.036</v>
      </c>
      <c r="O87" s="134" t="n">
        <v>0.98</v>
      </c>
      <c r="P87" s="134" t="n">
        <v>0.225</v>
      </c>
    </row>
    <row r="88" customFormat="false" ht="12.75" hidden="false" customHeight="false" outlineLevel="0" collapsed="false">
      <c r="A88" s="133"/>
      <c r="B88" s="133"/>
      <c r="C88" s="131" t="e">
        <f aca="false">NextMonth(C87)</f>
        <v>#VALUE!</v>
      </c>
      <c r="D88" s="132" t="n">
        <v>0.0546533616995375</v>
      </c>
      <c r="E88" s="132" t="n">
        <v>3.832</v>
      </c>
      <c r="F88" s="132" t="n">
        <v>0.2375</v>
      </c>
      <c r="G88" s="132" t="n">
        <v>-0.0775</v>
      </c>
      <c r="H88" s="132" t="n">
        <v>0.0025</v>
      </c>
      <c r="I88" s="132" t="n">
        <v>0.0025</v>
      </c>
      <c r="J88" s="132" t="n">
        <v>0.0025</v>
      </c>
      <c r="K88" s="132" t="n">
        <v>-0.0475</v>
      </c>
      <c r="L88" s="0" t="n">
        <v>-0.025</v>
      </c>
      <c r="M88" s="133" t="n">
        <v>0.23</v>
      </c>
      <c r="N88" s="0" t="n">
        <v>0.036</v>
      </c>
      <c r="O88" s="134" t="n">
        <v>1.6</v>
      </c>
      <c r="P88" s="134" t="n">
        <v>0.35</v>
      </c>
    </row>
    <row r="89" customFormat="false" ht="12.75" hidden="false" customHeight="false" outlineLevel="0" collapsed="false">
      <c r="A89" s="133"/>
      <c r="B89" s="133"/>
      <c r="C89" s="131" t="e">
        <f aca="false">NextMonth(C88)</f>
        <v>#VALUE!</v>
      </c>
      <c r="D89" s="132" t="n">
        <v>0.0548322855756043</v>
      </c>
      <c r="E89" s="132" t="n">
        <v>3.751</v>
      </c>
      <c r="F89" s="132" t="n">
        <v>0.2375</v>
      </c>
      <c r="G89" s="132" t="n">
        <v>-0.0775</v>
      </c>
      <c r="H89" s="132" t="n">
        <v>0.0025</v>
      </c>
      <c r="I89" s="132" t="n">
        <v>0.0025</v>
      </c>
      <c r="J89" s="132" t="n">
        <v>0.0025</v>
      </c>
      <c r="K89" s="132" t="n">
        <v>-0.03</v>
      </c>
      <c r="L89" s="0" t="n">
        <v>-0.025</v>
      </c>
      <c r="M89" s="133" t="n">
        <v>0.23</v>
      </c>
      <c r="N89" s="0" t="n">
        <v>0.036</v>
      </c>
      <c r="O89" s="134" t="n">
        <v>1.6</v>
      </c>
      <c r="P89" s="134" t="n">
        <v>0.35</v>
      </c>
    </row>
    <row r="90" customFormat="false" ht="12.75" hidden="false" customHeight="false" outlineLevel="0" collapsed="false">
      <c r="A90" s="133"/>
      <c r="B90" s="133"/>
      <c r="C90" s="131" t="e">
        <f aca="false">NextMonth(C89)</f>
        <v>#VALUE!</v>
      </c>
      <c r="D90" s="132" t="n">
        <v>0.0549996659854499</v>
      </c>
      <c r="E90" s="132" t="n">
        <v>3.651</v>
      </c>
      <c r="F90" s="132" t="n">
        <v>0.2325</v>
      </c>
      <c r="G90" s="132" t="n">
        <v>-0.0775</v>
      </c>
      <c r="H90" s="132" t="n">
        <v>0.0025</v>
      </c>
      <c r="I90" s="132" t="n">
        <v>0.0025</v>
      </c>
      <c r="J90" s="132" t="n">
        <v>0.0025</v>
      </c>
      <c r="K90" s="132" t="n">
        <v>-0.0175</v>
      </c>
      <c r="L90" s="0" t="n">
        <v>-0.02</v>
      </c>
      <c r="M90" s="133" t="n">
        <v>0.23</v>
      </c>
      <c r="N90" s="0" t="n">
        <v>0.036</v>
      </c>
      <c r="O90" s="134" t="n">
        <v>0.64</v>
      </c>
      <c r="P90" s="134" t="n">
        <v>0.1</v>
      </c>
    </row>
    <row r="91" customFormat="false" ht="12.75" hidden="false" customHeight="false" outlineLevel="0" collapsed="false">
      <c r="A91" s="133"/>
      <c r="B91" s="133"/>
      <c r="C91" s="131" t="e">
        <f aca="false">NextMonth(C90)</f>
        <v>#VALUE!</v>
      </c>
      <c r="D91" s="132" t="n">
        <v>0.0551785898821557</v>
      </c>
      <c r="E91" s="132" t="n">
        <v>3.469</v>
      </c>
      <c r="F91" s="132" t="n">
        <v>0.23</v>
      </c>
      <c r="G91" s="132" t="n">
        <v>-0.0775</v>
      </c>
      <c r="H91" s="132" t="n">
        <v>0.0025</v>
      </c>
      <c r="I91" s="132" t="n">
        <v>0.0025</v>
      </c>
      <c r="J91" s="132" t="n">
        <v>0.0025</v>
      </c>
      <c r="K91" s="132" t="n">
        <v>0.02</v>
      </c>
      <c r="L91" s="0" t="n">
        <v>-0.015</v>
      </c>
      <c r="M91" s="133" t="n">
        <v>0.24</v>
      </c>
      <c r="N91" s="0" t="n">
        <v>0.036</v>
      </c>
      <c r="O91" s="134" t="n">
        <v>0.38</v>
      </c>
      <c r="P91" s="134" t="n">
        <v>0.01</v>
      </c>
    </row>
    <row r="92" customFormat="false" ht="12.75" hidden="false" customHeight="false" outlineLevel="0" collapsed="false">
      <c r="A92" s="133"/>
      <c r="B92" s="133"/>
      <c r="C92" s="131" t="e">
        <f aca="false">NextMonth(C91)</f>
        <v>#VALUE!</v>
      </c>
      <c r="D92" s="132" t="n">
        <v>0.0553517420504095</v>
      </c>
      <c r="E92" s="132" t="n">
        <v>3.472</v>
      </c>
      <c r="F92" s="132" t="n">
        <v>0.23</v>
      </c>
      <c r="G92" s="132" t="n">
        <v>-0.0775</v>
      </c>
      <c r="H92" s="132" t="n">
        <v>0.0025</v>
      </c>
      <c r="I92" s="132" t="n">
        <v>0.0025</v>
      </c>
      <c r="J92" s="132" t="n">
        <v>0.0025</v>
      </c>
      <c r="K92" s="132" t="n">
        <v>0.02</v>
      </c>
      <c r="L92" s="0" t="n">
        <v>-0.015</v>
      </c>
      <c r="M92" s="133" t="n">
        <v>0.24</v>
      </c>
      <c r="N92" s="0" t="n">
        <v>0.036</v>
      </c>
      <c r="O92" s="134" t="n">
        <v>0.33</v>
      </c>
      <c r="P92" s="134" t="n">
        <v>0.01</v>
      </c>
    </row>
    <row r="93" customFormat="false" ht="12.75" hidden="false" customHeight="false" outlineLevel="0" collapsed="false">
      <c r="A93" s="133"/>
      <c r="B93" s="133"/>
      <c r="C93" s="131" t="e">
        <f aca="false">NextMonth(C92)</f>
        <v>#VALUE!</v>
      </c>
      <c r="D93" s="132" t="n">
        <v>0.0555306659680945</v>
      </c>
      <c r="E93" s="132" t="n">
        <v>3.512</v>
      </c>
      <c r="F93" s="132" t="n">
        <v>0.23</v>
      </c>
      <c r="G93" s="132" t="n">
        <v>-0.0775</v>
      </c>
      <c r="H93" s="132" t="n">
        <v>0.0025</v>
      </c>
      <c r="I93" s="132" t="n">
        <v>0.0025</v>
      </c>
      <c r="J93" s="132" t="n">
        <v>0.0025</v>
      </c>
      <c r="K93" s="132" t="n">
        <v>0.025</v>
      </c>
      <c r="L93" s="0" t="n">
        <v>-0.015</v>
      </c>
      <c r="M93" s="133" t="n">
        <v>0.24</v>
      </c>
      <c r="N93" s="0" t="n">
        <v>0.036</v>
      </c>
      <c r="O93" s="134" t="n">
        <v>0.37</v>
      </c>
      <c r="P93" s="134" t="n">
        <v>0.02</v>
      </c>
    </row>
    <row r="94" customFormat="false" ht="12.75" hidden="false" customHeight="false" outlineLevel="0" collapsed="false">
      <c r="A94" s="133"/>
      <c r="B94" s="133"/>
      <c r="C94" s="131" t="e">
        <f aca="false">NextMonth(C93)</f>
        <v>#VALUE!</v>
      </c>
      <c r="D94" s="132" t="n">
        <v>0.0557038181566489</v>
      </c>
      <c r="E94" s="132" t="n">
        <v>3.552</v>
      </c>
      <c r="F94" s="132" t="n">
        <v>0.23</v>
      </c>
      <c r="G94" s="132" t="n">
        <v>-0.0775</v>
      </c>
      <c r="H94" s="132" t="n">
        <v>0.0025</v>
      </c>
      <c r="I94" s="132" t="n">
        <v>0.0025</v>
      </c>
      <c r="J94" s="132" t="n">
        <v>0.0025</v>
      </c>
      <c r="K94" s="132" t="n">
        <v>0.0275</v>
      </c>
      <c r="L94" s="0" t="n">
        <v>-0.01</v>
      </c>
      <c r="M94" s="133" t="n">
        <v>0.24</v>
      </c>
      <c r="N94" s="0" t="n">
        <v>0.036</v>
      </c>
      <c r="O94" s="134" t="n">
        <v>0.41</v>
      </c>
      <c r="P94" s="134" t="n">
        <v>0.02</v>
      </c>
    </row>
    <row r="95" customFormat="false" ht="12.75" hidden="false" customHeight="false" outlineLevel="0" collapsed="false">
      <c r="A95" s="133"/>
      <c r="B95" s="133"/>
      <c r="C95" s="131" t="e">
        <f aca="false">NextMonth(C94)</f>
        <v>#VALUE!</v>
      </c>
      <c r="D95" s="132" t="n">
        <v>0.0558827420953096</v>
      </c>
      <c r="E95" s="132" t="n">
        <v>3.602</v>
      </c>
      <c r="F95" s="132" t="n">
        <v>0.23</v>
      </c>
      <c r="G95" s="132" t="n">
        <v>-0.0775</v>
      </c>
      <c r="H95" s="132" t="n">
        <v>0.0025</v>
      </c>
      <c r="I95" s="132" t="n">
        <v>0.0025</v>
      </c>
      <c r="J95" s="132" t="n">
        <v>0.0025</v>
      </c>
      <c r="K95" s="132" t="n">
        <v>0.03</v>
      </c>
      <c r="L95" s="0" t="n">
        <v>-0.01</v>
      </c>
      <c r="M95" s="133" t="n">
        <v>0.24</v>
      </c>
      <c r="N95" s="0" t="n">
        <v>0.036</v>
      </c>
      <c r="O95" s="134" t="n">
        <v>0.41</v>
      </c>
      <c r="P95" s="134" t="n">
        <v>0.005</v>
      </c>
    </row>
    <row r="96" customFormat="false" ht="12.75" hidden="false" customHeight="false" outlineLevel="0" collapsed="false">
      <c r="A96" s="133"/>
      <c r="B96" s="133"/>
      <c r="C96" s="131" t="e">
        <f aca="false">NextMonth(C95)</f>
        <v>#VALUE!</v>
      </c>
      <c r="D96" s="132" t="n">
        <v>0.056061666044628</v>
      </c>
      <c r="E96" s="132" t="n">
        <v>3.587</v>
      </c>
      <c r="F96" s="132" t="n">
        <v>0.23</v>
      </c>
      <c r="G96" s="132" t="n">
        <v>-0.0775</v>
      </c>
      <c r="H96" s="132" t="n">
        <v>0.0025</v>
      </c>
      <c r="I96" s="132" t="n">
        <v>0.0025</v>
      </c>
      <c r="J96" s="132" t="n">
        <v>0.0025</v>
      </c>
      <c r="K96" s="132" t="n">
        <v>0.0225</v>
      </c>
      <c r="L96" s="0" t="n">
        <v>-0.01</v>
      </c>
      <c r="M96" s="133" t="n">
        <v>0.24</v>
      </c>
      <c r="N96" s="0" t="n">
        <v>0.036</v>
      </c>
      <c r="O96" s="134" t="n">
        <v>0.36</v>
      </c>
      <c r="P96" s="134" t="n">
        <v>0.005</v>
      </c>
    </row>
    <row r="97" customFormat="false" ht="12.75" hidden="false" customHeight="false" outlineLevel="0" collapsed="false">
      <c r="A97" s="133"/>
      <c r="B97" s="133"/>
      <c r="C97" s="131" t="e">
        <f aca="false">NextMonth(C96)</f>
        <v>#VALUE!</v>
      </c>
      <c r="D97" s="132" t="n">
        <v>0.0562348182637935</v>
      </c>
      <c r="E97" s="132" t="n">
        <v>3.602</v>
      </c>
      <c r="F97" s="132" t="n">
        <v>0.23</v>
      </c>
      <c r="G97" s="132" t="n">
        <v>-0.0775</v>
      </c>
      <c r="H97" s="132" t="n">
        <v>0.0025</v>
      </c>
      <c r="I97" s="132" t="n">
        <v>0.0025</v>
      </c>
      <c r="J97" s="132" t="n">
        <v>0.0025</v>
      </c>
      <c r="K97" s="132" t="n">
        <v>0.0125</v>
      </c>
      <c r="L97" s="0" t="n">
        <v>-0.015</v>
      </c>
      <c r="M97" s="133" t="n">
        <v>0.24</v>
      </c>
      <c r="N97" s="0" t="n">
        <v>0.036</v>
      </c>
      <c r="O97" s="134" t="n">
        <v>0.4</v>
      </c>
      <c r="P97" s="134" t="n">
        <v>0.005</v>
      </c>
    </row>
    <row r="98" customFormat="false" ht="12.75" hidden="false" customHeight="false" outlineLevel="0" collapsed="false">
      <c r="A98" s="133"/>
      <c r="B98" s="133"/>
      <c r="C98" s="131" t="e">
        <f aca="false">NextMonth(C97)</f>
        <v>#VALUE!</v>
      </c>
      <c r="D98" s="132" t="n">
        <v>0.0564137422340822</v>
      </c>
      <c r="E98" s="132" t="n">
        <v>3.747</v>
      </c>
      <c r="F98" s="132" t="n">
        <v>0.23</v>
      </c>
      <c r="G98" s="132" t="n">
        <v>-0.0775</v>
      </c>
      <c r="H98" s="132" t="n">
        <v>0.0025</v>
      </c>
      <c r="I98" s="132" t="n">
        <v>0.0025</v>
      </c>
      <c r="J98" s="132" t="n">
        <v>0.0025</v>
      </c>
      <c r="K98" s="132" t="n">
        <v>-0.0225</v>
      </c>
      <c r="L98" s="0" t="n">
        <v>-0.02</v>
      </c>
      <c r="M98" s="133" t="n">
        <v>0.23</v>
      </c>
      <c r="N98" s="0" t="n">
        <v>0.038</v>
      </c>
      <c r="O98" s="134" t="n">
        <v>0.65</v>
      </c>
      <c r="P98" s="134" t="n">
        <v>0.05</v>
      </c>
    </row>
    <row r="99" customFormat="false" ht="12.75" hidden="false" customHeight="false" outlineLevel="0" collapsed="false">
      <c r="A99" s="133"/>
      <c r="B99" s="133"/>
      <c r="C99" s="131" t="e">
        <f aca="false">NextMonth(C98)</f>
        <v>#VALUE!</v>
      </c>
      <c r="D99" s="132" t="n">
        <v>0.056586894473539</v>
      </c>
      <c r="E99" s="132" t="n">
        <v>3.882</v>
      </c>
      <c r="F99" s="132" t="n">
        <v>0.23</v>
      </c>
      <c r="G99" s="132" t="n">
        <v>-0.0775</v>
      </c>
      <c r="H99" s="132" t="n">
        <v>0.0025</v>
      </c>
      <c r="I99" s="132" t="n">
        <v>0.0025</v>
      </c>
      <c r="J99" s="132" t="n">
        <v>0.0025</v>
      </c>
      <c r="K99" s="132" t="n">
        <v>-0.045</v>
      </c>
      <c r="L99" s="0" t="n">
        <v>-0.025</v>
      </c>
      <c r="M99" s="133" t="n">
        <v>0.23</v>
      </c>
      <c r="N99" s="0" t="n">
        <v>0.038</v>
      </c>
      <c r="O99" s="134" t="n">
        <v>0.98</v>
      </c>
      <c r="P99" s="134" t="n">
        <v>0.225</v>
      </c>
    </row>
    <row r="100" customFormat="false" ht="12.75" hidden="false" customHeight="false" outlineLevel="0" collapsed="false">
      <c r="A100" s="133"/>
      <c r="B100" s="133"/>
      <c r="C100" s="131" t="e">
        <f aca="false">NextMonth(C99)</f>
        <v>#VALUE!</v>
      </c>
      <c r="D100" s="132" t="n">
        <v>0.0567658184647946</v>
      </c>
      <c r="E100" s="132" t="n">
        <v>3.927</v>
      </c>
      <c r="F100" s="132" t="n">
        <v>0.23</v>
      </c>
      <c r="G100" s="132" t="n">
        <v>-0.0775</v>
      </c>
      <c r="H100" s="132" t="n">
        <v>0.0025</v>
      </c>
      <c r="I100" s="132" t="n">
        <v>0.0025</v>
      </c>
      <c r="J100" s="132" t="n">
        <v>0.0025</v>
      </c>
      <c r="K100" s="132" t="n">
        <v>-0.0475</v>
      </c>
      <c r="L100" s="0" t="n">
        <v>-0.025</v>
      </c>
      <c r="M100" s="133" t="n">
        <v>0.23</v>
      </c>
      <c r="N100" s="0" t="n">
        <v>0.038</v>
      </c>
      <c r="O100" s="134" t="n">
        <v>1.6</v>
      </c>
      <c r="P100" s="134" t="n">
        <v>0.35</v>
      </c>
    </row>
    <row r="101" customFormat="false" ht="12.75" hidden="false" customHeight="false" outlineLevel="0" collapsed="false">
      <c r="A101" s="133"/>
      <c r="B101" s="133"/>
      <c r="C101" s="131" t="e">
        <f aca="false">NextMonth(C100)</f>
        <v>#VALUE!</v>
      </c>
      <c r="D101" s="132" t="n">
        <v>0.0568877536929158</v>
      </c>
      <c r="E101" s="132" t="n">
        <v>3.846</v>
      </c>
      <c r="F101" s="132" t="n">
        <v>0.2275</v>
      </c>
      <c r="G101" s="132" t="n">
        <v>-0.0775</v>
      </c>
      <c r="H101" s="132" t="n">
        <v>0.0025</v>
      </c>
      <c r="I101" s="132" t="n">
        <v>0.0025</v>
      </c>
      <c r="J101" s="132" t="n">
        <v>0.0025</v>
      </c>
      <c r="K101" s="132" t="n">
        <v>-0.03</v>
      </c>
      <c r="L101" s="0" t="n">
        <v>-0.025</v>
      </c>
      <c r="M101" s="133" t="n">
        <v>0.23</v>
      </c>
      <c r="N101" s="0" t="n">
        <v>0.038</v>
      </c>
      <c r="O101" s="134" t="n">
        <v>1.6</v>
      </c>
      <c r="P101" s="134" t="n">
        <v>0.35</v>
      </c>
    </row>
    <row r="102" customFormat="false" ht="12.75" hidden="false" customHeight="false" outlineLevel="0" collapsed="false">
      <c r="A102" s="133"/>
      <c r="B102" s="133"/>
      <c r="C102" s="131" t="e">
        <f aca="false">NextMonth(C101)</f>
        <v>#VALUE!</v>
      </c>
      <c r="D102" s="132" t="n">
        <v>0.0569828755699637</v>
      </c>
      <c r="E102" s="132" t="n">
        <v>3.746</v>
      </c>
      <c r="F102" s="132" t="n">
        <v>0.22</v>
      </c>
      <c r="G102" s="132" t="n">
        <v>-0.0775</v>
      </c>
      <c r="H102" s="132" t="n">
        <v>0.0025</v>
      </c>
      <c r="I102" s="132" t="n">
        <v>0.0025</v>
      </c>
      <c r="J102" s="132" t="n">
        <v>0.0025</v>
      </c>
      <c r="K102" s="132" t="n">
        <v>-0.0175</v>
      </c>
      <c r="L102" s="0" t="n">
        <v>-0.02</v>
      </c>
      <c r="M102" s="133" t="n">
        <v>0.23</v>
      </c>
      <c r="N102" s="0" t="n">
        <v>0.038</v>
      </c>
      <c r="O102" s="134" t="n">
        <v>0.64</v>
      </c>
      <c r="P102" s="134" t="n">
        <v>0.1</v>
      </c>
    </row>
    <row r="103" customFormat="false" ht="12.75" hidden="false" customHeight="false" outlineLevel="0" collapsed="false">
      <c r="A103" s="133"/>
      <c r="B103" s="133"/>
      <c r="C103" s="131" t="e">
        <f aca="false">NextMonth(C102)</f>
        <v>#VALUE!</v>
      </c>
      <c r="D103" s="132" t="n">
        <v>0.0570881890802073</v>
      </c>
      <c r="E103" s="132" t="n">
        <v>3.564</v>
      </c>
      <c r="F103" s="132" t="n">
        <v>0.2025</v>
      </c>
      <c r="G103" s="132" t="n">
        <v>-0.0775</v>
      </c>
      <c r="H103" s="132" t="n">
        <v>0.0025</v>
      </c>
      <c r="I103" s="132" t="n">
        <v>0.0025</v>
      </c>
      <c r="J103" s="132" t="n">
        <v>0.0025</v>
      </c>
      <c r="K103" s="132" t="n">
        <v>0.02</v>
      </c>
      <c r="L103" s="0" t="n">
        <v>-0.015</v>
      </c>
      <c r="M103" s="133" t="n">
        <v>0.24</v>
      </c>
      <c r="N103" s="0" t="n">
        <v>0.038</v>
      </c>
      <c r="O103" s="134" t="n">
        <v>0.38</v>
      </c>
      <c r="P103" s="134" t="n">
        <v>0.01</v>
      </c>
    </row>
    <row r="104" customFormat="false" ht="12.75" hidden="false" customHeight="false" outlineLevel="0" collapsed="false">
      <c r="A104" s="133"/>
      <c r="B104" s="133"/>
      <c r="C104" s="131" t="e">
        <f aca="false">NextMonth(C103)</f>
        <v>#VALUE!</v>
      </c>
      <c r="D104" s="132" t="n">
        <v>0.0571901053839565</v>
      </c>
      <c r="E104" s="132" t="n">
        <v>3.567</v>
      </c>
      <c r="F104" s="132" t="n">
        <v>0.2025</v>
      </c>
      <c r="G104" s="132" t="n">
        <v>-0.0775</v>
      </c>
      <c r="H104" s="132" t="n">
        <v>0.0025</v>
      </c>
      <c r="I104" s="132" t="n">
        <v>0.0025</v>
      </c>
      <c r="J104" s="132" t="n">
        <v>0.0025</v>
      </c>
      <c r="K104" s="132" t="n">
        <v>0.02</v>
      </c>
      <c r="L104" s="0" t="n">
        <v>-0.015</v>
      </c>
      <c r="M104" s="133" t="n">
        <v>0.24</v>
      </c>
      <c r="N104" s="0" t="n">
        <v>0.038</v>
      </c>
      <c r="O104" s="134" t="n">
        <v>0.33</v>
      </c>
      <c r="P104" s="134" t="n">
        <v>0.01</v>
      </c>
    </row>
    <row r="105" customFormat="false" ht="12.75" hidden="false" customHeight="false" outlineLevel="0" collapsed="false">
      <c r="A105" s="133"/>
      <c r="B105" s="133"/>
      <c r="C105" s="131" t="e">
        <f aca="false">NextMonth(C104)</f>
        <v>#VALUE!</v>
      </c>
      <c r="D105" s="132" t="n">
        <v>0.0572954189014618</v>
      </c>
      <c r="E105" s="132" t="n">
        <v>3.607</v>
      </c>
      <c r="F105" s="132" t="n">
        <v>0.2025</v>
      </c>
      <c r="G105" s="132" t="n">
        <v>-0.0775</v>
      </c>
      <c r="H105" s="132" t="n">
        <v>0.0025</v>
      </c>
      <c r="I105" s="132" t="n">
        <v>0.0025</v>
      </c>
      <c r="J105" s="132" t="n">
        <v>0.0025</v>
      </c>
      <c r="K105" s="132" t="n">
        <v>0.025</v>
      </c>
      <c r="L105" s="0" t="n">
        <v>-0.015</v>
      </c>
      <c r="M105" s="133" t="n">
        <v>0.24</v>
      </c>
      <c r="N105" s="0" t="n">
        <v>0.038</v>
      </c>
      <c r="O105" s="134" t="n">
        <v>0.37</v>
      </c>
      <c r="P105" s="134" t="n">
        <v>0.02</v>
      </c>
    </row>
    <row r="106" customFormat="false" ht="12.75" hidden="false" customHeight="false" outlineLevel="0" collapsed="false">
      <c r="A106" s="133"/>
      <c r="B106" s="133"/>
      <c r="C106" s="131" t="e">
        <f aca="false">NextMonth(C105)</f>
        <v>#VALUE!</v>
      </c>
      <c r="D106" s="132" t="n">
        <v>0.0573973352122379</v>
      </c>
      <c r="E106" s="132" t="n">
        <v>3.647</v>
      </c>
      <c r="F106" s="132" t="n">
        <v>0.2025</v>
      </c>
      <c r="G106" s="132" t="n">
        <v>-0.0775</v>
      </c>
      <c r="H106" s="132" t="n">
        <v>0.0025</v>
      </c>
      <c r="I106" s="132" t="n">
        <v>0.0025</v>
      </c>
      <c r="J106" s="132" t="n">
        <v>0.0025</v>
      </c>
      <c r="K106" s="132" t="n">
        <v>0.0275</v>
      </c>
      <c r="L106" s="0" t="n">
        <v>-0.01</v>
      </c>
      <c r="M106" s="133" t="n">
        <v>0.24</v>
      </c>
      <c r="N106" s="0" t="n">
        <v>0.038</v>
      </c>
      <c r="O106" s="134" t="n">
        <v>0.41</v>
      </c>
      <c r="P106" s="134" t="n">
        <v>0.02</v>
      </c>
    </row>
    <row r="107" customFormat="false" ht="12.75" hidden="false" customHeight="false" outlineLevel="0" collapsed="false">
      <c r="A107" s="133"/>
      <c r="B107" s="133"/>
      <c r="C107" s="131" t="e">
        <f aca="false">NextMonth(C106)</f>
        <v>#VALUE!</v>
      </c>
      <c r="D107" s="132" t="n">
        <v>0.0575026487370036</v>
      </c>
      <c r="E107" s="132" t="n">
        <v>3.697</v>
      </c>
      <c r="F107" s="132" t="n">
        <v>0.2025</v>
      </c>
      <c r="G107" s="132" t="n">
        <v>-0.0775</v>
      </c>
      <c r="H107" s="132" t="n">
        <v>0.0025</v>
      </c>
      <c r="I107" s="132" t="n">
        <v>0.0025</v>
      </c>
      <c r="J107" s="132" t="n">
        <v>0.0025</v>
      </c>
      <c r="K107" s="132" t="n">
        <v>0.03</v>
      </c>
      <c r="L107" s="0" t="n">
        <v>-0.01</v>
      </c>
      <c r="M107" s="133" t="n">
        <v>0.24</v>
      </c>
      <c r="N107" s="0" t="n">
        <v>0.038</v>
      </c>
      <c r="O107" s="134" t="n">
        <v>0.41</v>
      </c>
      <c r="P107" s="134" t="n">
        <v>0.005</v>
      </c>
    </row>
    <row r="108" customFormat="false" ht="12.75" hidden="false" customHeight="false" outlineLevel="0" collapsed="false">
      <c r="A108" s="133"/>
      <c r="B108" s="133"/>
      <c r="C108" s="131" t="e">
        <f aca="false">NextMonth(C107)</f>
        <v>#VALUE!</v>
      </c>
      <c r="D108" s="132" t="n">
        <v>0.0576079622654588</v>
      </c>
      <c r="E108" s="132" t="n">
        <v>3.682</v>
      </c>
      <c r="F108" s="132" t="n">
        <v>0.2025</v>
      </c>
      <c r="G108" s="132" t="n">
        <v>-0.0775</v>
      </c>
      <c r="H108" s="132" t="n">
        <v>0.0025</v>
      </c>
      <c r="I108" s="132" t="n">
        <v>0.0025</v>
      </c>
      <c r="J108" s="132" t="n">
        <v>0.0025</v>
      </c>
      <c r="K108" s="132" t="n">
        <v>0.0225</v>
      </c>
      <c r="L108" s="0" t="n">
        <v>-0.01</v>
      </c>
      <c r="M108" s="133" t="n">
        <v>0.24</v>
      </c>
      <c r="N108" s="0" t="n">
        <v>0.038</v>
      </c>
      <c r="O108" s="134" t="n">
        <v>0.36</v>
      </c>
      <c r="P108" s="134" t="n">
        <v>0.005</v>
      </c>
    </row>
    <row r="109" customFormat="false" ht="12.75" hidden="false" customHeight="false" outlineLevel="0" collapsed="false">
      <c r="A109" s="133"/>
      <c r="B109" s="133"/>
      <c r="C109" s="131" t="e">
        <f aca="false">NextMonth(C108)</f>
        <v>#VALUE!</v>
      </c>
      <c r="D109" s="132" t="n">
        <v>0.0577098785868313</v>
      </c>
      <c r="E109" s="132" t="n">
        <v>3.697</v>
      </c>
      <c r="F109" s="132" t="n">
        <v>0.2025</v>
      </c>
      <c r="G109" s="132" t="n">
        <v>-0.0775</v>
      </c>
      <c r="H109" s="132" t="n">
        <v>0.0025</v>
      </c>
      <c r="I109" s="132" t="n">
        <v>0.0025</v>
      </c>
      <c r="J109" s="132" t="n">
        <v>0.0025</v>
      </c>
      <c r="K109" s="132" t="n">
        <v>0.0125</v>
      </c>
      <c r="L109" s="0" t="n">
        <v>-0.015</v>
      </c>
      <c r="M109" s="133" t="n">
        <v>0.24</v>
      </c>
      <c r="N109" s="0" t="n">
        <v>0.038</v>
      </c>
      <c r="O109" s="134" t="n">
        <v>0.4</v>
      </c>
      <c r="P109" s="134" t="n">
        <v>0.005</v>
      </c>
    </row>
    <row r="110" customFormat="false" ht="12.75" hidden="false" customHeight="false" outlineLevel="0" collapsed="false">
      <c r="A110" s="133"/>
      <c r="B110" s="133"/>
      <c r="C110" s="131" t="e">
        <f aca="false">NextMonth(C109)</f>
        <v>#VALUE!</v>
      </c>
      <c r="D110" s="132" t="n">
        <v>0.057815192122546</v>
      </c>
      <c r="E110" s="132" t="n">
        <v>3.842</v>
      </c>
      <c r="F110" s="132" t="n">
        <v>0.2025</v>
      </c>
      <c r="G110" s="132" t="n">
        <v>-0.0775</v>
      </c>
      <c r="H110" s="132" t="n">
        <v>0.0025</v>
      </c>
      <c r="I110" s="132" t="n">
        <v>0.0025</v>
      </c>
      <c r="J110" s="132" t="n">
        <v>0.0025</v>
      </c>
      <c r="K110" s="132" t="n">
        <v>-0.0225</v>
      </c>
      <c r="L110" s="0" t="n">
        <v>-0.02</v>
      </c>
      <c r="M110" s="133" t="n">
        <v>0.23</v>
      </c>
      <c r="N110" s="0" t="n">
        <v>0.04</v>
      </c>
      <c r="O110" s="134" t="n">
        <v>0.65</v>
      </c>
      <c r="P110" s="134" t="n">
        <v>0.05</v>
      </c>
    </row>
    <row r="111" customFormat="false" ht="12.75" hidden="false" customHeight="false" outlineLevel="0" collapsed="false">
      <c r="A111" s="133"/>
      <c r="B111" s="133"/>
      <c r="C111" s="131" t="e">
        <f aca="false">NextMonth(C110)</f>
        <v>#VALUE!</v>
      </c>
      <c r="D111" s="132" t="n">
        <v>0.057917108450944</v>
      </c>
      <c r="E111" s="132" t="n">
        <v>3.977</v>
      </c>
      <c r="F111" s="132" t="n">
        <v>0.2025</v>
      </c>
      <c r="G111" s="132" t="n">
        <v>-0.0775</v>
      </c>
      <c r="H111" s="132" t="n">
        <v>0.0025</v>
      </c>
      <c r="I111" s="132" t="n">
        <v>0.0025</v>
      </c>
      <c r="J111" s="132" t="n">
        <v>0.0025</v>
      </c>
      <c r="K111" s="132" t="n">
        <v>-0.045</v>
      </c>
      <c r="L111" s="0" t="n">
        <v>-0.025</v>
      </c>
      <c r="M111" s="133" t="n">
        <v>0.23</v>
      </c>
      <c r="N111" s="0" t="n">
        <v>0.04</v>
      </c>
      <c r="O111" s="134" t="n">
        <v>0.98</v>
      </c>
      <c r="P111" s="134" t="n">
        <v>0.225</v>
      </c>
    </row>
    <row r="112" customFormat="false" ht="12.75" hidden="false" customHeight="false" outlineLevel="0" collapsed="false">
      <c r="A112" s="133"/>
      <c r="B112" s="133"/>
      <c r="C112" s="131" t="e">
        <f aca="false">NextMonth(C111)</f>
        <v>#VALUE!</v>
      </c>
      <c r="D112" s="132" t="n">
        <v>0.0580224219939174</v>
      </c>
      <c r="E112" s="132" t="n">
        <v>4.0245</v>
      </c>
      <c r="F112" s="132" t="n">
        <v>0.2025</v>
      </c>
      <c r="G112" s="132" t="n">
        <v>-0.0775</v>
      </c>
      <c r="H112" s="132" t="n">
        <v>0.0025</v>
      </c>
      <c r="I112" s="132" t="n">
        <v>0.0025</v>
      </c>
      <c r="J112" s="132" t="n">
        <v>0.0025</v>
      </c>
      <c r="K112" s="132" t="n">
        <v>-0.0475</v>
      </c>
      <c r="L112" s="0" t="n">
        <v>-0.025</v>
      </c>
      <c r="M112" s="133" t="n">
        <v>0.23</v>
      </c>
      <c r="N112" s="0" t="n">
        <v>0.04</v>
      </c>
      <c r="O112" s="134" t="n">
        <v>1.6</v>
      </c>
      <c r="P112" s="134" t="n">
        <v>0.35</v>
      </c>
    </row>
    <row r="113" customFormat="false" ht="12.75" hidden="false" customHeight="false" outlineLevel="0" collapsed="false">
      <c r="A113" s="133"/>
      <c r="B113" s="133"/>
      <c r="C113" s="131" t="e">
        <f aca="false">NextMonth(C112)</f>
        <v>#VALUE!</v>
      </c>
      <c r="D113" s="132" t="n">
        <v>0.0581277355405798</v>
      </c>
      <c r="E113" s="132" t="n">
        <v>3.9435</v>
      </c>
      <c r="F113" s="132" t="n">
        <v>0.2</v>
      </c>
      <c r="G113" s="132" t="n">
        <v>-0.0775</v>
      </c>
      <c r="H113" s="132" t="n">
        <v>0.0025</v>
      </c>
      <c r="I113" s="132" t="n">
        <v>0.0025</v>
      </c>
      <c r="J113" s="132" t="n">
        <v>0.0025</v>
      </c>
      <c r="K113" s="132" t="n">
        <v>-0.03</v>
      </c>
      <c r="L113" s="0" t="n">
        <v>-0.025</v>
      </c>
      <c r="M113" s="133" t="n">
        <v>0.23</v>
      </c>
      <c r="N113" s="0" t="n">
        <v>0.04</v>
      </c>
      <c r="O113" s="134" t="n">
        <v>1.6</v>
      </c>
      <c r="P113" s="134" t="n">
        <v>0.35</v>
      </c>
    </row>
    <row r="114" customFormat="false" ht="12.75" hidden="false" customHeight="false" outlineLevel="0" collapsed="false">
      <c r="A114" s="133"/>
      <c r="B114" s="133"/>
      <c r="C114" s="131" t="e">
        <f aca="false">NextMonth(C113)</f>
        <v>#VALUE!</v>
      </c>
      <c r="D114" s="132" t="n">
        <v>0.0582228574568648</v>
      </c>
      <c r="E114" s="132" t="n">
        <v>3.8435</v>
      </c>
      <c r="F114" s="132" t="n">
        <v>0.195</v>
      </c>
      <c r="G114" s="132" t="n">
        <v>-0.0775</v>
      </c>
      <c r="H114" s="132" t="n">
        <v>0.0025</v>
      </c>
      <c r="I114" s="132" t="n">
        <v>0.0025</v>
      </c>
      <c r="J114" s="132" t="n">
        <v>0.0025</v>
      </c>
      <c r="K114" s="132" t="n">
        <v>-0.0175</v>
      </c>
      <c r="L114" s="0" t="n">
        <v>-0.02</v>
      </c>
      <c r="M114" s="133" t="n">
        <v>0.23</v>
      </c>
      <c r="N114" s="0" t="n">
        <v>0.04</v>
      </c>
      <c r="O114" s="134" t="n">
        <v>0.64</v>
      </c>
      <c r="P114" s="134" t="n">
        <v>0.1</v>
      </c>
    </row>
    <row r="115" customFormat="false" ht="12.75" hidden="false" customHeight="false" outlineLevel="0" collapsed="false">
      <c r="A115" s="133"/>
      <c r="B115" s="133"/>
      <c r="C115" s="131" t="e">
        <f aca="false">NextMonth(C114)</f>
        <v>#VALUE!</v>
      </c>
      <c r="D115" s="132" t="n">
        <v>0.058328171010547</v>
      </c>
      <c r="E115" s="132" t="n">
        <v>3.6615</v>
      </c>
      <c r="F115" s="132" t="n">
        <v>0.19</v>
      </c>
      <c r="G115" s="132" t="n">
        <v>-0.0775</v>
      </c>
      <c r="H115" s="132" t="n">
        <v>0.0025</v>
      </c>
      <c r="I115" s="132" t="n">
        <v>0.0025</v>
      </c>
      <c r="J115" s="132" t="n">
        <v>0.0025</v>
      </c>
      <c r="K115" s="132" t="n">
        <v>0.02</v>
      </c>
      <c r="L115" s="0" t="n">
        <v>-0.015</v>
      </c>
      <c r="M115" s="133" t="n">
        <v>0.24</v>
      </c>
      <c r="N115" s="0" t="n">
        <v>0.04</v>
      </c>
      <c r="O115" s="134" t="n">
        <v>0.38</v>
      </c>
      <c r="P115" s="134" t="n">
        <v>0.01</v>
      </c>
    </row>
    <row r="116" customFormat="false" ht="12.75" hidden="false" customHeight="false" outlineLevel="0" collapsed="false">
      <c r="A116" s="133"/>
      <c r="B116" s="133"/>
      <c r="C116" s="131" t="e">
        <f aca="false">NextMonth(C115)</f>
        <v>#VALUE!</v>
      </c>
      <c r="D116" s="132" t="n">
        <v>0.0584300873563315</v>
      </c>
      <c r="E116" s="132" t="n">
        <v>3.6645</v>
      </c>
      <c r="F116" s="132" t="n">
        <v>0.185</v>
      </c>
      <c r="G116" s="132" t="n">
        <v>-0.0775</v>
      </c>
      <c r="H116" s="132" t="n">
        <v>0.0025</v>
      </c>
      <c r="I116" s="132" t="n">
        <v>0.0025</v>
      </c>
      <c r="J116" s="132" t="n">
        <v>0.0025</v>
      </c>
      <c r="K116" s="132" t="n">
        <v>0.02</v>
      </c>
      <c r="L116" s="0" t="n">
        <v>-0.015</v>
      </c>
      <c r="M116" s="133" t="n">
        <v>0.24</v>
      </c>
      <c r="N116" s="0" t="n">
        <v>0.04</v>
      </c>
      <c r="O116" s="134" t="n">
        <v>0.33</v>
      </c>
      <c r="P116" s="134" t="n">
        <v>0.01</v>
      </c>
    </row>
    <row r="117" customFormat="false" ht="12.75" hidden="false" customHeight="false" outlineLevel="0" collapsed="false">
      <c r="A117" s="133"/>
      <c r="B117" s="133"/>
      <c r="C117" s="131" t="e">
        <f aca="false">NextMonth(C116)</f>
        <v>#VALUE!</v>
      </c>
      <c r="D117" s="132" t="n">
        <v>0.0585354009172709</v>
      </c>
      <c r="E117" s="132" t="n">
        <v>3.7045</v>
      </c>
      <c r="F117" s="132" t="n">
        <v>0.185</v>
      </c>
      <c r="G117" s="132" t="n">
        <v>-0.0775</v>
      </c>
      <c r="H117" s="132" t="n">
        <v>0.0025</v>
      </c>
      <c r="I117" s="132" t="n">
        <v>0.0025</v>
      </c>
      <c r="J117" s="132" t="n">
        <v>0.0025</v>
      </c>
      <c r="K117" s="132" t="n">
        <v>0.025</v>
      </c>
      <c r="L117" s="0" t="n">
        <v>-0.015</v>
      </c>
      <c r="M117" s="133" t="n">
        <v>0.24</v>
      </c>
      <c r="N117" s="0" t="n">
        <v>0.04</v>
      </c>
      <c r="O117" s="134" t="n">
        <v>0.37</v>
      </c>
      <c r="P117" s="134" t="n">
        <v>0.02</v>
      </c>
    </row>
    <row r="118" customFormat="false" ht="12.75" hidden="false" customHeight="false" outlineLevel="0" collapsed="false">
      <c r="A118" s="133"/>
      <c r="B118" s="133"/>
      <c r="C118" s="131" t="e">
        <f aca="false">NextMonth(C117)</f>
        <v>#VALUE!</v>
      </c>
      <c r="D118" s="132" t="n">
        <v>0.0586373172700783</v>
      </c>
      <c r="E118" s="132" t="n">
        <v>3.7445</v>
      </c>
      <c r="F118" s="132" t="n">
        <v>0.185</v>
      </c>
      <c r="G118" s="132" t="n">
        <v>-0.0775</v>
      </c>
      <c r="H118" s="132" t="n">
        <v>0.0025</v>
      </c>
      <c r="I118" s="132" t="n">
        <v>0.0025</v>
      </c>
      <c r="J118" s="132" t="n">
        <v>0.0025</v>
      </c>
      <c r="K118" s="132" t="n">
        <v>0.0275</v>
      </c>
      <c r="L118" s="0" t="n">
        <v>-0.01</v>
      </c>
      <c r="M118" s="133" t="n">
        <v>0.24</v>
      </c>
      <c r="N118" s="0" t="n">
        <v>0.04</v>
      </c>
      <c r="O118" s="134" t="n">
        <v>0.41</v>
      </c>
      <c r="P118" s="134" t="n">
        <v>0.02</v>
      </c>
    </row>
    <row r="119" customFormat="false" ht="12.75" hidden="false" customHeight="false" outlineLevel="0" collapsed="false">
      <c r="A119" s="133"/>
      <c r="B119" s="133"/>
      <c r="C119" s="131" t="e">
        <f aca="false">NextMonth(C118)</f>
        <v>#VALUE!</v>
      </c>
      <c r="D119" s="132" t="n">
        <v>0.0587426308382737</v>
      </c>
      <c r="E119" s="132" t="n">
        <v>3.7945</v>
      </c>
      <c r="F119" s="132" t="n">
        <v>0.185</v>
      </c>
      <c r="G119" s="132" t="n">
        <v>-0.0775</v>
      </c>
      <c r="H119" s="132" t="n">
        <v>0.0025</v>
      </c>
      <c r="I119" s="132" t="n">
        <v>0.0025</v>
      </c>
      <c r="J119" s="132" t="n">
        <v>0.0025</v>
      </c>
      <c r="K119" s="132" t="n">
        <v>0.03</v>
      </c>
      <c r="L119" s="0" t="n">
        <v>-0.01</v>
      </c>
      <c r="M119" s="133" t="n">
        <v>0.24</v>
      </c>
      <c r="N119" s="0" t="n">
        <v>0.04</v>
      </c>
      <c r="O119" s="134" t="n">
        <v>0.41</v>
      </c>
      <c r="P119" s="134" t="n">
        <v>0.005</v>
      </c>
    </row>
    <row r="120" customFormat="false" ht="12.75" hidden="false" customHeight="false" outlineLevel="0" collapsed="false">
      <c r="A120" s="133"/>
      <c r="B120" s="133"/>
      <c r="C120" s="131" t="e">
        <f aca="false">NextMonth(C119)</f>
        <v>#VALUE!</v>
      </c>
      <c r="D120" s="132" t="n">
        <v>0.0588479444101564</v>
      </c>
      <c r="E120" s="132" t="n">
        <v>3.7795</v>
      </c>
      <c r="F120" s="132" t="n">
        <v>0.185</v>
      </c>
      <c r="G120" s="132" t="n">
        <v>-0.0775</v>
      </c>
      <c r="H120" s="132" t="n">
        <v>0.0025</v>
      </c>
      <c r="I120" s="132" t="n">
        <v>0.0025</v>
      </c>
      <c r="J120" s="132" t="n">
        <v>0.0025</v>
      </c>
      <c r="K120" s="132" t="n">
        <v>0.0225</v>
      </c>
      <c r="L120" s="0" t="n">
        <v>-0.01</v>
      </c>
      <c r="M120" s="133" t="n">
        <v>0.24</v>
      </c>
      <c r="N120" s="0" t="n">
        <v>0.04</v>
      </c>
      <c r="O120" s="134" t="n">
        <v>0.36</v>
      </c>
      <c r="P120" s="134" t="n">
        <v>0.005</v>
      </c>
    </row>
    <row r="121" customFormat="false" ht="12.75" hidden="false" customHeight="false" outlineLevel="0" collapsed="false">
      <c r="A121" s="133"/>
      <c r="B121" s="133"/>
      <c r="C121" s="131" t="e">
        <f aca="false">NextMonth(C120)</f>
        <v>#VALUE!</v>
      </c>
      <c r="D121" s="132" t="n">
        <v>0.0589498607735539</v>
      </c>
      <c r="E121" s="132" t="n">
        <v>3.7945</v>
      </c>
      <c r="F121" s="132" t="n">
        <v>0.185</v>
      </c>
      <c r="G121" s="132" t="n">
        <v>-0.0775</v>
      </c>
      <c r="H121" s="132" t="n">
        <v>0.0025</v>
      </c>
      <c r="I121" s="132" t="n">
        <v>0.0025</v>
      </c>
      <c r="J121" s="132" t="n">
        <v>0.0025</v>
      </c>
      <c r="K121" s="132" t="n">
        <v>0.0125</v>
      </c>
      <c r="L121" s="0" t="n">
        <v>-0.015</v>
      </c>
      <c r="M121" s="133" t="n">
        <v>0.24</v>
      </c>
      <c r="N121" s="0" t="n">
        <v>0.04</v>
      </c>
      <c r="O121" s="134" t="n">
        <v>0.4</v>
      </c>
      <c r="P121" s="134" t="n">
        <v>0.005</v>
      </c>
    </row>
    <row r="122" customFormat="false" ht="12.75" hidden="false" customHeight="false" outlineLevel="0" collapsed="false">
      <c r="A122" s="133"/>
      <c r="B122" s="133"/>
      <c r="C122" s="131" t="e">
        <f aca="false">NextMonth(C121)</f>
        <v>#VALUE!</v>
      </c>
      <c r="D122" s="132" t="n">
        <v>0.0590551743526921</v>
      </c>
      <c r="E122" s="132" t="n">
        <v>3.9395</v>
      </c>
      <c r="F122" s="132" t="n">
        <v>0.185</v>
      </c>
      <c r="G122" s="132" t="n">
        <v>-0.0775</v>
      </c>
      <c r="H122" s="132" t="n">
        <v>0.0025</v>
      </c>
      <c r="I122" s="132" t="n">
        <v>0.0025</v>
      </c>
      <c r="J122" s="132" t="n">
        <v>0.0025</v>
      </c>
      <c r="K122" s="132" t="n">
        <v>-0.0225</v>
      </c>
      <c r="L122" s="0" t="n">
        <v>-0.02</v>
      </c>
      <c r="M122" s="133" t="n">
        <v>0.35</v>
      </c>
      <c r="N122" s="0" t="n">
        <v>0.042</v>
      </c>
      <c r="O122" s="134" t="n">
        <v>0.65</v>
      </c>
      <c r="P122" s="134" t="n">
        <v>0.05</v>
      </c>
    </row>
    <row r="123" customFormat="false" ht="12.75" hidden="false" customHeight="false" outlineLevel="0" collapsed="false">
      <c r="A123" s="133"/>
      <c r="B123" s="133"/>
      <c r="C123" s="131" t="e">
        <f aca="false">NextMonth(C122)</f>
        <v>#VALUE!</v>
      </c>
      <c r="D123" s="132" t="n">
        <v>0.0591570907231103</v>
      </c>
      <c r="E123" s="132" t="n">
        <v>4.0745</v>
      </c>
      <c r="F123" s="132" t="n">
        <v>0.185</v>
      </c>
      <c r="G123" s="132" t="n">
        <v>-0.0775</v>
      </c>
      <c r="H123" s="132" t="n">
        <v>0.0025</v>
      </c>
      <c r="I123" s="132" t="n">
        <v>0.0025</v>
      </c>
      <c r="J123" s="132" t="n">
        <v>0.0025</v>
      </c>
      <c r="K123" s="132" t="n">
        <v>-0.045</v>
      </c>
      <c r="L123" s="0" t="n">
        <v>-0.025</v>
      </c>
      <c r="M123" s="133" t="n">
        <v>0.35</v>
      </c>
      <c r="N123" s="0" t="n">
        <v>0.042</v>
      </c>
      <c r="O123" s="134" t="n">
        <v>0.98</v>
      </c>
      <c r="P123" s="134" t="n">
        <v>0.225</v>
      </c>
    </row>
    <row r="124" customFormat="false" ht="12.75" hidden="false" customHeight="false" outlineLevel="0" collapsed="false">
      <c r="A124" s="133"/>
      <c r="B124" s="133"/>
      <c r="C124" s="131" t="e">
        <f aca="false">NextMonth(C123)</f>
        <v>#VALUE!</v>
      </c>
      <c r="D124" s="132" t="n">
        <v>0.0592624043095031</v>
      </c>
      <c r="E124" s="132" t="n">
        <v>4.122</v>
      </c>
      <c r="F124" s="132" t="n">
        <v>0.185</v>
      </c>
      <c r="G124" s="132" t="n">
        <v>-0.0775</v>
      </c>
      <c r="H124" s="132" t="n">
        <v>0.0025</v>
      </c>
      <c r="I124" s="132" t="n">
        <v>0.0025</v>
      </c>
      <c r="J124" s="132" t="n">
        <v>0.0025</v>
      </c>
      <c r="K124" s="132" t="n">
        <v>-0.0475</v>
      </c>
      <c r="L124" s="0" t="n">
        <v>-0.025</v>
      </c>
      <c r="M124" s="133" t="n">
        <v>0.35</v>
      </c>
      <c r="N124" s="0" t="n">
        <v>0.042</v>
      </c>
      <c r="O124" s="134" t="n">
        <v>1.6</v>
      </c>
      <c r="P124" s="134" t="n">
        <v>0.35</v>
      </c>
    </row>
    <row r="125" customFormat="false" ht="12.75" hidden="false" customHeight="false" outlineLevel="0" collapsed="false">
      <c r="A125" s="133"/>
      <c r="B125" s="133"/>
      <c r="C125" s="131" t="e">
        <f aca="false">NextMonth(C124)</f>
        <v>#VALUE!</v>
      </c>
      <c r="D125" s="132" t="n">
        <v>0.0593677178995824</v>
      </c>
      <c r="E125" s="132" t="n">
        <v>4.041</v>
      </c>
      <c r="F125" s="132" t="n">
        <v>0.185</v>
      </c>
      <c r="G125" s="132" t="n">
        <v>-0.0775</v>
      </c>
      <c r="H125" s="132" t="n">
        <v>0.0025</v>
      </c>
      <c r="I125" s="132" t="n">
        <v>0.0025</v>
      </c>
      <c r="J125" s="132" t="n">
        <v>0.0025</v>
      </c>
      <c r="K125" s="132" t="n">
        <v>-0.03</v>
      </c>
      <c r="L125" s="0" t="n">
        <v>-0.025</v>
      </c>
      <c r="M125" s="133" t="n">
        <v>0.35</v>
      </c>
      <c r="N125" s="0" t="n">
        <v>0.042</v>
      </c>
      <c r="O125" s="134" t="n">
        <v>1.6</v>
      </c>
      <c r="P125" s="134" t="n">
        <v>0.35</v>
      </c>
    </row>
    <row r="126" customFormat="false" ht="12.75" hidden="false" customHeight="false" outlineLevel="0" collapsed="false">
      <c r="A126" s="133"/>
      <c r="B126" s="133"/>
      <c r="C126" s="131" t="e">
        <f aca="false">NextMonth(C125)</f>
        <v>#VALUE!</v>
      </c>
      <c r="D126" s="132" t="n">
        <v>0.05946283985508</v>
      </c>
      <c r="E126" s="132" t="n">
        <v>3.941</v>
      </c>
      <c r="F126" s="132" t="n">
        <v>0.18</v>
      </c>
      <c r="G126" s="132" t="n">
        <v>-0.0775</v>
      </c>
      <c r="H126" s="132" t="n">
        <v>0.0025</v>
      </c>
      <c r="I126" s="132" t="n">
        <v>0.0025</v>
      </c>
      <c r="J126" s="132" t="n">
        <v>0.0025</v>
      </c>
      <c r="K126" s="132" t="n">
        <v>-0.0175</v>
      </c>
      <c r="L126" s="0" t="n">
        <v>-0.02</v>
      </c>
      <c r="M126" s="133" t="n">
        <v>0.35</v>
      </c>
      <c r="N126" s="0" t="n">
        <v>0.042</v>
      </c>
      <c r="O126" s="134" t="n">
        <v>0.64</v>
      </c>
      <c r="P126" s="134" t="n">
        <v>0.1</v>
      </c>
    </row>
    <row r="127" customFormat="false" ht="12.75" hidden="false" customHeight="false" outlineLevel="0" collapsed="false">
      <c r="A127" s="133"/>
      <c r="B127" s="133"/>
      <c r="C127" s="131" t="e">
        <f aca="false">NextMonth(C126)</f>
        <v>#VALUE!</v>
      </c>
      <c r="D127" s="132" t="n">
        <v>0.059568153452175</v>
      </c>
      <c r="E127" s="132" t="n">
        <v>3.759</v>
      </c>
      <c r="F127" s="132" t="n">
        <v>0.18</v>
      </c>
      <c r="G127" s="132" t="n">
        <v>-0.0775</v>
      </c>
      <c r="H127" s="132" t="n">
        <v>0.0025</v>
      </c>
      <c r="I127" s="132" t="n">
        <v>0.0025</v>
      </c>
      <c r="J127" s="132" t="n">
        <v>0.0025</v>
      </c>
      <c r="K127" s="132" t="n">
        <v>0.02</v>
      </c>
      <c r="L127" s="0" t="n">
        <v>-0.015</v>
      </c>
      <c r="M127" s="133" t="n">
        <v>0.43</v>
      </c>
      <c r="N127" s="0" t="n">
        <v>0.042</v>
      </c>
      <c r="O127" s="134" t="n">
        <v>0.38</v>
      </c>
      <c r="P127" s="134" t="n">
        <v>0.01</v>
      </c>
    </row>
    <row r="128" customFormat="false" ht="12.75" hidden="false" customHeight="false" outlineLevel="0" collapsed="false">
      <c r="A128" s="133"/>
      <c r="B128" s="133"/>
      <c r="C128" s="131" t="e">
        <f aca="false">NextMonth(C127)</f>
        <v>#VALUE!</v>
      </c>
      <c r="D128" s="132" t="n">
        <v>0.0596700698399695</v>
      </c>
      <c r="E128" s="132" t="n">
        <v>3.762</v>
      </c>
      <c r="F128" s="132" t="n">
        <v>0.18</v>
      </c>
      <c r="G128" s="132" t="n">
        <v>-0.0775</v>
      </c>
      <c r="H128" s="132" t="n">
        <v>0.0025</v>
      </c>
      <c r="I128" s="132" t="n">
        <v>0.0025</v>
      </c>
      <c r="J128" s="132" t="n">
        <v>0.0025</v>
      </c>
      <c r="K128" s="132" t="n">
        <v>0.02</v>
      </c>
      <c r="L128" s="0" t="n">
        <v>-0.015</v>
      </c>
      <c r="M128" s="133" t="n">
        <v>0.43</v>
      </c>
      <c r="N128" s="0" t="n">
        <v>0</v>
      </c>
      <c r="O128" s="134" t="n">
        <v>0.33</v>
      </c>
      <c r="P128" s="134" t="n">
        <v>0.01</v>
      </c>
    </row>
    <row r="129" customFormat="false" ht="12.75" hidden="false" customHeight="false" outlineLevel="0" collapsed="false">
      <c r="A129" s="133"/>
      <c r="B129" s="133"/>
      <c r="C129" s="131" t="e">
        <f aca="false">NextMonth(C128)</f>
        <v>#VALUE!</v>
      </c>
      <c r="D129" s="132" t="n">
        <v>0.0597753834443169</v>
      </c>
      <c r="E129" s="132" t="n">
        <v>3.802</v>
      </c>
      <c r="F129" s="132" t="n">
        <v>0.18</v>
      </c>
      <c r="G129" s="132" t="n">
        <v>-0.0775</v>
      </c>
      <c r="H129" s="132" t="n">
        <v>0.0025</v>
      </c>
      <c r="I129" s="132" t="n">
        <v>0.0025</v>
      </c>
      <c r="J129" s="132" t="n">
        <v>0.0025</v>
      </c>
      <c r="K129" s="132" t="n">
        <v>0.025</v>
      </c>
      <c r="L129" s="0" t="n">
        <v>-0.015</v>
      </c>
      <c r="M129" s="133" t="n">
        <v>0.43</v>
      </c>
      <c r="N129" s="0" t="n">
        <v>0</v>
      </c>
      <c r="O129" s="134" t="n">
        <v>0.37</v>
      </c>
      <c r="P129" s="134" t="n">
        <v>0.02</v>
      </c>
    </row>
    <row r="130" customFormat="false" ht="12.75" hidden="false" customHeight="false" outlineLevel="0" collapsed="false">
      <c r="A130" s="133"/>
      <c r="B130" s="133"/>
      <c r="C130" s="131" t="e">
        <f aca="false">NextMonth(C129)</f>
        <v>#VALUE!</v>
      </c>
      <c r="D130" s="132" t="n">
        <v>0.0598772998391302</v>
      </c>
      <c r="E130" s="132" t="n">
        <v>3.842</v>
      </c>
      <c r="F130" s="132" t="n">
        <v>0.18</v>
      </c>
      <c r="G130" s="132" t="n">
        <v>-0.0775</v>
      </c>
      <c r="H130" s="132" t="n">
        <v>0.0025</v>
      </c>
      <c r="I130" s="132" t="n">
        <v>0.0025</v>
      </c>
      <c r="J130" s="132" t="n">
        <v>0.0025</v>
      </c>
      <c r="K130" s="132" t="n">
        <v>0.0275</v>
      </c>
      <c r="L130" s="0" t="n">
        <v>-0.01</v>
      </c>
      <c r="M130" s="133" t="n">
        <v>0.43</v>
      </c>
      <c r="N130" s="0" t="n">
        <v>0</v>
      </c>
      <c r="O130" s="134" t="n">
        <v>0.41</v>
      </c>
      <c r="P130" s="134" t="n">
        <v>0.02</v>
      </c>
    </row>
    <row r="131" customFormat="false" ht="12.75" hidden="false" customHeight="false" outlineLevel="0" collapsed="false">
      <c r="A131" s="133"/>
      <c r="B131" s="133"/>
      <c r="C131" s="131" t="e">
        <f aca="false">NextMonth(C130)</f>
        <v>#VALUE!</v>
      </c>
      <c r="D131" s="132" t="n">
        <v>0.0599826134507295</v>
      </c>
      <c r="E131" s="132" t="n">
        <v>3.892</v>
      </c>
      <c r="F131" s="132" t="n">
        <v>0.18</v>
      </c>
      <c r="G131" s="132" t="n">
        <v>-0.0775</v>
      </c>
      <c r="H131" s="132" t="n">
        <v>0.0025</v>
      </c>
      <c r="I131" s="132" t="n">
        <v>0.0025</v>
      </c>
      <c r="J131" s="132" t="n">
        <v>0.0025</v>
      </c>
      <c r="K131" s="132" t="n">
        <v>0.03</v>
      </c>
      <c r="L131" s="0" t="n">
        <v>-0.01</v>
      </c>
      <c r="M131" s="133" t="n">
        <v>0.43</v>
      </c>
      <c r="N131" s="0" t="n">
        <v>0</v>
      </c>
      <c r="O131" s="134" t="n">
        <v>0.41</v>
      </c>
      <c r="P131" s="134" t="n">
        <v>0.005</v>
      </c>
    </row>
    <row r="132" customFormat="false" ht="12.75" hidden="false" customHeight="false" outlineLevel="0" collapsed="false">
      <c r="A132" s="133"/>
      <c r="B132" s="133"/>
      <c r="C132" s="131" t="e">
        <f aca="false">NextMonth(C131)</f>
        <v>#VALUE!</v>
      </c>
      <c r="D132" s="132" t="n">
        <v>0.060087927066014</v>
      </c>
      <c r="E132" s="132" t="n">
        <v>3.877</v>
      </c>
      <c r="F132" s="132" t="n">
        <v>0.18</v>
      </c>
      <c r="G132" s="132" t="n">
        <v>-0.0775</v>
      </c>
      <c r="H132" s="132" t="n">
        <v>0.0025</v>
      </c>
      <c r="I132" s="132" t="n">
        <v>0.0025</v>
      </c>
      <c r="J132" s="132" t="n">
        <v>0.0025</v>
      </c>
      <c r="K132" s="132" t="n">
        <v>0.0225</v>
      </c>
      <c r="L132" s="0" t="n">
        <v>-0.01</v>
      </c>
      <c r="M132" s="133" t="n">
        <v>0.43</v>
      </c>
      <c r="N132" s="0" t="n">
        <v>0</v>
      </c>
      <c r="O132" s="134" t="n">
        <v>0.36</v>
      </c>
      <c r="P132" s="134" t="n">
        <v>0.005</v>
      </c>
    </row>
    <row r="133" customFormat="false" ht="12.75" hidden="false" customHeight="false" outlineLevel="0" collapsed="false">
      <c r="A133" s="133"/>
      <c r="B133" s="133"/>
      <c r="C133" s="131" t="e">
        <f aca="false">NextMonth(C132)</f>
        <v>#VALUE!</v>
      </c>
      <c r="D133" s="132" t="n">
        <v>0.0601898434714108</v>
      </c>
      <c r="E133" s="132" t="n">
        <v>3.892</v>
      </c>
      <c r="F133" s="132" t="n">
        <v>0.18</v>
      </c>
      <c r="G133" s="132" t="n">
        <v>-0.0775</v>
      </c>
      <c r="H133" s="132" t="n">
        <v>0.0025</v>
      </c>
      <c r="I133" s="132" t="n">
        <v>0.0025</v>
      </c>
      <c r="J133" s="132" t="n">
        <v>0.0025</v>
      </c>
      <c r="K133" s="132" t="n">
        <v>0.0125</v>
      </c>
      <c r="L133" s="0" t="n">
        <v>-0.015</v>
      </c>
      <c r="M133" s="133" t="n">
        <v>0.43</v>
      </c>
      <c r="N133" s="0" t="n">
        <v>0</v>
      </c>
      <c r="O133" s="134" t="n">
        <v>0.4</v>
      </c>
      <c r="P133" s="134" t="n">
        <v>0.005</v>
      </c>
    </row>
    <row r="134" customFormat="false" ht="12.75" hidden="false" customHeight="false" outlineLevel="0" collapsed="false">
      <c r="A134" s="133"/>
      <c r="B134" s="133"/>
      <c r="C134" s="131" t="e">
        <f aca="false">NextMonth(C133)</f>
        <v>#VALUE!</v>
      </c>
      <c r="D134" s="132" t="n">
        <v>0.0602951570939463</v>
      </c>
      <c r="E134" s="132" t="n">
        <v>4.037</v>
      </c>
      <c r="F134" s="132" t="n">
        <v>0.18</v>
      </c>
      <c r="G134" s="132" t="n">
        <v>-0.0775</v>
      </c>
      <c r="H134" s="132" t="n">
        <v>0.0025</v>
      </c>
      <c r="I134" s="132" t="n">
        <v>0.0025</v>
      </c>
      <c r="J134" s="132" t="n">
        <v>0.0025</v>
      </c>
      <c r="K134" s="132" t="n">
        <v>-0.0225</v>
      </c>
      <c r="L134" s="0" t="n">
        <v>-0.02</v>
      </c>
      <c r="M134" s="133" t="n">
        <v>0.35</v>
      </c>
      <c r="N134" s="0" t="n">
        <v>0</v>
      </c>
      <c r="O134" s="134" t="n">
        <v>0.65</v>
      </c>
      <c r="P134" s="134" t="n">
        <v>0.05</v>
      </c>
    </row>
    <row r="135" customFormat="false" ht="12.75" hidden="false" customHeight="false" outlineLevel="0" collapsed="false">
      <c r="A135" s="133"/>
      <c r="B135" s="133"/>
      <c r="C135" s="131" t="e">
        <f aca="false">NextMonth(C134)</f>
        <v>#VALUE!</v>
      </c>
      <c r="D135" s="132" t="n">
        <v>0.0603970735063597</v>
      </c>
      <c r="E135" s="132" t="n">
        <v>4.172</v>
      </c>
      <c r="F135" s="132" t="n">
        <v>0.18</v>
      </c>
      <c r="G135" s="132" t="n">
        <v>-0.0775</v>
      </c>
      <c r="H135" s="132" t="n">
        <v>0.0025</v>
      </c>
      <c r="I135" s="132" t="n">
        <v>0.0025</v>
      </c>
      <c r="J135" s="132" t="n">
        <v>0.0025</v>
      </c>
      <c r="K135" s="132" t="n">
        <v>-0.045</v>
      </c>
      <c r="L135" s="0" t="n">
        <v>-0.025</v>
      </c>
      <c r="M135" s="133" t="n">
        <v>0.35</v>
      </c>
      <c r="N135" s="0" t="n">
        <v>0</v>
      </c>
      <c r="O135" s="134" t="n">
        <v>0.98</v>
      </c>
      <c r="P135" s="134" t="n">
        <v>0.225</v>
      </c>
    </row>
    <row r="136" customFormat="false" ht="12.75" hidden="false" customHeight="false" outlineLevel="0" collapsed="false">
      <c r="A136" s="133"/>
      <c r="B136" s="133"/>
      <c r="C136" s="131" t="e">
        <f aca="false">NextMonth(C135)</f>
        <v>#VALUE!</v>
      </c>
      <c r="D136" s="132" t="n">
        <v>0.0605023871361454</v>
      </c>
      <c r="E136" s="132" t="n">
        <v>4.2195</v>
      </c>
      <c r="F136" s="132" t="n">
        <v>0.18</v>
      </c>
      <c r="G136" s="132" t="n">
        <v>-0.0775</v>
      </c>
      <c r="H136" s="132" t="n">
        <v>0.0025</v>
      </c>
      <c r="I136" s="132" t="n">
        <v>0.0025</v>
      </c>
      <c r="J136" s="132" t="n">
        <v>0.0025</v>
      </c>
      <c r="K136" s="132" t="n">
        <v>-0.0475</v>
      </c>
      <c r="L136" s="0" t="n">
        <v>-0.025</v>
      </c>
      <c r="M136" s="133" t="n">
        <v>0.35</v>
      </c>
      <c r="N136" s="0" t="n">
        <v>0</v>
      </c>
      <c r="O136" s="134" t="n">
        <v>1.6</v>
      </c>
      <c r="P136" s="134" t="n">
        <v>0.35</v>
      </c>
    </row>
    <row r="137" customFormat="false" ht="12.75" hidden="false" customHeight="false" outlineLevel="0" collapsed="false">
      <c r="A137" s="133"/>
      <c r="B137" s="133"/>
      <c r="C137" s="131" t="e">
        <f aca="false">NextMonth(C136)</f>
        <v>#VALUE!</v>
      </c>
      <c r="D137" s="132" t="n">
        <v>0.060560943962777</v>
      </c>
      <c r="E137" s="132" t="n">
        <v>4.1385</v>
      </c>
      <c r="F137" s="132" t="n">
        <v>0.175</v>
      </c>
      <c r="G137" s="132" t="n">
        <v>-0.0775</v>
      </c>
      <c r="H137" s="132" t="n">
        <v>0.0025</v>
      </c>
      <c r="I137" s="132" t="n">
        <v>0.0025</v>
      </c>
      <c r="J137" s="132" t="n">
        <v>0.0025</v>
      </c>
      <c r="K137" s="132" t="n">
        <v>-0.03</v>
      </c>
      <c r="L137" s="0" t="n">
        <v>-0.025</v>
      </c>
      <c r="M137" s="133" t="n">
        <v>0.35</v>
      </c>
      <c r="N137" s="0" t="n">
        <v>0</v>
      </c>
      <c r="O137" s="134" t="n">
        <v>1.6</v>
      </c>
      <c r="P137" s="134" t="n">
        <v>0.35</v>
      </c>
    </row>
    <row r="138" customFormat="false" ht="12.75" hidden="false" customHeight="false" outlineLevel="0" collapsed="false">
      <c r="A138" s="133"/>
      <c r="B138" s="133"/>
      <c r="C138" s="131" t="e">
        <f aca="false">NextMonth(C137)</f>
        <v>#VALUE!</v>
      </c>
      <c r="D138" s="132" t="n">
        <v>0.0606005089344825</v>
      </c>
      <c r="E138" s="132" t="n">
        <v>4.0385</v>
      </c>
      <c r="F138" s="132" t="n">
        <v>0.17</v>
      </c>
      <c r="G138" s="132" t="n">
        <v>-0.0775</v>
      </c>
      <c r="H138" s="132" t="n">
        <v>0.0025</v>
      </c>
      <c r="I138" s="132" t="n">
        <v>0.0025</v>
      </c>
      <c r="J138" s="132" t="n">
        <v>0.0025</v>
      </c>
      <c r="K138" s="132" t="n">
        <v>-0.0175</v>
      </c>
      <c r="L138" s="0" t="n">
        <v>-0.02</v>
      </c>
      <c r="M138" s="133" t="n">
        <v>0.35</v>
      </c>
      <c r="N138" s="0" t="n">
        <v>0</v>
      </c>
      <c r="O138" s="134" t="n">
        <v>0.64</v>
      </c>
      <c r="P138" s="134" t="n">
        <v>0.1</v>
      </c>
    </row>
    <row r="139" customFormat="false" ht="12.75" hidden="false" customHeight="false" outlineLevel="0" collapsed="false">
      <c r="A139" s="133"/>
      <c r="B139" s="133"/>
      <c r="C139" s="131" t="e">
        <f aca="false">NextMonth(C138)</f>
        <v>#VALUE!</v>
      </c>
      <c r="D139" s="132" t="n">
        <v>0.0606428025255012</v>
      </c>
      <c r="E139" s="132" t="n">
        <v>3.8565</v>
      </c>
      <c r="F139" s="132" t="n">
        <v>0.17</v>
      </c>
      <c r="G139" s="132" t="n">
        <v>-0.0775</v>
      </c>
      <c r="H139" s="132" t="n">
        <v>0.0025</v>
      </c>
      <c r="I139" s="132" t="n">
        <v>0.0025</v>
      </c>
      <c r="J139" s="132" t="n">
        <v>0.0025</v>
      </c>
      <c r="K139" s="132" t="n">
        <v>0.02</v>
      </c>
      <c r="L139" s="0" t="n">
        <v>-0.015</v>
      </c>
      <c r="M139" s="133" t="n">
        <v>0.43</v>
      </c>
      <c r="N139" s="0" t="n">
        <v>0</v>
      </c>
      <c r="O139" s="134" t="n">
        <v>0.38</v>
      </c>
      <c r="P139" s="134" t="n">
        <v>0.01</v>
      </c>
    </row>
    <row r="140" customFormat="false" ht="12.75" hidden="false" customHeight="false" outlineLevel="0" collapsed="false">
      <c r="A140" s="133"/>
      <c r="B140" s="133"/>
      <c r="C140" s="131" t="e">
        <f aca="false">NextMonth(C139)</f>
        <v>#VALUE!</v>
      </c>
      <c r="D140" s="132" t="n">
        <v>0.0606837318076985</v>
      </c>
      <c r="E140" s="132" t="n">
        <v>3.8595</v>
      </c>
      <c r="F140" s="132" t="n">
        <v>0.17</v>
      </c>
      <c r="G140" s="132" t="n">
        <v>-0.0775</v>
      </c>
      <c r="H140" s="132" t="n">
        <v>0.0025</v>
      </c>
      <c r="I140" s="132" t="n">
        <v>0.0025</v>
      </c>
      <c r="J140" s="132" t="n">
        <v>0.0025</v>
      </c>
      <c r="K140" s="132" t="n">
        <v>0.02</v>
      </c>
      <c r="L140" s="0" t="n">
        <v>-0.015</v>
      </c>
      <c r="M140" s="133" t="n">
        <v>0.43</v>
      </c>
      <c r="N140" s="0" t="n">
        <v>0</v>
      </c>
      <c r="O140" s="134" t="n">
        <v>0.33</v>
      </c>
      <c r="P140" s="134" t="n">
        <v>0.01</v>
      </c>
    </row>
    <row r="141" customFormat="false" ht="12.75" hidden="false" customHeight="false" outlineLevel="0" collapsed="false">
      <c r="A141" s="133"/>
      <c r="B141" s="133"/>
      <c r="C141" s="131" t="e">
        <f aca="false">NextMonth(C140)</f>
        <v>#VALUE!</v>
      </c>
      <c r="D141" s="132" t="n">
        <v>0.060726025399886</v>
      </c>
      <c r="E141" s="132" t="n">
        <v>3.8995</v>
      </c>
      <c r="F141" s="132" t="n">
        <v>0.17</v>
      </c>
      <c r="G141" s="132" t="n">
        <v>-0.0775</v>
      </c>
      <c r="H141" s="132" t="n">
        <v>0.0025</v>
      </c>
      <c r="I141" s="132" t="n">
        <v>0.0025</v>
      </c>
      <c r="J141" s="132" t="n">
        <v>0.0025</v>
      </c>
      <c r="K141" s="132" t="n">
        <v>0.025</v>
      </c>
      <c r="L141" s="0" t="n">
        <v>-0.015</v>
      </c>
      <c r="M141" s="133" t="n">
        <v>0.43</v>
      </c>
      <c r="N141" s="0" t="n">
        <v>0</v>
      </c>
      <c r="O141" s="134" t="n">
        <v>0.37</v>
      </c>
      <c r="P141" s="134" t="n">
        <v>0.02</v>
      </c>
    </row>
    <row r="142" customFormat="false" ht="12.75" hidden="false" customHeight="false" outlineLevel="0" collapsed="false">
      <c r="A142" s="133"/>
      <c r="B142" s="133"/>
      <c r="C142" s="131" t="e">
        <f aca="false">NextMonth(C141)</f>
        <v>#VALUE!</v>
      </c>
      <c r="D142" s="132" t="n">
        <v>0.0607669546832148</v>
      </c>
      <c r="E142" s="132" t="n">
        <v>3.9395</v>
      </c>
      <c r="F142" s="132" t="n">
        <v>0.17</v>
      </c>
      <c r="G142" s="132" t="n">
        <v>-0.0775</v>
      </c>
      <c r="H142" s="132" t="n">
        <v>0.0025</v>
      </c>
      <c r="I142" s="132" t="n">
        <v>0.0025</v>
      </c>
      <c r="J142" s="132" t="n">
        <v>0.0025</v>
      </c>
      <c r="K142" s="132" t="n">
        <v>0.0275</v>
      </c>
      <c r="L142" s="0" t="n">
        <v>-0.01</v>
      </c>
      <c r="M142" s="133" t="n">
        <v>0.43</v>
      </c>
      <c r="N142" s="0" t="n">
        <v>0</v>
      </c>
      <c r="O142" s="134" t="n">
        <v>0.41</v>
      </c>
      <c r="P142" s="134" t="n">
        <v>0.02</v>
      </c>
    </row>
    <row r="143" customFormat="false" ht="12.75" hidden="false" customHeight="false" outlineLevel="0" collapsed="false">
      <c r="A143" s="133"/>
      <c r="B143" s="133"/>
      <c r="C143" s="131" t="e">
        <f aca="false">NextMonth(C142)</f>
        <v>#VALUE!</v>
      </c>
      <c r="D143" s="132" t="n">
        <v>0.0608092482765716</v>
      </c>
      <c r="E143" s="132" t="n">
        <v>3.9895</v>
      </c>
      <c r="F143" s="132" t="n">
        <v>0.17</v>
      </c>
      <c r="G143" s="132" t="n">
        <v>-0.0775</v>
      </c>
      <c r="H143" s="132" t="n">
        <v>0.0025</v>
      </c>
      <c r="I143" s="132" t="n">
        <v>0.0025</v>
      </c>
      <c r="J143" s="132" t="n">
        <v>0.0025</v>
      </c>
      <c r="K143" s="132" t="n">
        <v>0.03</v>
      </c>
      <c r="L143" s="0" t="n">
        <v>-0.01</v>
      </c>
      <c r="M143" s="133" t="n">
        <v>0.43</v>
      </c>
      <c r="N143" s="0" t="n">
        <v>0</v>
      </c>
      <c r="O143" s="134" t="n">
        <v>0.41</v>
      </c>
      <c r="P143" s="134" t="n">
        <v>0.005</v>
      </c>
    </row>
    <row r="144" customFormat="false" ht="12.75" hidden="false" customHeight="false" outlineLevel="0" collapsed="false">
      <c r="A144" s="133"/>
      <c r="B144" s="133"/>
      <c r="C144" s="131" t="e">
        <f aca="false">NextMonth(C143)</f>
        <v>#VALUE!</v>
      </c>
      <c r="D144" s="132" t="n">
        <v>0.0608515418705227</v>
      </c>
      <c r="E144" s="132" t="n">
        <v>3.9745</v>
      </c>
      <c r="F144" s="132" t="n">
        <v>0.17</v>
      </c>
      <c r="G144" s="132" t="n">
        <v>-0.0775</v>
      </c>
      <c r="H144" s="132" t="n">
        <v>0.0025</v>
      </c>
      <c r="I144" s="132" t="n">
        <v>0.0025</v>
      </c>
      <c r="J144" s="132" t="n">
        <v>0.0025</v>
      </c>
      <c r="K144" s="132" t="n">
        <v>0.0225</v>
      </c>
      <c r="L144" s="0" t="n">
        <v>-0.01</v>
      </c>
      <c r="M144" s="133" t="n">
        <v>0.43</v>
      </c>
      <c r="N144" s="0" t="n">
        <v>0</v>
      </c>
      <c r="O144" s="134" t="n">
        <v>0.36</v>
      </c>
      <c r="P144" s="134" t="n">
        <v>0.005</v>
      </c>
    </row>
    <row r="145" customFormat="false" ht="12.75" hidden="false" customHeight="false" outlineLevel="0" collapsed="false">
      <c r="A145" s="133"/>
      <c r="B145" s="133"/>
      <c r="C145" s="131" t="e">
        <f aca="false">NextMonth(C144)</f>
        <v>#VALUE!</v>
      </c>
      <c r="D145" s="132" t="n">
        <v>0.0608924711555576</v>
      </c>
      <c r="E145" s="132" t="n">
        <v>3.9895</v>
      </c>
      <c r="F145" s="132" t="n">
        <v>0.17</v>
      </c>
      <c r="G145" s="132" t="n">
        <v>-0.0775</v>
      </c>
      <c r="H145" s="132" t="n">
        <v>0.0025</v>
      </c>
      <c r="I145" s="132" t="n">
        <v>0.0025</v>
      </c>
      <c r="J145" s="132" t="n">
        <v>0.0025</v>
      </c>
      <c r="K145" s="132" t="n">
        <v>0.0125</v>
      </c>
      <c r="L145" s="0" t="n">
        <v>-0.015</v>
      </c>
      <c r="M145" s="133" t="n">
        <v>0.43</v>
      </c>
      <c r="N145" s="0" t="n">
        <v>0</v>
      </c>
      <c r="O145" s="134" t="n">
        <v>0.4</v>
      </c>
      <c r="P145" s="134" t="n">
        <v>0.005</v>
      </c>
    </row>
    <row r="146" customFormat="false" ht="12.75" hidden="false" customHeight="false" outlineLevel="0" collapsed="false">
      <c r="A146" s="133"/>
      <c r="B146" s="133"/>
      <c r="C146" s="131" t="e">
        <f aca="false">NextMonth(C145)</f>
        <v>#VALUE!</v>
      </c>
      <c r="D146" s="132" t="n">
        <v>0.0609347647506775</v>
      </c>
      <c r="E146" s="132" t="n">
        <v>4.1345</v>
      </c>
      <c r="F146" s="132" t="n">
        <v>0.17</v>
      </c>
      <c r="G146" s="132" t="n">
        <v>-0.0775</v>
      </c>
      <c r="H146" s="132" t="n">
        <v>0.0025</v>
      </c>
      <c r="I146" s="132" t="n">
        <v>0.0025</v>
      </c>
      <c r="J146" s="132" t="n">
        <v>0.0025</v>
      </c>
      <c r="K146" s="132" t="n">
        <v>-0.0225</v>
      </c>
      <c r="L146" s="0" t="n">
        <v>-0.02</v>
      </c>
      <c r="M146" s="133" t="n">
        <v>0.35</v>
      </c>
      <c r="N146" s="0" t="n">
        <v>0</v>
      </c>
      <c r="O146" s="134" t="n">
        <v>0.65</v>
      </c>
      <c r="P146" s="134" t="n">
        <v>0.05</v>
      </c>
    </row>
    <row r="147" customFormat="false" ht="12.75" hidden="false" customHeight="false" outlineLevel="0" collapsed="false">
      <c r="A147" s="133"/>
      <c r="B147" s="133"/>
      <c r="C147" s="131" t="e">
        <f aca="false">NextMonth(C146)</f>
        <v>#VALUE!</v>
      </c>
      <c r="D147" s="132" t="n">
        <v>0.0609756940368436</v>
      </c>
      <c r="E147" s="132" t="n">
        <v>4.2695</v>
      </c>
      <c r="F147" s="132" t="n">
        <v>0.17</v>
      </c>
      <c r="G147" s="132" t="n">
        <v>-0.0775</v>
      </c>
      <c r="H147" s="132" t="n">
        <v>0.0025</v>
      </c>
      <c r="I147" s="132" t="n">
        <v>0.0025</v>
      </c>
      <c r="J147" s="132" t="n">
        <v>0.0025</v>
      </c>
      <c r="K147" s="132" t="n">
        <v>-0.045</v>
      </c>
      <c r="L147" s="0" t="n">
        <v>-0.025</v>
      </c>
      <c r="M147" s="133" t="n">
        <v>0.35</v>
      </c>
      <c r="N147" s="0" t="n">
        <v>0</v>
      </c>
      <c r="O147" s="134" t="n">
        <v>0.98</v>
      </c>
      <c r="P147" s="134" t="n">
        <v>0.225</v>
      </c>
    </row>
    <row r="148" customFormat="false" ht="12.75" hidden="false" customHeight="false" outlineLevel="0" collapsed="false">
      <c r="A148" s="133"/>
      <c r="B148" s="133"/>
      <c r="C148" s="131" t="e">
        <f aca="false">NextMonth(C147)</f>
        <v>#VALUE!</v>
      </c>
      <c r="D148" s="132" t="n">
        <v>0.0610179876331327</v>
      </c>
      <c r="E148" s="132" t="n">
        <v>4.317</v>
      </c>
      <c r="F148" s="132" t="n">
        <v>0.17</v>
      </c>
      <c r="G148" s="132" t="n">
        <v>-0.0775</v>
      </c>
      <c r="H148" s="132" t="n">
        <v>0.0025</v>
      </c>
      <c r="I148" s="132" t="n">
        <v>0.0025</v>
      </c>
      <c r="J148" s="132" t="n">
        <v>0.0025</v>
      </c>
      <c r="K148" s="132" t="n">
        <v>-0.0475</v>
      </c>
      <c r="L148" s="0" t="n">
        <v>-0.025</v>
      </c>
      <c r="M148" s="133" t="n">
        <v>0.35</v>
      </c>
      <c r="N148" s="0" t="n">
        <v>0</v>
      </c>
      <c r="O148" s="134" t="n">
        <v>1.6</v>
      </c>
      <c r="P148" s="134" t="n">
        <v>0.35</v>
      </c>
    </row>
    <row r="149" customFormat="false" ht="12.75" hidden="false" customHeight="false" outlineLevel="0" collapsed="false">
      <c r="A149" s="133"/>
      <c r="B149" s="133"/>
      <c r="C149" s="131" t="e">
        <f aca="false">NextMonth(C148)</f>
        <v>#VALUE!</v>
      </c>
      <c r="D149" s="132" t="n">
        <v>0.0610602812300161</v>
      </c>
      <c r="E149" s="132" t="n">
        <v>4.236</v>
      </c>
      <c r="F149" s="132" t="n">
        <v>0.17</v>
      </c>
      <c r="G149" s="132" t="n">
        <v>-0.0775</v>
      </c>
      <c r="H149" s="132" t="n">
        <v>0.0025</v>
      </c>
      <c r="I149" s="132" t="n">
        <v>0.0025</v>
      </c>
      <c r="J149" s="132" t="n">
        <v>0.0025</v>
      </c>
      <c r="K149" s="132" t="n">
        <v>-0.03</v>
      </c>
      <c r="L149" s="0" t="n">
        <v>-0.025</v>
      </c>
      <c r="M149" s="133" t="n">
        <v>0.35</v>
      </c>
      <c r="N149" s="0" t="n">
        <v>0</v>
      </c>
      <c r="O149" s="134" t="n">
        <v>1.6</v>
      </c>
      <c r="P149" s="134" t="n">
        <v>0.35</v>
      </c>
    </row>
    <row r="150" customFormat="false" ht="12.75" hidden="false" customHeight="false" outlineLevel="0" collapsed="false">
      <c r="A150" s="133"/>
      <c r="B150" s="133"/>
      <c r="C150" s="131" t="e">
        <f aca="false">NextMonth(C149)</f>
        <v>#VALUE!</v>
      </c>
      <c r="D150" s="132" t="n">
        <v>0.0610984818986791</v>
      </c>
      <c r="E150" s="132" t="n">
        <v>4.136</v>
      </c>
      <c r="F150" s="132" t="n">
        <v>0.17</v>
      </c>
      <c r="G150" s="132" t="n">
        <v>-0.0775</v>
      </c>
      <c r="H150" s="132" t="n">
        <v>0.0025</v>
      </c>
      <c r="I150" s="132" t="n">
        <v>0.0025</v>
      </c>
      <c r="J150" s="132" t="n">
        <v>0.0025</v>
      </c>
      <c r="K150" s="132" t="n">
        <v>-0.0175</v>
      </c>
      <c r="L150" s="0" t="n">
        <v>-0.02</v>
      </c>
      <c r="M150" s="133" t="n">
        <v>0.35</v>
      </c>
      <c r="N150" s="0" t="n">
        <v>0</v>
      </c>
      <c r="O150" s="134" t="n">
        <v>0.64</v>
      </c>
      <c r="P150" s="134" t="n">
        <v>0.1</v>
      </c>
    </row>
    <row r="151" customFormat="false" ht="12.75" hidden="false" customHeight="false" outlineLevel="0" collapsed="false">
      <c r="A151" s="133"/>
      <c r="B151" s="133"/>
      <c r="C151" s="131" t="e">
        <f aca="false">NextMonth(C150)</f>
        <v>#VALUE!</v>
      </c>
      <c r="D151" s="132" t="n">
        <v>0.0611407754966931</v>
      </c>
      <c r="E151" s="132" t="n">
        <v>3.954</v>
      </c>
      <c r="F151" s="132" t="n">
        <v>0.17</v>
      </c>
      <c r="G151" s="132" t="n">
        <v>-0.0775</v>
      </c>
      <c r="H151" s="132" t="n">
        <v>0.0025</v>
      </c>
      <c r="I151" s="132" t="n">
        <v>0.0025</v>
      </c>
      <c r="J151" s="132" t="n">
        <v>0.0025</v>
      </c>
      <c r="K151" s="132" t="n">
        <v>0.02</v>
      </c>
      <c r="L151" s="0" t="n">
        <v>-0.015</v>
      </c>
      <c r="M151" s="133" t="n">
        <v>0.43</v>
      </c>
      <c r="N151" s="0" t="n">
        <v>0</v>
      </c>
      <c r="O151" s="134" t="n">
        <v>0.38</v>
      </c>
      <c r="P151" s="134" t="n">
        <v>0.01</v>
      </c>
    </row>
    <row r="152" customFormat="false" ht="12.75" hidden="false" customHeight="false" outlineLevel="0" collapsed="false">
      <c r="A152" s="133"/>
      <c r="B152" s="133"/>
      <c r="C152" s="131" t="e">
        <f aca="false">NextMonth(C151)</f>
        <v>#VALUE!</v>
      </c>
      <c r="D152" s="132" t="n">
        <v>0.0611817047856591</v>
      </c>
      <c r="E152" s="132" t="n">
        <v>3.957</v>
      </c>
      <c r="F152" s="132" t="n">
        <v>0.17</v>
      </c>
      <c r="G152" s="132" t="n">
        <v>-0.0775</v>
      </c>
      <c r="H152" s="132" t="n">
        <v>0.0025</v>
      </c>
      <c r="I152" s="132" t="n">
        <v>0.0025</v>
      </c>
      <c r="J152" s="132" t="n">
        <v>0.0025</v>
      </c>
      <c r="K152" s="132" t="n">
        <v>0.02</v>
      </c>
      <c r="L152" s="0" t="n">
        <v>-0.015</v>
      </c>
      <c r="M152" s="133" t="n">
        <v>0.43</v>
      </c>
      <c r="N152" s="0" t="n">
        <v>0</v>
      </c>
      <c r="O152" s="134" t="n">
        <v>0.33</v>
      </c>
      <c r="P152" s="134" t="n">
        <v>0.01</v>
      </c>
    </row>
    <row r="153" customFormat="false" ht="12.75" hidden="false" customHeight="false" outlineLevel="0" collapsed="false">
      <c r="A153" s="133"/>
      <c r="B153" s="133"/>
      <c r="C153" s="131" t="e">
        <f aca="false">NextMonth(C152)</f>
        <v>#VALUE!</v>
      </c>
      <c r="D153" s="132" t="n">
        <v>0.0612239983848415</v>
      </c>
      <c r="E153" s="132" t="n">
        <v>3.997</v>
      </c>
      <c r="F153" s="132" t="n">
        <v>0.17</v>
      </c>
      <c r="G153" s="132" t="n">
        <v>-0.0775</v>
      </c>
      <c r="H153" s="132" t="n">
        <v>0.0025</v>
      </c>
      <c r="I153" s="132" t="n">
        <v>0.0025</v>
      </c>
      <c r="J153" s="132" t="n">
        <v>0.0025</v>
      </c>
      <c r="K153" s="132" t="n">
        <v>0.025</v>
      </c>
      <c r="L153" s="0" t="n">
        <v>-0.015</v>
      </c>
      <c r="M153" s="133" t="n">
        <v>0.43</v>
      </c>
      <c r="N153" s="0" t="n">
        <v>0</v>
      </c>
      <c r="O153" s="134" t="n">
        <v>0.37</v>
      </c>
      <c r="P153" s="134" t="n">
        <v>0.02</v>
      </c>
    </row>
    <row r="154" customFormat="false" ht="12.75" hidden="false" customHeight="false" outlineLevel="0" collapsed="false">
      <c r="A154" s="133"/>
      <c r="B154" s="133"/>
      <c r="C154" s="131" t="e">
        <f aca="false">NextMonth(C153)</f>
        <v>#VALUE!</v>
      </c>
      <c r="D154" s="132" t="n">
        <v>0.0612649276749386</v>
      </c>
      <c r="E154" s="132" t="n">
        <v>4.037</v>
      </c>
      <c r="F154" s="132" t="n">
        <v>0.17</v>
      </c>
      <c r="G154" s="132" t="n">
        <v>-0.0775</v>
      </c>
      <c r="H154" s="132" t="n">
        <v>0.0025</v>
      </c>
      <c r="I154" s="132" t="n">
        <v>0.0025</v>
      </c>
      <c r="J154" s="132" t="n">
        <v>0.0025</v>
      </c>
      <c r="K154" s="132" t="n">
        <v>0.0275</v>
      </c>
      <c r="L154" s="0" t="n">
        <v>-0.01</v>
      </c>
      <c r="M154" s="133" t="n">
        <v>0.43</v>
      </c>
      <c r="N154" s="0" t="n">
        <v>0</v>
      </c>
      <c r="O154" s="134" t="n">
        <v>0.41</v>
      </c>
      <c r="P154" s="134" t="n">
        <v>0.02</v>
      </c>
    </row>
    <row r="155" customFormat="false" ht="12.75" hidden="false" customHeight="false" outlineLevel="0" collapsed="false">
      <c r="A155" s="133"/>
      <c r="B155" s="133"/>
      <c r="C155" s="131" t="e">
        <f aca="false">NextMonth(C154)</f>
        <v>#VALUE!</v>
      </c>
      <c r="D155" s="132" t="n">
        <v>0.0613072212752903</v>
      </c>
      <c r="E155" s="132" t="n">
        <v>4.087</v>
      </c>
      <c r="F155" s="132" t="n">
        <v>0.17</v>
      </c>
      <c r="G155" s="132" t="n">
        <v>-0.0775</v>
      </c>
      <c r="H155" s="132" t="n">
        <v>0.0025</v>
      </c>
      <c r="I155" s="132" t="n">
        <v>0.0025</v>
      </c>
      <c r="J155" s="132" t="n">
        <v>0.0025</v>
      </c>
      <c r="K155" s="132" t="n">
        <v>0.03</v>
      </c>
      <c r="L155" s="0" t="n">
        <v>-0.01</v>
      </c>
      <c r="M155" s="133" t="n">
        <v>0.43</v>
      </c>
      <c r="N155" s="0" t="n">
        <v>0</v>
      </c>
      <c r="O155" s="134" t="n">
        <v>0.41</v>
      </c>
      <c r="P155" s="134" t="n">
        <v>0.005</v>
      </c>
    </row>
    <row r="156" customFormat="false" ht="12.75" hidden="false" customHeight="false" outlineLevel="0" collapsed="false">
      <c r="A156" s="133"/>
      <c r="B156" s="133"/>
      <c r="C156" s="131" t="e">
        <f aca="false">NextMonth(C155)</f>
        <v>#VALUE!</v>
      </c>
      <c r="D156" s="132" t="n">
        <v>0.0613495148762353</v>
      </c>
      <c r="E156" s="132" t="n">
        <v>4.072</v>
      </c>
      <c r="F156" s="132" t="n">
        <v>0.17</v>
      </c>
      <c r="G156" s="132" t="n">
        <v>-0.0775</v>
      </c>
      <c r="H156" s="132" t="n">
        <v>0.0025</v>
      </c>
      <c r="I156" s="132" t="n">
        <v>0.0025</v>
      </c>
      <c r="J156" s="132" t="n">
        <v>0.0025</v>
      </c>
      <c r="K156" s="132" t="n">
        <v>0.0225</v>
      </c>
      <c r="L156" s="0" t="n">
        <v>-0.01</v>
      </c>
      <c r="M156" s="133" t="n">
        <v>0.43</v>
      </c>
      <c r="N156" s="0" t="n">
        <v>0</v>
      </c>
      <c r="O156" s="134" t="n">
        <v>0.36</v>
      </c>
      <c r="P156" s="134" t="n">
        <v>0.005</v>
      </c>
    </row>
    <row r="157" customFormat="false" ht="12.75" hidden="false" customHeight="false" outlineLevel="0" collapsed="false">
      <c r="A157" s="133"/>
      <c r="B157" s="133"/>
      <c r="C157" s="131" t="e">
        <f aca="false">NextMonth(C156)</f>
        <v>#VALUE!</v>
      </c>
      <c r="D157" s="132" t="n">
        <v>0.0613904441680386</v>
      </c>
      <c r="E157" s="132" t="n">
        <v>4.087</v>
      </c>
      <c r="F157" s="132" t="n">
        <v>0.17</v>
      </c>
      <c r="G157" s="132" t="n">
        <v>-0.0775</v>
      </c>
      <c r="H157" s="132" t="n">
        <v>0.0025</v>
      </c>
      <c r="I157" s="132" t="n">
        <v>0.0025</v>
      </c>
      <c r="J157" s="132" t="n">
        <v>0.0025</v>
      </c>
      <c r="K157" s="132" t="n">
        <v>0.0125</v>
      </c>
      <c r="L157" s="0" t="n">
        <v>-0.015</v>
      </c>
      <c r="M157" s="133" t="n">
        <v>0.43</v>
      </c>
      <c r="N157" s="0" t="n">
        <v>0</v>
      </c>
      <c r="O157" s="134" t="n">
        <v>0.4</v>
      </c>
      <c r="P157" s="134" t="n">
        <v>0.005</v>
      </c>
    </row>
    <row r="158" customFormat="false" ht="12.75" hidden="false" customHeight="false" outlineLevel="0" collapsed="false">
      <c r="A158" s="133"/>
      <c r="B158" s="133"/>
      <c r="C158" s="131" t="e">
        <f aca="false">NextMonth(C157)</f>
        <v>#VALUE!</v>
      </c>
      <c r="D158" s="132" t="n">
        <v>0.0614327377701525</v>
      </c>
      <c r="E158" s="132" t="n">
        <v>4.232</v>
      </c>
      <c r="F158" s="132" t="n">
        <v>0.17</v>
      </c>
      <c r="G158" s="132" t="n">
        <v>-0.0775</v>
      </c>
      <c r="H158" s="132" t="n">
        <v>0.0025</v>
      </c>
      <c r="I158" s="132" t="n">
        <v>0.0025</v>
      </c>
      <c r="J158" s="132" t="n">
        <v>0.0025</v>
      </c>
      <c r="K158" s="132" t="n">
        <v>-0.0225</v>
      </c>
      <c r="L158" s="0" t="n">
        <v>-0.02</v>
      </c>
      <c r="M158" s="133" t="n">
        <v>0.35</v>
      </c>
      <c r="N158" s="0" t="n">
        <v>0</v>
      </c>
      <c r="O158" s="134" t="n">
        <v>0.65</v>
      </c>
      <c r="P158" s="134" t="n">
        <v>0.05</v>
      </c>
    </row>
    <row r="159" customFormat="false" ht="12.75" hidden="false" customHeight="false" outlineLevel="0" collapsed="false">
      <c r="A159" s="133"/>
      <c r="B159" s="133"/>
      <c r="C159" s="131" t="e">
        <f aca="false">NextMonth(C158)</f>
        <v>#VALUE!</v>
      </c>
      <c r="D159" s="132" t="n">
        <v>0.0614736670630864</v>
      </c>
      <c r="E159" s="132" t="n">
        <v>4.367</v>
      </c>
      <c r="F159" s="132" t="n">
        <v>0.17</v>
      </c>
      <c r="G159" s="132" t="n">
        <v>-0.0775</v>
      </c>
      <c r="H159" s="132" t="n">
        <v>0.0025</v>
      </c>
      <c r="I159" s="132" t="n">
        <v>0.0025</v>
      </c>
      <c r="J159" s="132" t="n">
        <v>0.0025</v>
      </c>
      <c r="K159" s="132" t="n">
        <v>-0.045</v>
      </c>
      <c r="L159" s="0" t="n">
        <v>-0.025</v>
      </c>
      <c r="M159" s="133" t="n">
        <v>0.35</v>
      </c>
      <c r="N159" s="0" t="n">
        <v>0</v>
      </c>
      <c r="O159" s="134" t="n">
        <v>0.98</v>
      </c>
      <c r="P159" s="134" t="n">
        <v>0.225</v>
      </c>
    </row>
    <row r="160" customFormat="false" ht="12.75" hidden="false" customHeight="false" outlineLevel="0" collapsed="false">
      <c r="A160" s="133"/>
      <c r="B160" s="133"/>
      <c r="C160" s="131" t="e">
        <f aca="false">NextMonth(C159)</f>
        <v>#VALUE!</v>
      </c>
      <c r="D160" s="132" t="n">
        <v>0.0615159606663696</v>
      </c>
      <c r="E160" s="132" t="n">
        <v>4.4145</v>
      </c>
      <c r="F160" s="132" t="n">
        <v>0.17</v>
      </c>
      <c r="G160" s="132" t="n">
        <v>-0.0775</v>
      </c>
      <c r="H160" s="132" t="n">
        <v>0.0025</v>
      </c>
      <c r="I160" s="132" t="n">
        <v>0.0025</v>
      </c>
      <c r="J160" s="132" t="n">
        <v>0.0025</v>
      </c>
      <c r="K160" s="132" t="n">
        <v>-0.0475</v>
      </c>
      <c r="L160" s="0" t="n">
        <v>-0.025</v>
      </c>
      <c r="M160" s="133" t="n">
        <v>0.35</v>
      </c>
      <c r="N160" s="0" t="n">
        <v>0</v>
      </c>
      <c r="O160" s="134" t="n">
        <v>1.6</v>
      </c>
      <c r="P160" s="134" t="n">
        <v>0.35</v>
      </c>
    </row>
    <row r="161" customFormat="false" ht="12.75" hidden="false" customHeight="false" outlineLevel="0" collapsed="false">
      <c r="A161" s="133"/>
      <c r="B161" s="133"/>
      <c r="C161" s="131" t="e">
        <f aca="false">NextMonth(C160)</f>
        <v>#VALUE!</v>
      </c>
      <c r="D161" s="132" t="n">
        <v>0.061558254270246</v>
      </c>
      <c r="E161" s="132" t="n">
        <v>4.3335</v>
      </c>
      <c r="F161" s="132" t="n">
        <v>0.17</v>
      </c>
      <c r="G161" s="132" t="n">
        <v>-0.0775</v>
      </c>
      <c r="H161" s="132" t="n">
        <v>0.0025</v>
      </c>
      <c r="I161" s="132" t="n">
        <v>0.0025</v>
      </c>
      <c r="J161" s="132" t="n">
        <v>0.0025</v>
      </c>
      <c r="K161" s="132" t="n">
        <v>-0.03</v>
      </c>
      <c r="L161" s="0" t="n">
        <v>-0.025</v>
      </c>
      <c r="M161" s="133" t="n">
        <v>0.35</v>
      </c>
      <c r="N161" s="0" t="n">
        <v>0</v>
      </c>
      <c r="O161" s="134" t="n">
        <v>1.6</v>
      </c>
      <c r="P161" s="134" t="n">
        <v>0.35</v>
      </c>
    </row>
    <row r="162" customFormat="false" ht="12.75" hidden="false" customHeight="false" outlineLevel="0" collapsed="false">
      <c r="A162" s="133"/>
      <c r="B162" s="133"/>
      <c r="C162" s="131" t="e">
        <f aca="false">NextMonth(C161)</f>
        <v>#VALUE!</v>
      </c>
      <c r="D162" s="132" t="n">
        <v>0.0615964549452253</v>
      </c>
      <c r="E162" s="132" t="n">
        <v>4.2335</v>
      </c>
      <c r="F162" s="132" t="n">
        <v>0.17</v>
      </c>
      <c r="G162" s="132" t="n">
        <v>-0.0775</v>
      </c>
      <c r="H162" s="132" t="n">
        <v>0.0025</v>
      </c>
      <c r="I162" s="132" t="n">
        <v>0.0025</v>
      </c>
      <c r="J162" s="132" t="n">
        <v>0.0025</v>
      </c>
      <c r="K162" s="132" t="n">
        <v>-0.0175</v>
      </c>
      <c r="L162" s="0" t="n">
        <v>-0.02</v>
      </c>
      <c r="M162" s="133" t="n">
        <v>0.35</v>
      </c>
      <c r="N162" s="0" t="n">
        <v>0</v>
      </c>
      <c r="O162" s="134" t="n">
        <v>0.64</v>
      </c>
      <c r="P162" s="134" t="n">
        <v>0.1</v>
      </c>
    </row>
    <row r="163" customFormat="false" ht="12.75" hidden="false" customHeight="false" outlineLevel="0" collapsed="false">
      <c r="A163" s="133"/>
      <c r="B163" s="133"/>
      <c r="C163" s="131" t="e">
        <f aca="false">NextMonth(C162)</f>
        <v>#VALUE!</v>
      </c>
      <c r="D163" s="132" t="n">
        <v>0.0616387485502328</v>
      </c>
      <c r="E163" s="132" t="n">
        <v>4.0515</v>
      </c>
      <c r="F163" s="132" t="n">
        <v>0.17</v>
      </c>
      <c r="G163" s="132" t="n">
        <v>-0.0775</v>
      </c>
      <c r="H163" s="132" t="n">
        <v>0.0025</v>
      </c>
      <c r="I163" s="132" t="n">
        <v>0.0025</v>
      </c>
      <c r="J163" s="132" t="n">
        <v>0.0025</v>
      </c>
      <c r="K163" s="132" t="n">
        <v>0.02</v>
      </c>
      <c r="L163" s="0" t="n">
        <v>-0.015</v>
      </c>
      <c r="M163" s="133" t="n">
        <v>0.43</v>
      </c>
      <c r="N163" s="0" t="n">
        <v>0</v>
      </c>
      <c r="O163" s="134" t="n">
        <v>0.38</v>
      </c>
      <c r="P163" s="134" t="n">
        <v>0.01</v>
      </c>
    </row>
    <row r="164" customFormat="false" ht="12.75" hidden="false" customHeight="false" outlineLevel="0" collapsed="false">
      <c r="A164" s="133"/>
      <c r="B164" s="133"/>
      <c r="C164" s="131" t="e">
        <f aca="false">NextMonth(C163)</f>
        <v>#VALUE!</v>
      </c>
      <c r="D164" s="132" t="n">
        <v>0.0616796778459658</v>
      </c>
      <c r="E164" s="132" t="n">
        <v>4.0545</v>
      </c>
      <c r="F164" s="132" t="n">
        <v>0.17</v>
      </c>
      <c r="G164" s="132" t="n">
        <v>-0.0775</v>
      </c>
      <c r="H164" s="132" t="n">
        <v>0.0025</v>
      </c>
      <c r="I164" s="132" t="n">
        <v>0.0025</v>
      </c>
      <c r="J164" s="132" t="n">
        <v>0.0025</v>
      </c>
      <c r="K164" s="132" t="n">
        <v>0.02</v>
      </c>
      <c r="L164" s="0" t="n">
        <v>-0.015</v>
      </c>
      <c r="M164" s="133" t="n">
        <v>0.43</v>
      </c>
      <c r="N164" s="0" t="n">
        <v>0</v>
      </c>
      <c r="O164" s="134" t="n">
        <v>0.33</v>
      </c>
      <c r="P164" s="134" t="n">
        <v>0.01</v>
      </c>
    </row>
    <row r="165" customFormat="false" ht="12.75" hidden="false" customHeight="false" outlineLevel="0" collapsed="false">
      <c r="A165" s="133"/>
      <c r="B165" s="133"/>
      <c r="C165" s="131" t="e">
        <f aca="false">NextMonth(C164)</f>
        <v>#VALUE!</v>
      </c>
      <c r="D165" s="132" t="n">
        <v>0.0617219714521418</v>
      </c>
      <c r="E165" s="132" t="n">
        <v>4.0945</v>
      </c>
      <c r="F165" s="132" t="n">
        <v>0.17</v>
      </c>
      <c r="G165" s="132" t="n">
        <v>-0.0775</v>
      </c>
      <c r="H165" s="132" t="n">
        <v>0.0025</v>
      </c>
      <c r="I165" s="132" t="n">
        <v>0.0025</v>
      </c>
      <c r="J165" s="132" t="n">
        <v>0.0025</v>
      </c>
      <c r="K165" s="132" t="n">
        <v>0.025</v>
      </c>
      <c r="L165" s="0" t="n">
        <v>-0.015</v>
      </c>
      <c r="M165" s="133" t="n">
        <v>0.43</v>
      </c>
      <c r="N165" s="0" t="n">
        <v>0</v>
      </c>
      <c r="O165" s="134" t="n">
        <v>0.37</v>
      </c>
      <c r="P165" s="134" t="n">
        <v>0.02</v>
      </c>
    </row>
    <row r="166" customFormat="false" ht="12.75" hidden="false" customHeight="false" outlineLevel="0" collapsed="false">
      <c r="A166" s="133"/>
      <c r="B166" s="133"/>
      <c r="C166" s="131" t="e">
        <f aca="false">NextMonth(C165)</f>
        <v>#VALUE!</v>
      </c>
      <c r="D166" s="132" t="n">
        <v>0.0617629007490059</v>
      </c>
      <c r="E166" s="132" t="n">
        <v>4.1345</v>
      </c>
      <c r="F166" s="132" t="n">
        <v>0.17</v>
      </c>
      <c r="G166" s="132" t="n">
        <v>-0.0775</v>
      </c>
      <c r="H166" s="132" t="n">
        <v>0.0025</v>
      </c>
      <c r="I166" s="132" t="n">
        <v>0.0025</v>
      </c>
      <c r="J166" s="132" t="n">
        <v>0.0025</v>
      </c>
      <c r="K166" s="132" t="n">
        <v>0.0275</v>
      </c>
      <c r="L166" s="0" t="n">
        <v>-0.01</v>
      </c>
      <c r="M166" s="133" t="n">
        <v>0.43</v>
      </c>
      <c r="N166" s="0" t="n">
        <v>0</v>
      </c>
      <c r="O166" s="134" t="n">
        <v>0.41</v>
      </c>
      <c r="P166" s="134" t="n">
        <v>0.02</v>
      </c>
    </row>
    <row r="167" customFormat="false" ht="12.75" hidden="false" customHeight="false" outlineLevel="0" collapsed="false">
      <c r="A167" s="133"/>
      <c r="B167" s="133"/>
      <c r="C167" s="131" t="e">
        <f aca="false">NextMonth(C166)</f>
        <v>#VALUE!</v>
      </c>
      <c r="D167" s="132" t="n">
        <v>0.0618051943563498</v>
      </c>
      <c r="E167" s="132" t="n">
        <v>4.1845</v>
      </c>
      <c r="F167" s="132" t="n">
        <v>0.17</v>
      </c>
      <c r="G167" s="132" t="n">
        <v>-0.0775</v>
      </c>
      <c r="H167" s="132" t="n">
        <v>0.0025</v>
      </c>
      <c r="I167" s="132" t="n">
        <v>0.0025</v>
      </c>
      <c r="J167" s="132" t="n">
        <v>0.0025</v>
      </c>
      <c r="K167" s="132" t="n">
        <v>0.03</v>
      </c>
      <c r="L167" s="0" t="n">
        <v>-0.01</v>
      </c>
      <c r="M167" s="133" t="n">
        <v>0.43</v>
      </c>
      <c r="N167" s="0" t="n">
        <v>0</v>
      </c>
      <c r="O167" s="134" t="n">
        <v>0.41</v>
      </c>
      <c r="P167" s="134" t="n">
        <v>0.005</v>
      </c>
    </row>
    <row r="168" customFormat="false" ht="12.75" hidden="false" customHeight="false" outlineLevel="0" collapsed="false">
      <c r="A168" s="133"/>
      <c r="B168" s="133"/>
      <c r="C168" s="131" t="e">
        <f aca="false">NextMonth(C167)</f>
        <v>#VALUE!</v>
      </c>
      <c r="D168" s="132" t="n">
        <v>0.0618474879642878</v>
      </c>
      <c r="E168" s="132" t="n">
        <v>4.1695</v>
      </c>
      <c r="F168" s="132" t="n">
        <v>0.17</v>
      </c>
      <c r="G168" s="132" t="n">
        <v>-0.0775</v>
      </c>
      <c r="H168" s="132" t="n">
        <v>0.0025</v>
      </c>
      <c r="I168" s="132" t="n">
        <v>0.0025</v>
      </c>
      <c r="J168" s="132" t="n">
        <v>0.0025</v>
      </c>
      <c r="K168" s="132" t="n">
        <v>0.0225</v>
      </c>
      <c r="L168" s="0" t="n">
        <v>-0.01</v>
      </c>
      <c r="M168" s="133" t="n">
        <v>0.43</v>
      </c>
      <c r="N168" s="0" t="n">
        <v>0</v>
      </c>
      <c r="O168" s="134" t="n">
        <v>0.36</v>
      </c>
      <c r="P168" s="134" t="n">
        <v>0.005</v>
      </c>
    </row>
    <row r="169" customFormat="false" ht="12.75" hidden="false" customHeight="false" outlineLevel="0" collapsed="false">
      <c r="A169" s="133"/>
      <c r="B169" s="133"/>
      <c r="C169" s="131" t="e">
        <f aca="false">NextMonth(C168)</f>
        <v>#VALUE!</v>
      </c>
      <c r="D169" s="132" t="n">
        <v>0.0618884172628573</v>
      </c>
      <c r="E169" s="132" t="n">
        <v>4.1845</v>
      </c>
      <c r="F169" s="132" t="n">
        <v>0.17</v>
      </c>
      <c r="G169" s="132" t="n">
        <v>-0.0775</v>
      </c>
      <c r="H169" s="132" t="n">
        <v>0.0025</v>
      </c>
      <c r="I169" s="132" t="n">
        <v>0.0025</v>
      </c>
      <c r="J169" s="132" t="n">
        <v>0.0025</v>
      </c>
      <c r="K169" s="132" t="n">
        <v>0.0125</v>
      </c>
      <c r="L169" s="0" t="n">
        <v>-0.015</v>
      </c>
      <c r="M169" s="133" t="n">
        <v>0.43</v>
      </c>
      <c r="N169" s="0" t="n">
        <v>0</v>
      </c>
      <c r="O169" s="134" t="n">
        <v>0.4</v>
      </c>
      <c r="P169" s="134" t="n">
        <v>0.005</v>
      </c>
    </row>
    <row r="170" customFormat="false" ht="12.75" hidden="false" customHeight="false" outlineLevel="0" collapsed="false">
      <c r="A170" s="133"/>
      <c r="B170" s="133"/>
      <c r="C170" s="131" t="e">
        <f aca="false">NextMonth(C169)</f>
        <v>#VALUE!</v>
      </c>
      <c r="D170" s="132" t="n">
        <v>0.0619307108719642</v>
      </c>
      <c r="E170" s="132" t="n">
        <v>4.3295</v>
      </c>
      <c r="F170" s="132" t="n">
        <v>0.17</v>
      </c>
      <c r="G170" s="132" t="n">
        <v>-0.0775</v>
      </c>
      <c r="H170" s="132" t="n">
        <v>0.0025</v>
      </c>
      <c r="I170" s="132" t="n">
        <v>0.0025</v>
      </c>
      <c r="J170" s="132" t="n">
        <v>0.0025</v>
      </c>
      <c r="K170" s="132" t="n">
        <v>-0.0225</v>
      </c>
      <c r="L170" s="0" t="n">
        <v>-0.02</v>
      </c>
      <c r="M170" s="133" t="n">
        <v>0.35</v>
      </c>
      <c r="N170" s="0" t="n">
        <v>0</v>
      </c>
      <c r="O170" s="134" t="n">
        <v>0.65</v>
      </c>
      <c r="P170" s="134" t="n">
        <v>0.05</v>
      </c>
    </row>
    <row r="171" customFormat="false" ht="12.75" hidden="false" customHeight="false" outlineLevel="0" collapsed="false">
      <c r="A171" s="133"/>
      <c r="B171" s="133"/>
      <c r="C171" s="131" t="e">
        <f aca="false">NextMonth(C170)</f>
        <v>#VALUE!</v>
      </c>
      <c r="D171" s="132" t="n">
        <v>0.0619716401716643</v>
      </c>
      <c r="E171" s="132" t="n">
        <v>4.4645</v>
      </c>
      <c r="F171" s="132" t="n">
        <v>0.17</v>
      </c>
      <c r="G171" s="132" t="n">
        <v>-0.0775</v>
      </c>
      <c r="H171" s="132" t="n">
        <v>0.0025</v>
      </c>
      <c r="I171" s="132" t="n">
        <v>0.0025</v>
      </c>
      <c r="J171" s="132" t="n">
        <v>0.0025</v>
      </c>
      <c r="K171" s="132" t="n">
        <v>-0.045</v>
      </c>
      <c r="L171" s="0" t="n">
        <v>-0.025</v>
      </c>
      <c r="M171" s="133" t="n">
        <v>0.35</v>
      </c>
      <c r="N171" s="0" t="n">
        <v>0</v>
      </c>
      <c r="O171" s="134" t="n">
        <v>0.98</v>
      </c>
      <c r="P171" s="134" t="n">
        <v>0.225</v>
      </c>
    </row>
    <row r="172" customFormat="false" ht="12.75" hidden="false" customHeight="false" outlineLevel="0" collapsed="false">
      <c r="A172" s="133"/>
      <c r="B172" s="133"/>
      <c r="C172" s="131" t="e">
        <f aca="false">NextMonth(C171)</f>
        <v>#VALUE!</v>
      </c>
      <c r="D172" s="132" t="n">
        <v>0.0620139337819388</v>
      </c>
      <c r="E172" s="132" t="n">
        <v>4.512</v>
      </c>
      <c r="F172" s="132" t="n">
        <v>0.17</v>
      </c>
      <c r="G172" s="132" t="n">
        <v>-0.0775</v>
      </c>
      <c r="H172" s="132" t="n">
        <v>0.0025</v>
      </c>
      <c r="I172" s="132" t="n">
        <v>0.0025</v>
      </c>
      <c r="J172" s="132" t="n">
        <v>0.0025</v>
      </c>
      <c r="K172" s="132" t="n">
        <v>-0.0475</v>
      </c>
      <c r="L172" s="0" t="n">
        <v>-0.025</v>
      </c>
      <c r="M172" s="133" t="n">
        <v>0.35</v>
      </c>
      <c r="N172" s="0" t="n">
        <v>0</v>
      </c>
      <c r="O172" s="134" t="n">
        <v>1.6</v>
      </c>
      <c r="P172" s="134" t="n">
        <v>0.35</v>
      </c>
    </row>
    <row r="173" customFormat="false" ht="12.75" hidden="false" customHeight="false" outlineLevel="0" collapsed="false">
      <c r="A173" s="133"/>
      <c r="B173" s="133"/>
      <c r="C173" s="131" t="e">
        <f aca="false">NextMonth(C172)</f>
        <v>#VALUE!</v>
      </c>
      <c r="D173" s="132" t="n">
        <v>0.0620562273928078</v>
      </c>
      <c r="E173" s="132" t="n">
        <v>4.431</v>
      </c>
      <c r="F173" s="132" t="n">
        <v>0.17</v>
      </c>
      <c r="G173" s="132" t="n">
        <v>-0.0775</v>
      </c>
      <c r="H173" s="132" t="n">
        <v>0.0025</v>
      </c>
      <c r="I173" s="132" t="n">
        <v>0.0025</v>
      </c>
      <c r="J173" s="132" t="n">
        <v>0.0025</v>
      </c>
      <c r="K173" s="132" t="n">
        <v>-0.03</v>
      </c>
      <c r="L173" s="0" t="n">
        <v>-0.025</v>
      </c>
      <c r="M173" s="133" t="n">
        <v>0.35</v>
      </c>
      <c r="N173" s="0" t="n">
        <v>0</v>
      </c>
      <c r="O173" s="134" t="n">
        <v>1.6</v>
      </c>
      <c r="P173" s="134" t="n">
        <v>0.35</v>
      </c>
    </row>
    <row r="174" customFormat="false" ht="12.75" hidden="false" customHeight="false" outlineLevel="0" collapsed="false">
      <c r="A174" s="133"/>
      <c r="B174" s="133"/>
      <c r="C174" s="131" t="e">
        <f aca="false">NextMonth(C173)</f>
        <v>#VALUE!</v>
      </c>
      <c r="D174" s="132" t="n">
        <v>0.062094428074102</v>
      </c>
      <c r="E174" s="132" t="n">
        <v>4.331</v>
      </c>
      <c r="F174" s="132" t="n">
        <v>0.17</v>
      </c>
      <c r="G174" s="132" t="n">
        <v>-0.0775</v>
      </c>
      <c r="H174" s="132" t="n">
        <v>0.0025</v>
      </c>
      <c r="I174" s="132" t="n">
        <v>0.0025</v>
      </c>
      <c r="J174" s="132" t="n">
        <v>0.0025</v>
      </c>
      <c r="K174" s="132" t="n">
        <v>-0.0175</v>
      </c>
      <c r="L174" s="0" t="n">
        <v>-0.02</v>
      </c>
      <c r="M174" s="133" t="n">
        <v>0.35</v>
      </c>
      <c r="N174" s="0" t="n">
        <v>0</v>
      </c>
      <c r="O174" s="134" t="n">
        <v>0.64</v>
      </c>
      <c r="P174" s="134" t="n">
        <v>0.1</v>
      </c>
    </row>
    <row r="175" customFormat="false" ht="12.75" hidden="false" customHeight="false" outlineLevel="0" collapsed="false">
      <c r="A175" s="133"/>
      <c r="B175" s="133"/>
      <c r="C175" s="131" t="e">
        <f aca="false">NextMonth(C174)</f>
        <v>#VALUE!</v>
      </c>
      <c r="D175" s="132" t="n">
        <v>0.0621367216861004</v>
      </c>
      <c r="E175" s="132" t="n">
        <v>4.149</v>
      </c>
      <c r="F175" s="132" t="n">
        <v>0.17</v>
      </c>
      <c r="G175" s="132" t="n">
        <v>-0.0775</v>
      </c>
      <c r="H175" s="132" t="n">
        <v>0.0025</v>
      </c>
      <c r="I175" s="132" t="n">
        <v>0.0025</v>
      </c>
      <c r="J175" s="132" t="n">
        <v>0.0025</v>
      </c>
      <c r="K175" s="132" t="n">
        <v>0.02</v>
      </c>
      <c r="L175" s="0" t="n">
        <v>-0.015</v>
      </c>
      <c r="M175" s="133" t="n">
        <v>0.43</v>
      </c>
      <c r="N175" s="0" t="n">
        <v>0</v>
      </c>
      <c r="O175" s="134" t="n">
        <v>0.38</v>
      </c>
      <c r="P175" s="134" t="n">
        <v>0.01</v>
      </c>
    </row>
    <row r="176" customFormat="false" ht="12.75" hidden="false" customHeight="false" outlineLevel="0" collapsed="false">
      <c r="A176" s="133"/>
      <c r="B176" s="133"/>
      <c r="C176" s="131" t="e">
        <f aca="false">NextMonth(C175)</f>
        <v>#VALUE!</v>
      </c>
      <c r="D176" s="132" t="n">
        <v>0.0621776509886001</v>
      </c>
      <c r="E176" s="132" t="n">
        <v>4.152</v>
      </c>
      <c r="F176" s="132" t="n">
        <v>0.17</v>
      </c>
      <c r="G176" s="132" t="n">
        <v>-0.0775</v>
      </c>
      <c r="H176" s="132" t="n">
        <v>0.0025</v>
      </c>
      <c r="I176" s="132" t="n">
        <v>0.0025</v>
      </c>
      <c r="J176" s="132" t="n">
        <v>0.0025</v>
      </c>
      <c r="K176" s="132" t="n">
        <v>0.02</v>
      </c>
      <c r="L176" s="0" t="n">
        <v>-0.015</v>
      </c>
      <c r="M176" s="133" t="n">
        <v>0.43</v>
      </c>
      <c r="N176" s="0" t="n">
        <v>0</v>
      </c>
      <c r="O176" s="134" t="n">
        <v>0.33</v>
      </c>
      <c r="P176" s="134" t="n">
        <v>0.01</v>
      </c>
    </row>
    <row r="177" customFormat="false" ht="12.75" hidden="false" customHeight="false" outlineLevel="0" collapsed="false">
      <c r="A177" s="133"/>
      <c r="B177" s="133"/>
      <c r="C177" s="131" t="e">
        <f aca="false">NextMonth(C176)</f>
        <v>#VALUE!</v>
      </c>
      <c r="D177" s="132" t="n">
        <v>0.0622199446017664</v>
      </c>
      <c r="E177" s="132" t="n">
        <v>4.192</v>
      </c>
      <c r="F177" s="132" t="n">
        <v>0.17</v>
      </c>
      <c r="G177" s="132" t="n">
        <v>-0.0775</v>
      </c>
      <c r="H177" s="132" t="n">
        <v>0.0025</v>
      </c>
      <c r="I177" s="132" t="n">
        <v>0.0025</v>
      </c>
      <c r="J177" s="132" t="n">
        <v>0.0025</v>
      </c>
      <c r="K177" s="132" t="n">
        <v>0.025</v>
      </c>
      <c r="L177" s="0" t="n">
        <v>-0.015</v>
      </c>
      <c r="M177" s="133" t="n">
        <v>0.43</v>
      </c>
      <c r="N177" s="0" t="n">
        <v>0</v>
      </c>
      <c r="O177" s="134" t="n">
        <v>0.37</v>
      </c>
      <c r="P177" s="134" t="n">
        <v>0.02</v>
      </c>
    </row>
    <row r="178" customFormat="false" ht="12.75" hidden="false" customHeight="false" outlineLevel="0" collapsed="false">
      <c r="A178" s="133"/>
      <c r="B178" s="133"/>
      <c r="C178" s="131" t="e">
        <f aca="false">NextMonth(C177)</f>
        <v>#VALUE!</v>
      </c>
      <c r="D178" s="132" t="n">
        <v>0.0622608739053967</v>
      </c>
      <c r="E178" s="132" t="n">
        <v>4.232</v>
      </c>
      <c r="F178" s="132" t="n">
        <v>0.17</v>
      </c>
      <c r="G178" s="132" t="n">
        <v>-0.0775</v>
      </c>
      <c r="H178" s="132" t="n">
        <v>0.0025</v>
      </c>
      <c r="I178" s="132" t="n">
        <v>0.0025</v>
      </c>
      <c r="J178" s="132" t="n">
        <v>0.0025</v>
      </c>
      <c r="K178" s="132" t="n">
        <v>0.0275</v>
      </c>
      <c r="L178" s="0" t="n">
        <v>-0.01</v>
      </c>
      <c r="M178" s="133" t="n">
        <v>0.43</v>
      </c>
      <c r="N178" s="0" t="n">
        <v>0</v>
      </c>
      <c r="O178" s="134" t="n">
        <v>0.41</v>
      </c>
      <c r="P178" s="134" t="n">
        <v>0.02</v>
      </c>
    </row>
    <row r="179" customFormat="false" ht="12.75" hidden="false" customHeight="false" outlineLevel="0" collapsed="false">
      <c r="A179" s="133"/>
      <c r="B179" s="133"/>
      <c r="C179" s="131" t="e">
        <f aca="false">NextMonth(C178)</f>
        <v>#VALUE!</v>
      </c>
      <c r="D179" s="132" t="n">
        <v>0.0623031675197314</v>
      </c>
      <c r="E179" s="132" t="n">
        <v>4.282</v>
      </c>
      <c r="F179" s="132" t="n">
        <v>0.17</v>
      </c>
      <c r="G179" s="132" t="n">
        <v>-0.0775</v>
      </c>
      <c r="H179" s="132" t="n">
        <v>0.0025</v>
      </c>
      <c r="I179" s="132" t="n">
        <v>0.0025</v>
      </c>
      <c r="J179" s="132" t="n">
        <v>0.0025</v>
      </c>
      <c r="K179" s="132" t="n">
        <v>0.03</v>
      </c>
      <c r="L179" s="0" t="n">
        <v>-0.01</v>
      </c>
      <c r="M179" s="133" t="n">
        <v>0.43</v>
      </c>
      <c r="N179" s="0" t="n">
        <v>0</v>
      </c>
      <c r="O179" s="134" t="n">
        <v>0.41</v>
      </c>
      <c r="P179" s="134" t="n">
        <v>0.005</v>
      </c>
    </row>
    <row r="180" customFormat="false" ht="12.75" hidden="false" customHeight="false" outlineLevel="0" collapsed="false">
      <c r="A180" s="133"/>
      <c r="B180" s="133"/>
      <c r="C180" s="131" t="e">
        <f aca="false">NextMonth(C179)</f>
        <v>#VALUE!</v>
      </c>
      <c r="D180" s="132" t="n">
        <v>0.0623454611346599</v>
      </c>
      <c r="E180" s="132" t="n">
        <v>4.267</v>
      </c>
      <c r="F180" s="132" t="n">
        <v>0.17</v>
      </c>
      <c r="G180" s="132" t="n">
        <v>-0.0775</v>
      </c>
      <c r="H180" s="132" t="n">
        <v>0.0025</v>
      </c>
      <c r="I180" s="132" t="n">
        <v>0.0025</v>
      </c>
      <c r="J180" s="132" t="n">
        <v>0.0025</v>
      </c>
      <c r="K180" s="132" t="n">
        <v>0.0225</v>
      </c>
      <c r="L180" s="0" t="n">
        <v>-0.01</v>
      </c>
      <c r="M180" s="133" t="n">
        <v>0.43</v>
      </c>
      <c r="N180" s="0" t="n">
        <v>0</v>
      </c>
      <c r="O180" s="134" t="n">
        <v>0.36</v>
      </c>
      <c r="P180" s="134" t="n">
        <v>0.005</v>
      </c>
    </row>
    <row r="181" customFormat="false" ht="12.75" hidden="false" customHeight="false" outlineLevel="0" collapsed="false">
      <c r="A181" s="133"/>
      <c r="B181" s="133"/>
      <c r="C181" s="131" t="e">
        <f aca="false">NextMonth(C180)</f>
        <v>#VALUE!</v>
      </c>
      <c r="D181" s="132" t="n">
        <v>0.0623863904399951</v>
      </c>
      <c r="E181" s="132" t="n">
        <v>4.282</v>
      </c>
      <c r="F181" s="132" t="n">
        <v>0.17</v>
      </c>
      <c r="G181" s="132" t="n">
        <v>-0.0775</v>
      </c>
      <c r="H181" s="132" t="n">
        <v>0.0025</v>
      </c>
      <c r="I181" s="132" t="n">
        <v>0.0025</v>
      </c>
      <c r="J181" s="132" t="n">
        <v>0.0025</v>
      </c>
      <c r="K181" s="132" t="n">
        <v>0.0125</v>
      </c>
      <c r="L181" s="0" t="n">
        <v>-0.015</v>
      </c>
      <c r="M181" s="133" t="n">
        <v>0.43</v>
      </c>
      <c r="N181" s="0" t="n">
        <v>0</v>
      </c>
      <c r="O181" s="134" t="n">
        <v>0.4</v>
      </c>
      <c r="P181" s="134" t="n">
        <v>0.005</v>
      </c>
    </row>
    <row r="182" customFormat="false" ht="12.75" hidden="false" customHeight="false" outlineLevel="0" collapsed="false">
      <c r="A182" s="133"/>
      <c r="B182" s="133"/>
      <c r="C182" s="131" t="e">
        <f aca="false">NextMonth(C181)</f>
        <v>#VALUE!</v>
      </c>
      <c r="D182" s="132" t="n">
        <v>0.0624286840560915</v>
      </c>
      <c r="E182" s="132" t="n">
        <v>4.427</v>
      </c>
      <c r="F182" s="132" t="n">
        <v>0.17</v>
      </c>
      <c r="G182" s="132" t="n">
        <v>-0.0775</v>
      </c>
      <c r="H182" s="132" t="n">
        <v>0.0025</v>
      </c>
      <c r="I182" s="132" t="n">
        <v>0.0025</v>
      </c>
      <c r="J182" s="132" t="n">
        <v>0.0025</v>
      </c>
      <c r="K182" s="132" t="n">
        <v>-0.0225</v>
      </c>
      <c r="L182" s="0" t="n">
        <v>-0.02</v>
      </c>
      <c r="M182" s="133" t="n">
        <v>0.35</v>
      </c>
      <c r="N182" s="0" t="n">
        <v>0</v>
      </c>
      <c r="O182" s="134" t="n">
        <v>0.65</v>
      </c>
      <c r="P182" s="134" t="n">
        <v>0.05</v>
      </c>
    </row>
    <row r="183" customFormat="false" ht="12.75" hidden="false" customHeight="false" outlineLevel="0" collapsed="false">
      <c r="A183" s="133"/>
      <c r="B183" s="133"/>
      <c r="C183" s="131" t="e">
        <f aca="false">NextMonth(C182)</f>
        <v>#VALUE!</v>
      </c>
      <c r="D183" s="132" t="n">
        <v>0.0624696133625573</v>
      </c>
      <c r="E183" s="132" t="n">
        <v>4.562</v>
      </c>
      <c r="F183" s="132" t="n">
        <v>0.17</v>
      </c>
      <c r="G183" s="132" t="n">
        <v>-0.0775</v>
      </c>
      <c r="H183" s="132" t="n">
        <v>0.0025</v>
      </c>
      <c r="I183" s="132" t="n">
        <v>0.0025</v>
      </c>
      <c r="J183" s="132" t="n">
        <v>0.0025</v>
      </c>
      <c r="K183" s="132" t="n">
        <v>-0.045</v>
      </c>
      <c r="L183" s="0" t="n">
        <v>-0.025</v>
      </c>
      <c r="M183" s="133" t="n">
        <v>0.35</v>
      </c>
      <c r="N183" s="0" t="n">
        <v>0</v>
      </c>
      <c r="O183" s="134" t="n">
        <v>0.98</v>
      </c>
      <c r="P183" s="134" t="n">
        <v>0.225</v>
      </c>
    </row>
    <row r="184" customFormat="false" ht="12.75" hidden="false" customHeight="false" outlineLevel="0" collapsed="false">
      <c r="A184" s="133"/>
      <c r="B184" s="133"/>
      <c r="C184" s="131" t="e">
        <f aca="false">NextMonth(C183)</f>
        <v>#VALUE!</v>
      </c>
      <c r="D184" s="132" t="n">
        <v>0.0625119069798221</v>
      </c>
      <c r="E184" s="132" t="n">
        <v>4.6095</v>
      </c>
      <c r="F184" s="132" t="n">
        <v>0.17</v>
      </c>
      <c r="G184" s="132" t="n">
        <v>-0.0775</v>
      </c>
      <c r="H184" s="132" t="n">
        <v>0.0025</v>
      </c>
      <c r="I184" s="132" t="n">
        <v>0.0025</v>
      </c>
      <c r="J184" s="132" t="n">
        <v>0.0025</v>
      </c>
      <c r="K184" s="132" t="n">
        <v>-0.0475</v>
      </c>
      <c r="L184" s="0" t="n">
        <v>-0.025</v>
      </c>
      <c r="M184" s="133" t="n">
        <v>0.35</v>
      </c>
      <c r="N184" s="0" t="n">
        <v>0</v>
      </c>
      <c r="O184" s="134" t="n">
        <v>1.6</v>
      </c>
      <c r="P184" s="134" t="n">
        <v>0.35</v>
      </c>
    </row>
    <row r="185" customFormat="false" ht="12.75" hidden="false" customHeight="false" outlineLevel="0" collapsed="false">
      <c r="A185" s="133"/>
      <c r="B185" s="133"/>
      <c r="C185" s="131" t="e">
        <f aca="false">NextMonth(C184)</f>
        <v>#VALUE!</v>
      </c>
      <c r="D185" s="132" t="n">
        <v>0.0625542005976802</v>
      </c>
      <c r="E185" s="132" t="n">
        <v>4.5285</v>
      </c>
      <c r="F185" s="132" t="n">
        <v>0.17</v>
      </c>
      <c r="G185" s="132" t="n">
        <v>-0.0775</v>
      </c>
      <c r="H185" s="132" t="n">
        <v>0.0025</v>
      </c>
      <c r="I185" s="132" t="n">
        <v>0.0025</v>
      </c>
      <c r="J185" s="132" t="n">
        <v>0.0025</v>
      </c>
      <c r="K185" s="132" t="n">
        <v>-0.03</v>
      </c>
      <c r="L185" s="0" t="n">
        <v>-0.025</v>
      </c>
      <c r="M185" s="133" t="n">
        <v>0.35</v>
      </c>
      <c r="N185" s="0" t="n">
        <v>0</v>
      </c>
      <c r="O185" s="134" t="n">
        <v>1.6</v>
      </c>
      <c r="P185" s="134" t="n">
        <v>0.35</v>
      </c>
    </row>
    <row r="186" customFormat="false" ht="12.75" hidden="false" customHeight="false" outlineLevel="0" collapsed="false">
      <c r="A186" s="133"/>
      <c r="B186" s="133"/>
      <c r="C186" s="131" t="e">
        <f aca="false">NextMonth(C185)</f>
        <v>#VALUE!</v>
      </c>
      <c r="D186" s="132" t="n">
        <v>0.0625937655955697</v>
      </c>
      <c r="E186" s="132" t="n">
        <v>4.4285</v>
      </c>
      <c r="F186" s="132" t="n">
        <v>0.17</v>
      </c>
      <c r="G186" s="132" t="n">
        <v>-0.0775</v>
      </c>
      <c r="H186" s="132" t="n">
        <v>0.0025</v>
      </c>
      <c r="I186" s="132" t="n">
        <v>0.0025</v>
      </c>
      <c r="J186" s="132" t="n">
        <v>0</v>
      </c>
      <c r="K186" s="132" t="n">
        <v>-0.0175</v>
      </c>
      <c r="L186" s="0" t="n">
        <v>-0.02</v>
      </c>
      <c r="M186" s="133" t="n">
        <v>0.35</v>
      </c>
      <c r="N186" s="0" t="n">
        <v>0</v>
      </c>
      <c r="O186" s="134" t="n">
        <v>0.64</v>
      </c>
      <c r="P186" s="134" t="n">
        <v>0.1</v>
      </c>
    </row>
    <row r="187" customFormat="false" ht="12.75" hidden="false" customHeight="false" outlineLevel="0" collapsed="false">
      <c r="A187" s="133"/>
      <c r="B187" s="133"/>
      <c r="C187" s="131" t="e">
        <f aca="false">NextMonth(C186)</f>
        <v>#VALUE!</v>
      </c>
      <c r="D187" s="132" t="n">
        <v>0.0626360592145772</v>
      </c>
      <c r="E187" s="132" t="n">
        <v>4.2465</v>
      </c>
      <c r="F187" s="132" t="n">
        <v>0.17</v>
      </c>
      <c r="G187" s="132" t="n">
        <v>-0.0775</v>
      </c>
      <c r="H187" s="132" t="n">
        <v>0.0025</v>
      </c>
      <c r="I187" s="132" t="n">
        <v>0.0025</v>
      </c>
      <c r="J187" s="132" t="n">
        <v>0</v>
      </c>
      <c r="K187" s="132" t="n">
        <v>0.02</v>
      </c>
      <c r="L187" s="0" t="n">
        <v>-0.015</v>
      </c>
      <c r="M187" s="133" t="n">
        <v>0.43</v>
      </c>
      <c r="N187" s="0" t="n">
        <v>0</v>
      </c>
      <c r="O187" s="134" t="n">
        <v>0.38</v>
      </c>
      <c r="P187" s="134" t="n">
        <v>0.01</v>
      </c>
    </row>
    <row r="188" customFormat="false" ht="12.75" hidden="false" customHeight="false" outlineLevel="0" collapsed="false">
      <c r="A188" s="133"/>
      <c r="B188" s="133"/>
      <c r="C188" s="131" t="e">
        <f aca="false">NextMonth(C187)</f>
        <v>#VALUE!</v>
      </c>
      <c r="D188" s="132" t="n">
        <v>0.0626769885238585</v>
      </c>
      <c r="E188" s="132" t="n">
        <v>4.2495</v>
      </c>
      <c r="F188" s="132" t="n">
        <v>0.17</v>
      </c>
      <c r="G188" s="132" t="n">
        <v>-0.0775</v>
      </c>
      <c r="H188" s="132" t="n">
        <v>0.0025</v>
      </c>
      <c r="I188" s="132" t="n">
        <v>0.0025</v>
      </c>
      <c r="J188" s="132" t="n">
        <v>0</v>
      </c>
      <c r="K188" s="132" t="n">
        <v>0.02</v>
      </c>
      <c r="L188" s="0" t="n">
        <v>-0.015</v>
      </c>
      <c r="M188" s="133" t="n">
        <v>0.43</v>
      </c>
      <c r="N188" s="0" t="n">
        <v>0</v>
      </c>
      <c r="O188" s="134" t="n">
        <v>0.33</v>
      </c>
      <c r="P188" s="134" t="n">
        <v>0.01</v>
      </c>
    </row>
    <row r="189" customFormat="false" ht="12.75" hidden="false" customHeight="false" outlineLevel="0" collapsed="false">
      <c r="A189" s="133"/>
      <c r="B189" s="133"/>
      <c r="C189" s="131" t="e">
        <f aca="false">NextMonth(C188)</f>
        <v>#VALUE!</v>
      </c>
      <c r="D189" s="132" t="n">
        <v>0.0627192821440343</v>
      </c>
      <c r="E189" s="132" t="n">
        <v>4.2895</v>
      </c>
      <c r="F189" s="132" t="n">
        <v>0.17</v>
      </c>
      <c r="G189" s="132" t="n">
        <v>-0.0775</v>
      </c>
      <c r="H189" s="132" t="n">
        <v>0.0025</v>
      </c>
      <c r="I189" s="132" t="n">
        <v>0.0025</v>
      </c>
      <c r="J189" s="132" t="n">
        <v>0</v>
      </c>
      <c r="K189" s="132" t="n">
        <v>0.025</v>
      </c>
      <c r="L189" s="0" t="n">
        <v>-0.015</v>
      </c>
      <c r="M189" s="133" t="n">
        <v>0.43</v>
      </c>
      <c r="N189" s="0" t="n">
        <v>0</v>
      </c>
      <c r="O189" s="134" t="n">
        <v>0.37</v>
      </c>
      <c r="P189" s="134" t="n">
        <v>0.02</v>
      </c>
    </row>
    <row r="190" customFormat="false" ht="12.75" hidden="false" customHeight="false" outlineLevel="0" collapsed="false">
      <c r="A190" s="133"/>
      <c r="B190" s="133"/>
      <c r="C190" s="131" t="e">
        <f aca="false">NextMonth(C189)</f>
        <v>#VALUE!</v>
      </c>
      <c r="D190" s="132" t="n">
        <v>0.0627602114544463</v>
      </c>
      <c r="E190" s="132" t="n">
        <v>4.3295</v>
      </c>
      <c r="F190" s="132" t="n">
        <v>0.17</v>
      </c>
      <c r="G190" s="132" t="n">
        <v>-0.0775</v>
      </c>
      <c r="H190" s="132" t="n">
        <v>0.0025</v>
      </c>
      <c r="I190" s="132" t="n">
        <v>0.0025</v>
      </c>
      <c r="J190" s="132" t="n">
        <v>0</v>
      </c>
      <c r="K190" s="132" t="n">
        <v>0.0275</v>
      </c>
      <c r="L190" s="0" t="n">
        <v>-0.01</v>
      </c>
      <c r="M190" s="133" t="n">
        <v>0.43</v>
      </c>
      <c r="N190" s="0" t="n">
        <v>0</v>
      </c>
      <c r="O190" s="134" t="n">
        <v>0.41</v>
      </c>
      <c r="P190" s="134" t="n">
        <v>0.02</v>
      </c>
    </row>
    <row r="191" customFormat="false" ht="12.75" hidden="false" customHeight="false" outlineLevel="0" collapsed="false">
      <c r="A191" s="133"/>
      <c r="B191" s="133"/>
      <c r="C191" s="131" t="e">
        <f aca="false">NextMonth(C190)</f>
        <v>#VALUE!</v>
      </c>
      <c r="D191" s="132" t="n">
        <v>0.0628025050757901</v>
      </c>
      <c r="E191" s="132" t="n">
        <v>4.3795</v>
      </c>
      <c r="F191" s="132" t="n">
        <v>0.17</v>
      </c>
      <c r="G191" s="132" t="n">
        <v>-0.0775</v>
      </c>
      <c r="H191" s="132" t="n">
        <v>0.0025</v>
      </c>
      <c r="I191" s="132" t="n">
        <v>0.0025</v>
      </c>
      <c r="J191" s="132" t="n">
        <v>0</v>
      </c>
      <c r="K191" s="132" t="n">
        <v>0.03</v>
      </c>
      <c r="L191" s="0" t="n">
        <v>-0.01</v>
      </c>
      <c r="M191" s="133" t="n">
        <v>0.43</v>
      </c>
      <c r="N191" s="0" t="n">
        <v>0</v>
      </c>
      <c r="O191" s="134" t="n">
        <v>0.41</v>
      </c>
      <c r="P191" s="134" t="n">
        <v>0.005</v>
      </c>
    </row>
    <row r="192" customFormat="false" ht="12.75" hidden="false" customHeight="false" outlineLevel="0" collapsed="false">
      <c r="A192" s="133"/>
      <c r="B192" s="133"/>
      <c r="C192" s="131" t="e">
        <f aca="false">NextMonth(C191)</f>
        <v>#VALUE!</v>
      </c>
      <c r="D192" s="132" t="n">
        <v>0.0628447986977267</v>
      </c>
      <c r="E192" s="132" t="n">
        <v>4.3645</v>
      </c>
      <c r="F192" s="132" t="n">
        <v>0.17</v>
      </c>
      <c r="G192" s="132" t="n">
        <v>-0.0775</v>
      </c>
      <c r="H192" s="132" t="n">
        <v>0.0025</v>
      </c>
      <c r="I192" s="132" t="n">
        <v>0.0025</v>
      </c>
      <c r="J192" s="132" t="n">
        <v>0</v>
      </c>
      <c r="K192" s="132" t="n">
        <v>0.0225</v>
      </c>
      <c r="L192" s="0" t="n">
        <v>-0.01</v>
      </c>
      <c r="M192" s="133" t="n">
        <v>0.43</v>
      </c>
      <c r="N192" s="0" t="n">
        <v>0</v>
      </c>
      <c r="O192" s="134" t="n">
        <v>0.36</v>
      </c>
      <c r="P192" s="134" t="n">
        <v>0.005</v>
      </c>
    </row>
    <row r="193" customFormat="false" ht="12.75" hidden="false" customHeight="false" outlineLevel="0" collapsed="false">
      <c r="A193" s="133"/>
      <c r="B193" s="133"/>
      <c r="C193" s="131" t="e">
        <f aca="false">NextMonth(C192)</f>
        <v>#VALUE!</v>
      </c>
      <c r="D193" s="132" t="n">
        <v>0.0628857280098436</v>
      </c>
      <c r="E193" s="132" t="n">
        <v>4.3795</v>
      </c>
      <c r="F193" s="132" t="n">
        <v>0.17</v>
      </c>
      <c r="G193" s="132" t="n">
        <v>-0.0775</v>
      </c>
      <c r="H193" s="132" t="n">
        <v>0.0025</v>
      </c>
      <c r="I193" s="132" t="n">
        <v>0.0025</v>
      </c>
      <c r="J193" s="132" t="n">
        <v>0</v>
      </c>
      <c r="K193" s="132" t="n">
        <v>0.0125</v>
      </c>
      <c r="L193" s="0" t="n">
        <v>-0.015</v>
      </c>
      <c r="M193" s="133" t="n">
        <v>0.43</v>
      </c>
      <c r="N193" s="0" t="n">
        <v>0</v>
      </c>
      <c r="O193" s="134" t="n">
        <v>0.4</v>
      </c>
      <c r="P193" s="134" t="n">
        <v>0.005</v>
      </c>
    </row>
    <row r="194" customFormat="false" ht="12.75" hidden="false" customHeight="false" outlineLevel="0" collapsed="false">
      <c r="A194" s="133"/>
      <c r="B194" s="133"/>
      <c r="C194" s="131" t="e">
        <f aca="false">NextMonth(C193)</f>
        <v>#VALUE!</v>
      </c>
      <c r="D194" s="132" t="n">
        <v>0.0629280216329486</v>
      </c>
      <c r="E194" s="132" t="n">
        <v>4.5245</v>
      </c>
      <c r="F194" s="132" t="n">
        <v>0.17</v>
      </c>
      <c r="G194" s="132" t="n">
        <v>-0.0775</v>
      </c>
      <c r="H194" s="132" t="n">
        <v>0.0025</v>
      </c>
      <c r="I194" s="132" t="n">
        <v>0.0025</v>
      </c>
      <c r="J194" s="132" t="n">
        <v>0</v>
      </c>
      <c r="K194" s="132" t="n">
        <v>-0.0225</v>
      </c>
      <c r="L194" s="0" t="n">
        <v>-0.02</v>
      </c>
      <c r="M194" s="133" t="n">
        <v>0.35</v>
      </c>
      <c r="N194" s="0" t="n">
        <v>0</v>
      </c>
      <c r="O194" s="134" t="n">
        <v>0.65</v>
      </c>
      <c r="P194" s="134" t="n">
        <v>0.05</v>
      </c>
    </row>
    <row r="195" customFormat="false" ht="12.75" hidden="false" customHeight="false" outlineLevel="0" collapsed="false">
      <c r="A195" s="133"/>
      <c r="B195" s="133"/>
      <c r="C195" s="131" t="e">
        <f aca="false">NextMonth(C194)</f>
        <v>#VALUE!</v>
      </c>
      <c r="D195" s="132" t="n">
        <v>0.0629689509461957</v>
      </c>
      <c r="E195" s="132" t="n">
        <v>4.6595</v>
      </c>
      <c r="F195" s="132" t="n">
        <v>0.17</v>
      </c>
      <c r="G195" s="132" t="n">
        <v>-0.0775</v>
      </c>
      <c r="H195" s="132" t="n">
        <v>0.0025</v>
      </c>
      <c r="I195" s="132" t="n">
        <v>0.0025</v>
      </c>
      <c r="J195" s="132" t="n">
        <v>0</v>
      </c>
      <c r="K195" s="132" t="n">
        <v>-0.045</v>
      </c>
      <c r="L195" s="0" t="n">
        <v>-0.025</v>
      </c>
      <c r="M195" s="133" t="n">
        <v>0.35</v>
      </c>
      <c r="N195" s="0" t="n">
        <v>0</v>
      </c>
      <c r="O195" s="134" t="n">
        <v>0.98</v>
      </c>
      <c r="P195" s="134" t="n">
        <v>0.225</v>
      </c>
    </row>
    <row r="196" customFormat="false" ht="12.75" hidden="false" customHeight="false" outlineLevel="0" collapsed="false">
      <c r="A196" s="133"/>
      <c r="B196" s="133"/>
      <c r="C196" s="131" t="e">
        <f aca="false">NextMonth(C195)</f>
        <v>#VALUE!</v>
      </c>
      <c r="D196" s="132" t="n">
        <v>0.0630112445704682</v>
      </c>
      <c r="E196" s="132" t="n">
        <v>4.707</v>
      </c>
      <c r="F196" s="132" t="n">
        <v>0.17</v>
      </c>
      <c r="G196" s="132" t="n">
        <v>-0.0775</v>
      </c>
      <c r="H196" s="132" t="n">
        <v>0.0025</v>
      </c>
      <c r="I196" s="132" t="n">
        <v>0.0025</v>
      </c>
      <c r="J196" s="132" t="n">
        <v>0</v>
      </c>
      <c r="K196" s="132" t="n">
        <v>-0.0475</v>
      </c>
      <c r="L196" s="0" t="n">
        <v>-0.025</v>
      </c>
      <c r="M196" s="133" t="n">
        <v>0.35</v>
      </c>
      <c r="N196" s="0" t="n">
        <v>0</v>
      </c>
      <c r="O196" s="134" t="n">
        <v>1.6</v>
      </c>
      <c r="P196" s="134" t="n">
        <v>0.35</v>
      </c>
    </row>
    <row r="197" customFormat="false" ht="12.75" hidden="false" customHeight="false" outlineLevel="0" collapsed="false">
      <c r="A197" s="133"/>
      <c r="B197" s="133"/>
      <c r="C197" s="131" t="e">
        <f aca="false">NextMonth(C196)</f>
        <v>#VALUE!</v>
      </c>
      <c r="D197" s="132" t="n">
        <v>0.0630535381953346</v>
      </c>
      <c r="E197" s="132" t="n">
        <v>4.626</v>
      </c>
      <c r="F197" s="132" t="n">
        <v>0.17</v>
      </c>
      <c r="G197" s="132" t="n">
        <v>-0.0775</v>
      </c>
      <c r="H197" s="132" t="n">
        <v>0.0025</v>
      </c>
      <c r="I197" s="132" t="n">
        <v>0.0025</v>
      </c>
      <c r="J197" s="132" t="n">
        <v>0</v>
      </c>
      <c r="K197" s="132" t="n">
        <v>-0.03</v>
      </c>
      <c r="L197" s="0" t="n">
        <v>-0.025</v>
      </c>
      <c r="M197" s="133" t="n">
        <v>0.35</v>
      </c>
      <c r="N197" s="0" t="n">
        <v>0</v>
      </c>
      <c r="O197" s="134" t="n">
        <v>1.6</v>
      </c>
      <c r="P197" s="134" t="n">
        <v>0.35</v>
      </c>
    </row>
    <row r="198" customFormat="false" ht="12.75" hidden="false" customHeight="false" outlineLevel="0" collapsed="false">
      <c r="A198" s="133"/>
      <c r="B198" s="133"/>
      <c r="C198" s="131" t="e">
        <f aca="false">NextMonth(C197)</f>
        <v>#VALUE!</v>
      </c>
      <c r="D198" s="132" t="n">
        <v>0.0630917388892716</v>
      </c>
      <c r="E198" s="132" t="n">
        <v>4.526</v>
      </c>
      <c r="F198" s="132" t="n">
        <v>0.17</v>
      </c>
      <c r="G198" s="132" t="n">
        <v>0</v>
      </c>
      <c r="H198" s="132" t="n">
        <v>0</v>
      </c>
      <c r="I198" s="132" t="n">
        <v>0</v>
      </c>
      <c r="J198" s="132" t="n">
        <v>0</v>
      </c>
      <c r="K198" s="132" t="n">
        <v>-0.0175</v>
      </c>
      <c r="L198" s="0" t="n">
        <v>-0.02</v>
      </c>
      <c r="M198" s="133" t="n">
        <v>0.35</v>
      </c>
      <c r="N198" s="0" t="n">
        <v>0</v>
      </c>
      <c r="O198" s="134" t="n">
        <v>0.64</v>
      </c>
      <c r="P198" s="134" t="n">
        <v>0.1</v>
      </c>
    </row>
    <row r="199" customFormat="false" ht="12.75" hidden="false" customHeight="false" outlineLevel="0" collapsed="false">
      <c r="A199" s="133"/>
      <c r="B199" s="133"/>
      <c r="C199" s="131" t="e">
        <f aca="false">NextMonth(C198)</f>
        <v>#VALUE!</v>
      </c>
      <c r="D199" s="132" t="n">
        <v>0.0631340325152676</v>
      </c>
      <c r="E199" s="132" t="n">
        <v>4.344</v>
      </c>
      <c r="F199" s="132" t="n">
        <v>0.17</v>
      </c>
      <c r="G199" s="132" t="n">
        <v>0</v>
      </c>
      <c r="H199" s="132" t="n">
        <v>0</v>
      </c>
      <c r="I199" s="132" t="n">
        <v>0</v>
      </c>
      <c r="J199" s="132" t="n">
        <v>0</v>
      </c>
      <c r="K199" s="132" t="n">
        <v>0.02</v>
      </c>
      <c r="L199" s="0" t="n">
        <v>-0.015</v>
      </c>
      <c r="M199" s="133" t="n">
        <v>0.43</v>
      </c>
      <c r="N199" s="0" t="n">
        <v>0</v>
      </c>
      <c r="O199" s="134" t="n">
        <v>0.38</v>
      </c>
      <c r="P199" s="134" t="n">
        <v>0.01</v>
      </c>
    </row>
    <row r="200" customFormat="false" ht="12.75" hidden="false" customHeight="false" outlineLevel="0" collapsed="false">
      <c r="A200" s="133"/>
      <c r="B200" s="133"/>
      <c r="C200" s="131" t="e">
        <f aca="false">NextMonth(C199)</f>
        <v>#VALUE!</v>
      </c>
      <c r="D200" s="132" t="n">
        <v>0.063174961831312</v>
      </c>
      <c r="E200" s="132" t="n">
        <v>4.347</v>
      </c>
      <c r="F200" s="132" t="n">
        <v>0.17</v>
      </c>
      <c r="G200" s="132" t="n">
        <v>0</v>
      </c>
      <c r="H200" s="132" t="n">
        <v>0</v>
      </c>
      <c r="I200" s="132" t="n">
        <v>0</v>
      </c>
      <c r="J200" s="132" t="n">
        <v>0</v>
      </c>
      <c r="K200" s="132" t="n">
        <v>0.02</v>
      </c>
      <c r="L200" s="0" t="n">
        <v>-0.015</v>
      </c>
      <c r="M200" s="133" t="n">
        <v>0.43</v>
      </c>
      <c r="N200" s="0" t="n">
        <v>0</v>
      </c>
      <c r="O200" s="134" t="n">
        <v>0.33</v>
      </c>
      <c r="P200" s="134" t="n">
        <v>0.01</v>
      </c>
    </row>
    <row r="201" customFormat="false" ht="12.75" hidden="false" customHeight="false" outlineLevel="0" collapsed="false">
      <c r="A201" s="133"/>
      <c r="B201" s="133"/>
      <c r="C201" s="131" t="e">
        <f aca="false">NextMonth(C200)</f>
        <v>#VALUE!</v>
      </c>
      <c r="D201" s="132" t="n">
        <v>0.0632172554584751</v>
      </c>
      <c r="E201" s="132" t="n">
        <v>4.387</v>
      </c>
      <c r="F201" s="132" t="n">
        <v>0.17</v>
      </c>
      <c r="G201" s="132" t="n">
        <v>0</v>
      </c>
      <c r="H201" s="132" t="n">
        <v>0</v>
      </c>
      <c r="I201" s="132" t="n">
        <v>0</v>
      </c>
      <c r="J201" s="132" t="n">
        <v>0</v>
      </c>
      <c r="K201" s="132" t="n">
        <v>0.025</v>
      </c>
      <c r="L201" s="0" t="n">
        <v>-0.015</v>
      </c>
      <c r="M201" s="133" t="n">
        <v>0.43</v>
      </c>
      <c r="N201" s="0" t="n">
        <v>0</v>
      </c>
      <c r="O201" s="134" t="n">
        <v>0.37</v>
      </c>
      <c r="P201" s="134" t="n">
        <v>0.02</v>
      </c>
    </row>
    <row r="202" customFormat="false" ht="12.75" hidden="false" customHeight="false" outlineLevel="0" collapsed="false">
      <c r="A202" s="133"/>
      <c r="B202" s="133"/>
      <c r="C202" s="131" t="e">
        <f aca="false">NextMonth(C201)</f>
        <v>#VALUE!</v>
      </c>
      <c r="D202" s="132" t="n">
        <v>0.0632581847756497</v>
      </c>
      <c r="E202" s="132" t="n">
        <v>4.427</v>
      </c>
      <c r="F202" s="132" t="n">
        <v>0.17</v>
      </c>
      <c r="G202" s="132" t="n">
        <v>0</v>
      </c>
      <c r="H202" s="132" t="n">
        <v>0</v>
      </c>
      <c r="I202" s="132" t="n">
        <v>0</v>
      </c>
      <c r="J202" s="132" t="n">
        <v>0</v>
      </c>
      <c r="K202" s="132" t="n">
        <v>0.0275</v>
      </c>
      <c r="L202" s="0" t="n">
        <v>-0.01</v>
      </c>
      <c r="M202" s="133" t="n">
        <v>0.43</v>
      </c>
      <c r="N202" s="0" t="n">
        <v>0</v>
      </c>
      <c r="O202" s="134" t="n">
        <v>0.41</v>
      </c>
      <c r="P202" s="134" t="n">
        <v>0.02</v>
      </c>
    </row>
    <row r="203" customFormat="false" ht="12.75" hidden="false" customHeight="false" outlineLevel="0" collapsed="false">
      <c r="A203" s="133"/>
      <c r="B203" s="133"/>
      <c r="C203" s="131" t="e">
        <f aca="false">NextMonth(C202)</f>
        <v>#VALUE!</v>
      </c>
      <c r="D203" s="132" t="n">
        <v>0.0633004784039803</v>
      </c>
      <c r="E203" s="132" t="n">
        <v>4.477</v>
      </c>
      <c r="F203" s="132" t="n">
        <v>0.17</v>
      </c>
      <c r="G203" s="132" t="n">
        <v>0</v>
      </c>
      <c r="H203" s="132" t="n">
        <v>0</v>
      </c>
      <c r="I203" s="132" t="n">
        <v>0</v>
      </c>
      <c r="J203" s="132" t="n">
        <v>0</v>
      </c>
      <c r="K203" s="132" t="n">
        <v>0.03</v>
      </c>
      <c r="L203" s="0" t="n">
        <v>-0.01</v>
      </c>
      <c r="M203" s="133" t="n">
        <v>0.43</v>
      </c>
      <c r="N203" s="0" t="n">
        <v>0</v>
      </c>
      <c r="O203" s="134" t="n">
        <v>0.41</v>
      </c>
      <c r="P203" s="134" t="n">
        <v>0.005</v>
      </c>
    </row>
    <row r="204" customFormat="false" ht="12.75" hidden="false" customHeight="false" outlineLevel="0" collapsed="false">
      <c r="A204" s="133"/>
      <c r="B204" s="133"/>
      <c r="C204" s="131" t="e">
        <f aca="false">NextMonth(C203)</f>
        <v>#VALUE!</v>
      </c>
      <c r="D204" s="132" t="n">
        <v>0.0633427720329052</v>
      </c>
      <c r="E204" s="132" t="n">
        <v>4.462</v>
      </c>
      <c r="F204" s="132" t="n">
        <v>0.17</v>
      </c>
      <c r="G204" s="132" t="n">
        <v>0</v>
      </c>
      <c r="H204" s="132" t="n">
        <v>0</v>
      </c>
      <c r="I204" s="132" t="n">
        <v>0</v>
      </c>
      <c r="J204" s="132" t="n">
        <v>0</v>
      </c>
      <c r="K204" s="132" t="n">
        <v>0.0225</v>
      </c>
      <c r="L204" s="0" t="n">
        <v>-0.01</v>
      </c>
      <c r="M204" s="133" t="n">
        <v>0.43</v>
      </c>
      <c r="N204" s="0" t="n">
        <v>0</v>
      </c>
      <c r="O204" s="134" t="n">
        <v>0.36</v>
      </c>
      <c r="P204" s="134" t="n">
        <v>0.005</v>
      </c>
    </row>
    <row r="205" customFormat="false" ht="12.75" hidden="false" customHeight="false" outlineLevel="0" collapsed="false">
      <c r="A205" s="133"/>
      <c r="B205" s="133"/>
      <c r="C205" s="131" t="e">
        <f aca="false">NextMonth(C204)</f>
        <v>#VALUE!</v>
      </c>
      <c r="D205" s="132" t="n">
        <v>0.0633837013517837</v>
      </c>
      <c r="E205" s="132" t="n">
        <v>4.477</v>
      </c>
      <c r="F205" s="132" t="n">
        <v>0.17</v>
      </c>
      <c r="G205" s="132" t="n">
        <v>0</v>
      </c>
      <c r="H205" s="132" t="n">
        <v>0</v>
      </c>
      <c r="I205" s="132" t="n">
        <v>0</v>
      </c>
      <c r="J205" s="132" t="n">
        <v>0</v>
      </c>
      <c r="K205" s="132" t="n">
        <v>0.0125</v>
      </c>
      <c r="L205" s="0" t="n">
        <v>-0.015</v>
      </c>
      <c r="M205" s="133" t="n">
        <v>0.43</v>
      </c>
      <c r="N205" s="0" t="n">
        <v>0</v>
      </c>
      <c r="O205" s="134" t="n">
        <v>0.4</v>
      </c>
      <c r="P205" s="134" t="n">
        <v>0.005</v>
      </c>
    </row>
    <row r="206" customFormat="false" ht="12.75" hidden="false" customHeight="false" outlineLevel="0" collapsed="false">
      <c r="A206" s="133"/>
      <c r="B206" s="133"/>
      <c r="C206" s="131" t="e">
        <f aca="false">NextMonth(C205)</f>
        <v>#VALUE!</v>
      </c>
      <c r="D206" s="132" t="n">
        <v>0.0634259949818752</v>
      </c>
      <c r="E206" s="132" t="n">
        <v>4.622</v>
      </c>
      <c r="F206" s="132" t="n">
        <v>0.17</v>
      </c>
      <c r="G206" s="132" t="n">
        <v>0</v>
      </c>
      <c r="H206" s="132" t="n">
        <v>0</v>
      </c>
      <c r="I206" s="132" t="n">
        <v>0</v>
      </c>
      <c r="J206" s="132" t="n">
        <v>0</v>
      </c>
      <c r="K206" s="132" t="n">
        <v>-0.0225</v>
      </c>
      <c r="L206" s="0" t="n">
        <v>-0.02</v>
      </c>
      <c r="M206" s="133" t="n">
        <v>0.35</v>
      </c>
      <c r="N206" s="0" t="n">
        <v>0</v>
      </c>
      <c r="O206" s="134" t="n">
        <v>0.65</v>
      </c>
      <c r="P206" s="134" t="n">
        <v>0.05</v>
      </c>
    </row>
    <row r="207" customFormat="false" ht="12.75" hidden="false" customHeight="false" outlineLevel="0" collapsed="false">
      <c r="A207" s="133"/>
      <c r="B207" s="133"/>
      <c r="C207" s="131" t="e">
        <f aca="false">NextMonth(C206)</f>
        <v>#VALUE!</v>
      </c>
      <c r="D207" s="132" t="n">
        <v>0.0634669243018844</v>
      </c>
      <c r="E207" s="132" t="n">
        <v>4.757</v>
      </c>
      <c r="F207" s="132" t="n">
        <v>0.17</v>
      </c>
      <c r="G207" s="132" t="n">
        <v>0</v>
      </c>
      <c r="H207" s="132" t="n">
        <v>0</v>
      </c>
      <c r="I207" s="132" t="n">
        <v>0</v>
      </c>
      <c r="J207" s="132" t="n">
        <v>0</v>
      </c>
      <c r="K207" s="132" t="n">
        <v>-0.045</v>
      </c>
      <c r="L207" s="0" t="n">
        <v>-0.025</v>
      </c>
      <c r="M207" s="133" t="n">
        <v>0.35</v>
      </c>
      <c r="N207" s="0" t="n">
        <v>0</v>
      </c>
      <c r="O207" s="134" t="n">
        <v>0.98</v>
      </c>
      <c r="P207" s="134" t="n">
        <v>0.225</v>
      </c>
    </row>
    <row r="208" customFormat="false" ht="12.75" hidden="false" customHeight="false" outlineLevel="0" collapsed="false">
      <c r="A208" s="133"/>
      <c r="B208" s="133"/>
      <c r="C208" s="131" t="e">
        <f aca="false">NextMonth(C207)</f>
        <v>#VALUE!</v>
      </c>
      <c r="D208" s="132" t="n">
        <v>0.0635092179331438</v>
      </c>
      <c r="E208" s="132" t="n">
        <v>4.8045</v>
      </c>
      <c r="F208" s="132" t="n">
        <v>0.17</v>
      </c>
      <c r="G208" s="132" t="n">
        <v>0</v>
      </c>
      <c r="H208" s="132" t="n">
        <v>0</v>
      </c>
      <c r="I208" s="132" t="n">
        <v>0</v>
      </c>
      <c r="J208" s="132" t="n">
        <v>0</v>
      </c>
      <c r="K208" s="132" t="n">
        <v>-0.0475</v>
      </c>
      <c r="L208" s="0" t="n">
        <v>-0.025</v>
      </c>
      <c r="M208" s="133" t="n">
        <v>0.35</v>
      </c>
      <c r="N208" s="0" t="n">
        <v>0</v>
      </c>
      <c r="O208" s="134" t="n">
        <v>1.6</v>
      </c>
      <c r="P208" s="134" t="n">
        <v>0.35</v>
      </c>
    </row>
    <row r="209" customFormat="false" ht="12.75" hidden="false" customHeight="false" outlineLevel="0" collapsed="false">
      <c r="A209" s="133"/>
      <c r="B209" s="133"/>
      <c r="C209" s="131" t="e">
        <f aca="false">NextMonth(C208)</f>
        <v>#VALUE!</v>
      </c>
      <c r="D209" s="132" t="n">
        <v>0.0635515115649965</v>
      </c>
      <c r="E209" s="132" t="n">
        <v>4.7235</v>
      </c>
      <c r="F209" s="132" t="n">
        <v>0.17</v>
      </c>
      <c r="G209" s="132" t="n">
        <v>0</v>
      </c>
      <c r="H209" s="132" t="n">
        <v>0</v>
      </c>
      <c r="I209" s="132" t="n">
        <v>0</v>
      </c>
      <c r="J209" s="132" t="n">
        <v>0</v>
      </c>
      <c r="K209" s="132" t="n">
        <v>-0.03</v>
      </c>
      <c r="L209" s="0" t="n">
        <v>-0.025</v>
      </c>
      <c r="M209" s="133" t="n">
        <v>0.35</v>
      </c>
      <c r="N209" s="0" t="n">
        <v>0</v>
      </c>
      <c r="O209" s="134" t="n">
        <v>1.6</v>
      </c>
      <c r="P209" s="134" t="n">
        <v>0.35</v>
      </c>
    </row>
    <row r="210" customFormat="false" ht="12.75" hidden="false" customHeight="false" outlineLevel="0" collapsed="false">
      <c r="A210" s="133"/>
      <c r="B210" s="133"/>
      <c r="C210" s="131" t="e">
        <f aca="false">NextMonth(C209)</f>
        <v>#VALUE!</v>
      </c>
      <c r="D210" s="132" t="n">
        <v>0.0635897122652445</v>
      </c>
      <c r="E210" s="132" t="n">
        <v>4.6235</v>
      </c>
      <c r="F210" s="132" t="n">
        <v>0.17</v>
      </c>
      <c r="G210" s="132" t="n">
        <v>0</v>
      </c>
      <c r="H210" s="132" t="n">
        <v>0</v>
      </c>
      <c r="I210" s="132" t="n">
        <v>0</v>
      </c>
      <c r="J210" s="132" t="n">
        <v>0</v>
      </c>
      <c r="K210" s="132" t="n">
        <v>-0.0175</v>
      </c>
      <c r="L210" s="0" t="n">
        <v>-0.02</v>
      </c>
      <c r="M210" s="133" t="n">
        <v>0.35</v>
      </c>
      <c r="N210" s="0" t="n">
        <v>0</v>
      </c>
      <c r="O210" s="134" t="n">
        <v>0.64</v>
      </c>
      <c r="P210" s="134" t="n">
        <v>0.1</v>
      </c>
    </row>
    <row r="211" customFormat="false" ht="12.75" hidden="false" customHeight="false" outlineLevel="0" collapsed="false">
      <c r="A211" s="133"/>
      <c r="B211" s="133"/>
      <c r="C211" s="131" t="e">
        <f aca="false">NextMonth(C210)</f>
        <v>#VALUE!</v>
      </c>
      <c r="D211" s="132" t="n">
        <v>0.063632005898226</v>
      </c>
      <c r="E211" s="132" t="n">
        <v>4.4415</v>
      </c>
      <c r="F211" s="132" t="n">
        <v>0.17</v>
      </c>
      <c r="G211" s="132" t="n">
        <v>0</v>
      </c>
      <c r="H211" s="132" t="n">
        <v>0</v>
      </c>
      <c r="I211" s="132" t="n">
        <v>0</v>
      </c>
      <c r="J211" s="132" t="n">
        <v>0</v>
      </c>
      <c r="K211" s="132" t="n">
        <v>0.02</v>
      </c>
      <c r="L211" s="0" t="n">
        <v>-0.015</v>
      </c>
      <c r="M211" s="133" t="n">
        <v>0.43</v>
      </c>
      <c r="N211" s="0" t="n">
        <v>0</v>
      </c>
      <c r="O211" s="134" t="n">
        <v>0.38</v>
      </c>
      <c r="P211" s="134" t="n">
        <v>0.01</v>
      </c>
    </row>
    <row r="212" customFormat="false" ht="12.75" hidden="false" customHeight="false" outlineLevel="0" collapsed="false">
      <c r="A212" s="133"/>
      <c r="B212" s="133"/>
      <c r="C212" s="131" t="e">
        <f aca="false">NextMonth(C211)</f>
        <v>#VALUE!</v>
      </c>
      <c r="D212" s="132" t="n">
        <v>0.0636729352210317</v>
      </c>
      <c r="E212" s="132" t="n">
        <v>4.4445</v>
      </c>
      <c r="F212" s="132" t="n">
        <v>0.17</v>
      </c>
      <c r="G212" s="132" t="n">
        <v>0</v>
      </c>
      <c r="H212" s="132" t="n">
        <v>0</v>
      </c>
      <c r="I212" s="132" t="n">
        <v>0</v>
      </c>
      <c r="J212" s="132" t="n">
        <v>0</v>
      </c>
      <c r="K212" s="132" t="n">
        <v>0.02</v>
      </c>
      <c r="L212" s="0" t="n">
        <v>-0.015</v>
      </c>
      <c r="M212" s="133" t="n">
        <v>0.43</v>
      </c>
      <c r="N212" s="0" t="n">
        <v>0</v>
      </c>
      <c r="O212" s="134" t="n">
        <v>0.33</v>
      </c>
      <c r="P212" s="134" t="n">
        <v>0.01</v>
      </c>
    </row>
    <row r="213" customFormat="false" ht="12.75" hidden="false" customHeight="false" outlineLevel="0" collapsed="false">
      <c r="A213" s="133"/>
      <c r="B213" s="133"/>
      <c r="C213" s="131" t="e">
        <f aca="false">NextMonth(C212)</f>
        <v>#VALUE!</v>
      </c>
      <c r="D213" s="132" t="n">
        <v>0.0637152288551812</v>
      </c>
      <c r="E213" s="132" t="n">
        <v>4.4845</v>
      </c>
      <c r="F213" s="132" t="n">
        <v>0.17</v>
      </c>
      <c r="G213" s="132" t="n">
        <v>0</v>
      </c>
      <c r="H213" s="132" t="n">
        <v>0</v>
      </c>
      <c r="I213" s="132" t="n">
        <v>0</v>
      </c>
      <c r="J213" s="132" t="n">
        <v>0</v>
      </c>
      <c r="K213" s="132" t="n">
        <v>0.025</v>
      </c>
      <c r="L213" s="0" t="n">
        <v>-0.015</v>
      </c>
      <c r="M213" s="133" t="n">
        <v>0.43</v>
      </c>
      <c r="N213" s="0" t="n">
        <v>0</v>
      </c>
      <c r="O213" s="134" t="n">
        <v>0.37</v>
      </c>
      <c r="P213" s="134" t="n">
        <v>0.02</v>
      </c>
    </row>
    <row r="214" customFormat="false" ht="12.75" hidden="false" customHeight="false" outlineLevel="0" collapsed="false">
      <c r="A214" s="133"/>
      <c r="B214" s="133"/>
      <c r="C214" s="131" t="e">
        <f aca="false">NextMonth(C213)</f>
        <v>#VALUE!</v>
      </c>
      <c r="D214" s="132" t="n">
        <v>0.0637561581791166</v>
      </c>
      <c r="E214" s="132" t="n">
        <v>4.5245</v>
      </c>
      <c r="F214" s="132" t="n">
        <v>0.17</v>
      </c>
      <c r="G214" s="132" t="n">
        <v>0</v>
      </c>
      <c r="H214" s="132" t="n">
        <v>0</v>
      </c>
      <c r="I214" s="132" t="n">
        <v>0</v>
      </c>
      <c r="J214" s="132" t="n">
        <v>0</v>
      </c>
      <c r="K214" s="132" t="n">
        <v>0.0275</v>
      </c>
      <c r="L214" s="0" t="n">
        <v>-0.01</v>
      </c>
      <c r="M214" s="133" t="n">
        <v>0.43</v>
      </c>
      <c r="N214" s="0" t="n">
        <v>0</v>
      </c>
      <c r="O214" s="134" t="n">
        <v>0.41</v>
      </c>
      <c r="P214" s="134" t="n">
        <v>0.02</v>
      </c>
    </row>
    <row r="215" customFormat="false" ht="12.75" hidden="false" customHeight="false" outlineLevel="0" collapsed="false">
      <c r="A215" s="133"/>
      <c r="B215" s="133"/>
      <c r="C215" s="131" t="e">
        <f aca="false">NextMonth(C214)</f>
        <v>#VALUE!</v>
      </c>
      <c r="D215" s="132" t="n">
        <v>0.0637984518144332</v>
      </c>
      <c r="E215" s="132" t="n">
        <v>4.5745</v>
      </c>
      <c r="F215" s="132" t="n">
        <v>0.17</v>
      </c>
      <c r="G215" s="132" t="n">
        <v>0</v>
      </c>
      <c r="H215" s="132" t="n">
        <v>0</v>
      </c>
      <c r="I215" s="132" t="n">
        <v>0</v>
      </c>
      <c r="J215" s="132" t="n">
        <v>0</v>
      </c>
      <c r="K215" s="132" t="n">
        <v>0.03</v>
      </c>
      <c r="L215" s="0" t="n">
        <v>-0.01</v>
      </c>
      <c r="M215" s="133" t="n">
        <v>0.43</v>
      </c>
      <c r="N215" s="0" t="n">
        <v>0</v>
      </c>
      <c r="O215" s="134" t="n">
        <v>0.41</v>
      </c>
      <c r="P215" s="134" t="n">
        <v>0.005</v>
      </c>
    </row>
    <row r="216" customFormat="false" ht="12.75" hidden="false" customHeight="false" outlineLevel="0" collapsed="false">
      <c r="A216" s="133"/>
      <c r="B216" s="133"/>
      <c r="C216" s="131" t="e">
        <f aca="false">NextMonth(C215)</f>
        <v>#VALUE!</v>
      </c>
      <c r="D216" s="132" t="n">
        <v>0.0638407454503431</v>
      </c>
      <c r="E216" s="132" t="n">
        <v>4.5595</v>
      </c>
      <c r="F216" s="132" t="n">
        <v>0.17</v>
      </c>
      <c r="G216" s="132" t="n">
        <v>0</v>
      </c>
      <c r="H216" s="132" t="n">
        <v>0</v>
      </c>
      <c r="I216" s="132" t="n">
        <v>0</v>
      </c>
      <c r="J216" s="132" t="n">
        <v>0</v>
      </c>
      <c r="K216" s="132" t="n">
        <v>0.0225</v>
      </c>
      <c r="L216" s="0" t="n">
        <v>-0.01</v>
      </c>
      <c r="M216" s="133" t="n">
        <v>0.43</v>
      </c>
      <c r="N216" s="0" t="n">
        <v>0</v>
      </c>
      <c r="O216" s="134" t="n">
        <v>0.36</v>
      </c>
      <c r="P216" s="134" t="n">
        <v>0.005</v>
      </c>
    </row>
    <row r="217" customFormat="false" ht="12.75" hidden="false" customHeight="false" outlineLevel="0" collapsed="false">
      <c r="A217" s="133"/>
      <c r="B217" s="133"/>
      <c r="C217" s="131" t="e">
        <f aca="false">NextMonth(C216)</f>
        <v>#VALUE!</v>
      </c>
      <c r="D217" s="132" t="n">
        <v>0.0638816747759825</v>
      </c>
      <c r="E217" s="132" t="n">
        <v>4.5745</v>
      </c>
      <c r="F217" s="132" t="n">
        <v>0.17</v>
      </c>
      <c r="G217" s="132" t="n">
        <v>0</v>
      </c>
      <c r="H217" s="132" t="n">
        <v>0</v>
      </c>
      <c r="I217" s="132" t="n">
        <v>0</v>
      </c>
      <c r="J217" s="132" t="n">
        <v>0</v>
      </c>
      <c r="K217" s="132" t="n">
        <v>0.0125</v>
      </c>
      <c r="L217" s="0" t="n">
        <v>-0.015</v>
      </c>
      <c r="M217" s="133" t="n">
        <v>0.43</v>
      </c>
      <c r="N217" s="0" t="n">
        <v>0</v>
      </c>
      <c r="O217" s="134" t="n">
        <v>0.4</v>
      </c>
      <c r="P217" s="134" t="n">
        <v>0.005</v>
      </c>
    </row>
    <row r="218" customFormat="false" ht="12.75" hidden="false" customHeight="false" outlineLevel="0" collapsed="false">
      <c r="A218" s="133"/>
      <c r="B218" s="133"/>
      <c r="C218" s="131" t="e">
        <f aca="false">NextMonth(C217)</f>
        <v>#VALUE!</v>
      </c>
      <c r="D218" s="132" t="n">
        <v>0.0639239684130595</v>
      </c>
      <c r="E218" s="132" t="n">
        <v>4.7195</v>
      </c>
      <c r="F218" s="132" t="n">
        <v>0.17</v>
      </c>
      <c r="G218" s="132" t="n">
        <v>0</v>
      </c>
      <c r="H218" s="132" t="n">
        <v>0</v>
      </c>
      <c r="I218" s="132" t="n">
        <v>0</v>
      </c>
      <c r="J218" s="132" t="n">
        <v>0</v>
      </c>
      <c r="K218" s="132" t="n">
        <v>-0.0225</v>
      </c>
      <c r="L218" s="0" t="n">
        <v>-0.02</v>
      </c>
      <c r="M218" s="133" t="n">
        <v>0.35</v>
      </c>
      <c r="N218" s="0" t="n">
        <v>0</v>
      </c>
      <c r="O218" s="134" t="n">
        <v>0.65</v>
      </c>
      <c r="P218" s="134" t="n">
        <v>0.05</v>
      </c>
    </row>
    <row r="219" customFormat="false" ht="12.75" hidden="false" customHeight="false" outlineLevel="0" collapsed="false">
      <c r="A219" s="133"/>
      <c r="B219" s="133"/>
      <c r="C219" s="131" t="e">
        <f aca="false">NextMonth(C218)</f>
        <v>#VALUE!</v>
      </c>
      <c r="D219" s="132" t="n">
        <v>0.0639648977398286</v>
      </c>
      <c r="E219" s="132" t="n">
        <v>4.8545</v>
      </c>
      <c r="F219" s="132" t="n">
        <v>0.17</v>
      </c>
      <c r="G219" s="132" t="n">
        <v>0</v>
      </c>
      <c r="H219" s="132" t="n">
        <v>0</v>
      </c>
      <c r="I219" s="132" t="n">
        <v>0</v>
      </c>
      <c r="J219" s="132" t="n">
        <v>0</v>
      </c>
      <c r="K219" s="132" t="n">
        <v>-0.045</v>
      </c>
      <c r="L219" s="0" t="n">
        <v>-0.025</v>
      </c>
      <c r="M219" s="133" t="n">
        <v>0.35</v>
      </c>
      <c r="N219" s="0" t="n">
        <v>0</v>
      </c>
      <c r="O219" s="134" t="n">
        <v>0.98</v>
      </c>
      <c r="P219" s="134" t="n">
        <v>0.225</v>
      </c>
    </row>
    <row r="220" customFormat="false" ht="12.75" hidden="false" customHeight="false" outlineLevel="0" collapsed="false">
      <c r="A220" s="133"/>
      <c r="B220" s="133"/>
      <c r="C220" s="131" t="e">
        <f aca="false">NextMonth(C219)</f>
        <v>#VALUE!</v>
      </c>
      <c r="D220" s="132" t="n">
        <v>0.0640071913780731</v>
      </c>
      <c r="E220" s="132" t="n">
        <v>4.902</v>
      </c>
      <c r="F220" s="132" t="n">
        <v>0.17</v>
      </c>
      <c r="G220" s="132" t="n">
        <v>0</v>
      </c>
      <c r="H220" s="132" t="n">
        <v>0</v>
      </c>
      <c r="I220" s="132" t="n">
        <v>0</v>
      </c>
      <c r="J220" s="132" t="n">
        <v>0</v>
      </c>
      <c r="K220" s="132" t="n">
        <v>-0.0475</v>
      </c>
      <c r="L220" s="0" t="n">
        <v>-0.025</v>
      </c>
      <c r="M220" s="133" t="n">
        <v>0.35</v>
      </c>
      <c r="N220" s="0" t="n">
        <v>0</v>
      </c>
      <c r="O220" s="134" t="n">
        <v>1.6</v>
      </c>
      <c r="P220" s="134" t="n">
        <v>0.35</v>
      </c>
    </row>
    <row r="221" customFormat="false" ht="12.75" hidden="false" customHeight="false" outlineLevel="0" collapsed="false">
      <c r="A221" s="133"/>
      <c r="B221" s="133"/>
      <c r="C221" s="131" t="e">
        <f aca="false">NextMonth(C220)</f>
        <v>#VALUE!</v>
      </c>
      <c r="D221" s="132" t="n">
        <v>0.0640494850169104</v>
      </c>
      <c r="E221" s="132" t="n">
        <v>4.821</v>
      </c>
      <c r="F221" s="132" t="n">
        <v>0.17</v>
      </c>
      <c r="G221" s="132" t="n">
        <v>0</v>
      </c>
      <c r="H221" s="132" t="n">
        <v>0</v>
      </c>
      <c r="I221" s="132" t="n">
        <v>0</v>
      </c>
      <c r="J221" s="132" t="n">
        <v>0</v>
      </c>
      <c r="K221" s="132" t="n">
        <v>-0.03</v>
      </c>
      <c r="L221" s="0" t="n">
        <v>-0.025</v>
      </c>
      <c r="M221" s="133" t="n">
        <v>0.35</v>
      </c>
      <c r="N221" s="0" t="n">
        <v>0</v>
      </c>
      <c r="O221" s="134" t="n">
        <v>1.6</v>
      </c>
      <c r="P221" s="134" t="n">
        <v>0.35</v>
      </c>
    </row>
    <row r="222" customFormat="false" ht="12.75" hidden="false" customHeight="false" outlineLevel="0" collapsed="false">
      <c r="A222" s="133"/>
      <c r="B222" s="133"/>
      <c r="C222" s="131" t="e">
        <f aca="false">NextMonth(C221)</f>
        <v>#VALUE!</v>
      </c>
      <c r="D222" s="132" t="n">
        <v>0.0640876857234676</v>
      </c>
      <c r="E222" s="132" t="n">
        <v>4.721</v>
      </c>
      <c r="F222" s="132" t="n">
        <v>0.17</v>
      </c>
      <c r="G222" s="132" t="n">
        <v>0</v>
      </c>
      <c r="H222" s="132" t="n">
        <v>0</v>
      </c>
      <c r="I222" s="132" t="n">
        <v>0</v>
      </c>
      <c r="J222" s="132" t="n">
        <v>0</v>
      </c>
      <c r="K222" s="132" t="n">
        <v>-0.0175</v>
      </c>
      <c r="L222" s="0" t="n">
        <v>-0.02</v>
      </c>
      <c r="M222" s="133" t="n">
        <v>0.35</v>
      </c>
      <c r="N222" s="0" t="n">
        <v>0</v>
      </c>
      <c r="O222" s="134" t="n">
        <v>0.64</v>
      </c>
      <c r="P222" s="134" t="n">
        <v>0.1</v>
      </c>
    </row>
    <row r="223" customFormat="false" ht="12.75" hidden="false" customHeight="false" outlineLevel="0" collapsed="false">
      <c r="A223" s="133"/>
      <c r="B223" s="133"/>
      <c r="C223" s="131" t="e">
        <f aca="false">NextMonth(C222)</f>
        <v>#VALUE!</v>
      </c>
      <c r="D223" s="132" t="n">
        <v>0.0641299793634342</v>
      </c>
      <c r="E223" s="132" t="n">
        <v>4.539</v>
      </c>
      <c r="F223" s="132" t="n">
        <v>0.17</v>
      </c>
      <c r="G223" s="132" t="n">
        <v>0</v>
      </c>
      <c r="H223" s="132" t="n">
        <v>0</v>
      </c>
      <c r="I223" s="132" t="n">
        <v>0</v>
      </c>
      <c r="J223" s="132" t="n">
        <v>0</v>
      </c>
      <c r="K223" s="132" t="n">
        <v>0.02</v>
      </c>
      <c r="L223" s="0" t="n">
        <v>-0.015</v>
      </c>
      <c r="M223" s="133" t="n">
        <v>0.43</v>
      </c>
      <c r="N223" s="0" t="n">
        <v>0</v>
      </c>
      <c r="O223" s="134" t="n">
        <v>0.38</v>
      </c>
      <c r="P223" s="134" t="n">
        <v>0.01</v>
      </c>
    </row>
    <row r="224" customFormat="false" ht="12.75" hidden="false" customHeight="false" outlineLevel="0" collapsed="false">
      <c r="A224" s="133"/>
      <c r="B224" s="133"/>
      <c r="C224" s="131" t="e">
        <f aca="false">NextMonth(C223)</f>
        <v>#VALUE!</v>
      </c>
      <c r="D224" s="132" t="n">
        <v>0.0641709086929994</v>
      </c>
      <c r="E224" s="132" t="n">
        <v>4.542</v>
      </c>
      <c r="F224" s="132" t="n">
        <v>0.17</v>
      </c>
      <c r="G224" s="132" t="n">
        <v>0</v>
      </c>
      <c r="H224" s="132" t="n">
        <v>0</v>
      </c>
      <c r="I224" s="132" t="n">
        <v>0</v>
      </c>
      <c r="J224" s="132" t="n">
        <v>0</v>
      </c>
      <c r="K224" s="132" t="n">
        <v>0.02</v>
      </c>
      <c r="L224" s="0" t="n">
        <v>-0.015</v>
      </c>
      <c r="M224" s="133" t="n">
        <v>0.43</v>
      </c>
      <c r="N224" s="0" t="n">
        <v>0</v>
      </c>
      <c r="O224" s="134" t="n">
        <v>0.33</v>
      </c>
      <c r="P224" s="134" t="n">
        <v>0.01</v>
      </c>
    </row>
    <row r="225" customFormat="false" ht="12.75" hidden="false" customHeight="false" outlineLevel="0" collapsed="false">
      <c r="A225" s="133"/>
      <c r="B225" s="133"/>
      <c r="C225" s="131" t="e">
        <f aca="false">NextMonth(C224)</f>
        <v>#VALUE!</v>
      </c>
      <c r="D225" s="132" t="n">
        <v>0.0642132023341331</v>
      </c>
      <c r="E225" s="132" t="n">
        <v>4.582</v>
      </c>
      <c r="F225" s="132" t="n">
        <v>0.17</v>
      </c>
      <c r="G225" s="132" t="n">
        <v>0</v>
      </c>
      <c r="H225" s="132" t="n">
        <v>0</v>
      </c>
      <c r="I225" s="132" t="n">
        <v>0</v>
      </c>
      <c r="J225" s="132" t="n">
        <v>0</v>
      </c>
      <c r="K225" s="132" t="n">
        <v>0.025</v>
      </c>
      <c r="L225" s="0" t="n">
        <v>-0.015</v>
      </c>
      <c r="M225" s="133" t="n">
        <v>0.43</v>
      </c>
      <c r="N225" s="0" t="n">
        <v>0</v>
      </c>
      <c r="O225" s="134" t="n">
        <v>0.37</v>
      </c>
      <c r="P225" s="134" t="n">
        <v>0.02</v>
      </c>
    </row>
    <row r="226" customFormat="false" ht="12.75" hidden="false" customHeight="false" outlineLevel="0" collapsed="false">
      <c r="A226" s="133"/>
      <c r="B226" s="133"/>
      <c r="C226" s="131" t="e">
        <f aca="false">NextMonth(C225)</f>
        <v>#VALUE!</v>
      </c>
      <c r="D226" s="132" t="n">
        <v>0.0642541316648275</v>
      </c>
      <c r="E226" s="132" t="n">
        <v>4.622</v>
      </c>
      <c r="F226" s="132" t="n">
        <v>0.17</v>
      </c>
      <c r="G226" s="132" t="n">
        <v>0</v>
      </c>
      <c r="H226" s="132" t="n">
        <v>0</v>
      </c>
      <c r="I226" s="132" t="n">
        <v>0</v>
      </c>
      <c r="J226" s="132" t="n">
        <v>0</v>
      </c>
      <c r="K226" s="132" t="n">
        <v>0.0275</v>
      </c>
      <c r="L226" s="0" t="n">
        <v>-0.01</v>
      </c>
      <c r="M226" s="133" t="n">
        <v>0.43</v>
      </c>
      <c r="N226" s="0" t="n">
        <v>0</v>
      </c>
      <c r="O226" s="134" t="n">
        <v>0.41</v>
      </c>
      <c r="P226" s="134" t="n">
        <v>0.02</v>
      </c>
    </row>
    <row r="227" customFormat="false" ht="12.75" hidden="false" customHeight="false" outlineLevel="0" collapsed="false">
      <c r="A227" s="133"/>
      <c r="B227" s="133"/>
      <c r="C227" s="131" t="e">
        <f aca="false">NextMonth(C226)</f>
        <v>#VALUE!</v>
      </c>
      <c r="D227" s="132" t="n">
        <v>0.0642964253071283</v>
      </c>
      <c r="E227" s="132" t="n">
        <v>4.672</v>
      </c>
      <c r="F227" s="132" t="n">
        <v>0.17</v>
      </c>
      <c r="G227" s="132" t="n">
        <v>0</v>
      </c>
      <c r="H227" s="132" t="n">
        <v>0</v>
      </c>
      <c r="I227" s="132" t="n">
        <v>0</v>
      </c>
      <c r="J227" s="132" t="n">
        <v>0</v>
      </c>
      <c r="K227" s="132" t="n">
        <v>0.03</v>
      </c>
      <c r="L227" s="0" t="n">
        <v>-0.01</v>
      </c>
      <c r="M227" s="133" t="n">
        <v>0.43</v>
      </c>
      <c r="N227" s="0" t="n">
        <v>0</v>
      </c>
      <c r="O227" s="134" t="n">
        <v>0.41</v>
      </c>
      <c r="P227" s="134" t="n">
        <v>0.005</v>
      </c>
    </row>
    <row r="228" customFormat="false" ht="12.75" hidden="false" customHeight="false" outlineLevel="0" collapsed="false">
      <c r="A228" s="133"/>
      <c r="B228" s="133"/>
      <c r="C228" s="131" t="e">
        <f aca="false">NextMonth(C227)</f>
        <v>#VALUE!</v>
      </c>
      <c r="D228" s="132" t="n">
        <v>0.0643387189500224</v>
      </c>
      <c r="E228" s="132" t="n">
        <v>4.657</v>
      </c>
      <c r="F228" s="132" t="n">
        <v>0.17</v>
      </c>
      <c r="G228" s="132" t="n">
        <v>0</v>
      </c>
      <c r="H228" s="132" t="n">
        <v>0</v>
      </c>
      <c r="I228" s="132" t="n">
        <v>0</v>
      </c>
      <c r="J228" s="132" t="n">
        <v>0</v>
      </c>
      <c r="K228" s="132" t="n">
        <v>0.0225</v>
      </c>
      <c r="L228" s="0" t="n">
        <v>-0.01</v>
      </c>
      <c r="M228" s="133" t="n">
        <v>0.43</v>
      </c>
      <c r="N228" s="0" t="n">
        <v>0</v>
      </c>
      <c r="O228" s="134" t="n">
        <v>0.36</v>
      </c>
      <c r="P228" s="134" t="n">
        <v>0.005</v>
      </c>
    </row>
    <row r="229" customFormat="false" ht="12.75" hidden="false" customHeight="false" outlineLevel="0" collapsed="false">
      <c r="A229" s="133"/>
      <c r="B229" s="133"/>
      <c r="C229" s="131" t="e">
        <f aca="false">NextMonth(C228)</f>
        <v>#VALUE!</v>
      </c>
      <c r="D229" s="132" t="n">
        <v>0.0643796482824199</v>
      </c>
      <c r="E229" s="132" t="n">
        <v>4.672</v>
      </c>
      <c r="F229" s="132" t="n">
        <v>0.17</v>
      </c>
      <c r="G229" s="132" t="n">
        <v>0</v>
      </c>
      <c r="H229" s="132" t="n">
        <v>0</v>
      </c>
      <c r="I229" s="132" t="n">
        <v>0</v>
      </c>
      <c r="J229" s="132" t="n">
        <v>0</v>
      </c>
      <c r="K229" s="132" t="n">
        <v>0.0125</v>
      </c>
      <c r="L229" s="0" t="n">
        <v>-0.015</v>
      </c>
      <c r="M229" s="133" t="n">
        <v>0.43</v>
      </c>
      <c r="N229" s="0" t="n">
        <v>0</v>
      </c>
      <c r="O229" s="134" t="n">
        <v>0.4</v>
      </c>
      <c r="P229" s="134" t="n">
        <v>0.005</v>
      </c>
    </row>
    <row r="230" customFormat="false" ht="12.75" hidden="false" customHeight="false" outlineLevel="0" collapsed="false">
      <c r="A230" s="133"/>
      <c r="B230" s="133"/>
      <c r="C230" s="131" t="e">
        <f aca="false">NextMonth(C229)</f>
        <v>#VALUE!</v>
      </c>
      <c r="D230" s="132" t="n">
        <v>0.0644219419264811</v>
      </c>
      <c r="E230" s="132" t="n">
        <v>4.817</v>
      </c>
      <c r="F230" s="132" t="n">
        <v>0.17</v>
      </c>
      <c r="G230" s="132" t="n">
        <v>0</v>
      </c>
      <c r="H230" s="132" t="n">
        <v>0</v>
      </c>
      <c r="I230" s="132" t="n">
        <v>0</v>
      </c>
      <c r="J230" s="132" t="n">
        <v>0</v>
      </c>
      <c r="K230" s="132" t="n">
        <v>-0.0225</v>
      </c>
      <c r="L230" s="0" t="n">
        <v>-0.02</v>
      </c>
      <c r="M230" s="133" t="n">
        <v>0.35</v>
      </c>
      <c r="N230" s="0" t="n">
        <v>0</v>
      </c>
      <c r="O230" s="134" t="n">
        <v>0.65</v>
      </c>
      <c r="P230" s="134" t="n">
        <v>0.05</v>
      </c>
    </row>
    <row r="231" customFormat="false" ht="12.75" hidden="false" customHeight="false" outlineLevel="0" collapsed="false">
      <c r="A231" s="133"/>
      <c r="B231" s="133"/>
      <c r="C231" s="131" t="e">
        <f aca="false">NextMonth(C230)</f>
        <v>#VALUE!</v>
      </c>
      <c r="D231" s="132" t="n">
        <v>0.0644628712600084</v>
      </c>
      <c r="E231" s="132" t="n">
        <v>4.952</v>
      </c>
      <c r="F231" s="132" t="n">
        <v>0.17</v>
      </c>
      <c r="G231" s="132" t="n">
        <v>0</v>
      </c>
      <c r="H231" s="132" t="n">
        <v>0</v>
      </c>
      <c r="I231" s="132" t="n">
        <v>0</v>
      </c>
      <c r="J231" s="132" t="n">
        <v>0</v>
      </c>
      <c r="K231" s="132" t="n">
        <v>-0.045</v>
      </c>
      <c r="L231" s="0" t="n">
        <v>-0.025</v>
      </c>
      <c r="M231" s="133" t="n">
        <v>0.35</v>
      </c>
      <c r="N231" s="0" t="n">
        <v>0</v>
      </c>
      <c r="O231" s="134" t="n">
        <v>0.98</v>
      </c>
      <c r="P231" s="134" t="n">
        <v>0.225</v>
      </c>
    </row>
    <row r="232" customFormat="false" ht="12.75" hidden="false" customHeight="false" outlineLevel="0" collapsed="false">
      <c r="A232" s="133"/>
      <c r="B232" s="133"/>
      <c r="C232" s="131" t="e">
        <f aca="false">NextMonth(C231)</f>
        <v>#VALUE!</v>
      </c>
      <c r="D232" s="132" t="n">
        <v>0.0645051649052362</v>
      </c>
      <c r="E232" s="132" t="n">
        <v>4.9995</v>
      </c>
      <c r="F232" s="132" t="n">
        <v>0.17</v>
      </c>
      <c r="G232" s="132" t="n">
        <v>0</v>
      </c>
      <c r="H232" s="132" t="n">
        <v>0</v>
      </c>
      <c r="I232" s="132" t="n">
        <v>0</v>
      </c>
      <c r="J232" s="132" t="n">
        <v>0</v>
      </c>
      <c r="K232" s="132" t="n">
        <v>-0.0475</v>
      </c>
      <c r="L232" s="0" t="n">
        <v>-0.025</v>
      </c>
      <c r="M232" s="133" t="n">
        <v>0.35</v>
      </c>
      <c r="N232" s="0" t="n">
        <v>0</v>
      </c>
      <c r="O232" s="134" t="n">
        <v>1.6</v>
      </c>
      <c r="P232" s="134" t="n">
        <v>0.35</v>
      </c>
    </row>
    <row r="233" customFormat="false" ht="12.75" hidden="false" customHeight="false" outlineLevel="0" collapsed="false">
      <c r="A233" s="133"/>
      <c r="B233" s="133"/>
      <c r="C233" s="131" t="e">
        <f aca="false">NextMonth(C232)</f>
        <v>#VALUE!</v>
      </c>
      <c r="D233" s="132" t="n">
        <v>0.0645474585510573</v>
      </c>
      <c r="E233" s="132" t="n">
        <v>4.9185</v>
      </c>
      <c r="F233" s="132" t="n">
        <v>0.17</v>
      </c>
      <c r="G233" s="132" t="n">
        <v>0</v>
      </c>
      <c r="H233" s="132" t="n">
        <v>0</v>
      </c>
      <c r="I233" s="132" t="n">
        <v>0</v>
      </c>
      <c r="J233" s="132" t="n">
        <v>0</v>
      </c>
      <c r="K233" s="132" t="n">
        <v>-0.03</v>
      </c>
      <c r="L233" s="0" t="n">
        <v>-0.025</v>
      </c>
      <c r="M233" s="133" t="n">
        <v>0.35</v>
      </c>
      <c r="N233" s="0" t="n">
        <v>0</v>
      </c>
      <c r="O233" s="134" t="n">
        <v>1.6</v>
      </c>
      <c r="P233" s="134" t="n">
        <v>0.35</v>
      </c>
    </row>
    <row r="234" customFormat="false" ht="12.75" hidden="false" customHeight="false" outlineLevel="0" collapsed="false">
      <c r="A234" s="133"/>
      <c r="B234" s="133"/>
      <c r="C234" s="131" t="e">
        <f aca="false">NextMonth(C233)</f>
        <v>#VALUE!</v>
      </c>
      <c r="D234" s="132" t="n">
        <v>0.064587023575104</v>
      </c>
      <c r="E234" s="132" t="n">
        <v>4.8185</v>
      </c>
      <c r="F234" s="132" t="n">
        <v>0.17</v>
      </c>
      <c r="G234" s="132" t="n">
        <v>0</v>
      </c>
      <c r="H234" s="132" t="n">
        <v>0</v>
      </c>
      <c r="I234" s="132" t="n">
        <v>0</v>
      </c>
      <c r="J234" s="132" t="n">
        <v>0</v>
      </c>
      <c r="K234" s="132" t="n">
        <v>-0.0175</v>
      </c>
      <c r="L234" s="0" t="n">
        <v>-0.02</v>
      </c>
      <c r="M234" s="133" t="n">
        <v>0.35</v>
      </c>
      <c r="N234" s="0" t="n">
        <v>0</v>
      </c>
      <c r="O234" s="134" t="n">
        <v>0.64</v>
      </c>
      <c r="P234" s="134" t="n">
        <v>0.1</v>
      </c>
    </row>
    <row r="235" customFormat="false" ht="12.75" hidden="false" customHeight="false" outlineLevel="0" collapsed="false">
      <c r="A235" s="133"/>
      <c r="B235" s="133"/>
      <c r="C235" s="131" t="e">
        <f aca="false">NextMonth(C234)</f>
        <v>#VALUE!</v>
      </c>
      <c r="D235" s="132" t="n">
        <v>0.0646293172220731</v>
      </c>
      <c r="E235" s="132" t="n">
        <v>4.6365</v>
      </c>
      <c r="F235" s="132" t="n">
        <v>0.17</v>
      </c>
      <c r="G235" s="132" t="n">
        <v>0</v>
      </c>
      <c r="H235" s="132" t="n">
        <v>0</v>
      </c>
      <c r="I235" s="132" t="n">
        <v>0</v>
      </c>
      <c r="J235" s="132" t="n">
        <v>0</v>
      </c>
      <c r="K235" s="132" t="n">
        <v>0.02</v>
      </c>
      <c r="L235" s="0" t="n">
        <v>-0.015</v>
      </c>
      <c r="M235" s="133" t="n">
        <v>0.43</v>
      </c>
      <c r="N235" s="0" t="n">
        <v>0</v>
      </c>
      <c r="O235" s="134" t="n">
        <v>0.38</v>
      </c>
      <c r="P235" s="134" t="n">
        <v>0.01</v>
      </c>
    </row>
    <row r="236" customFormat="false" ht="12.75" hidden="false" customHeight="false" outlineLevel="0" collapsed="false">
      <c r="A236" s="133"/>
      <c r="B236" s="133"/>
      <c r="C236" s="131" t="e">
        <f aca="false">NextMonth(C235)</f>
        <v>#VALUE!</v>
      </c>
      <c r="D236" s="132" t="n">
        <v>0.0646702465584141</v>
      </c>
      <c r="E236" s="132" t="n">
        <v>4.6395</v>
      </c>
      <c r="F236" s="132" t="n">
        <v>0.17</v>
      </c>
      <c r="G236" s="132" t="n">
        <v>0</v>
      </c>
      <c r="H236" s="132" t="n">
        <v>0</v>
      </c>
      <c r="I236" s="132" t="n">
        <v>0</v>
      </c>
      <c r="J236" s="132" t="n">
        <v>0</v>
      </c>
      <c r="K236" s="132" t="n">
        <v>0.02</v>
      </c>
      <c r="L236" s="0" t="n">
        <v>-0.015</v>
      </c>
      <c r="M236" s="133" t="n">
        <v>0.43</v>
      </c>
      <c r="N236" s="0" t="n">
        <v>0</v>
      </c>
      <c r="O236" s="134" t="n">
        <v>0.33</v>
      </c>
      <c r="P236" s="134" t="n">
        <v>0.01</v>
      </c>
    </row>
    <row r="237" customFormat="false" ht="12.75" hidden="false" customHeight="false" outlineLevel="0" collapsed="false">
      <c r="A237" s="133"/>
      <c r="B237" s="133"/>
      <c r="C237" s="131" t="e">
        <f aca="false">NextMonth(C236)</f>
        <v>#VALUE!</v>
      </c>
      <c r="D237" s="132" t="n">
        <v>0.0647125402065498</v>
      </c>
      <c r="E237" s="132" t="n">
        <v>4.6795</v>
      </c>
      <c r="F237" s="132" t="n">
        <v>0.17</v>
      </c>
      <c r="G237" s="132" t="n">
        <v>0</v>
      </c>
      <c r="H237" s="132" t="n">
        <v>0</v>
      </c>
      <c r="I237" s="132" t="n">
        <v>0</v>
      </c>
      <c r="J237" s="132" t="n">
        <v>0</v>
      </c>
      <c r="K237" s="132" t="n">
        <v>0.025</v>
      </c>
      <c r="L237" s="0" t="n">
        <v>-0.015</v>
      </c>
      <c r="M237" s="133" t="n">
        <v>0.43</v>
      </c>
      <c r="N237" s="0" t="n">
        <v>0</v>
      </c>
      <c r="O237" s="134" t="n">
        <v>0.37</v>
      </c>
      <c r="P237" s="134" t="n">
        <v>0.02</v>
      </c>
    </row>
    <row r="238" customFormat="false" ht="12.75" hidden="false" customHeight="false" outlineLevel="0" collapsed="false">
      <c r="A238" s="133"/>
      <c r="B238" s="133"/>
      <c r="C238" s="131" t="e">
        <f aca="false">NextMonth(C237)</f>
        <v>#VALUE!</v>
      </c>
      <c r="D238" s="132" t="n">
        <v>0.0647534695440202</v>
      </c>
      <c r="E238" s="132" t="n">
        <v>4.7195</v>
      </c>
      <c r="F238" s="132" t="n">
        <v>0.17</v>
      </c>
      <c r="G238" s="132" t="n">
        <v>0</v>
      </c>
      <c r="H238" s="132" t="n">
        <v>0</v>
      </c>
      <c r="I238" s="132" t="n">
        <v>0</v>
      </c>
      <c r="J238" s="132" t="n">
        <v>0</v>
      </c>
      <c r="K238" s="132" t="n">
        <v>0.0275</v>
      </c>
      <c r="L238" s="0" t="n">
        <v>-0.01</v>
      </c>
      <c r="M238" s="133" t="n">
        <v>0.43</v>
      </c>
      <c r="N238" s="0" t="n">
        <v>0</v>
      </c>
      <c r="O238" s="134" t="n">
        <v>0.41</v>
      </c>
      <c r="P238" s="134" t="n">
        <v>0.02</v>
      </c>
    </row>
    <row r="239" customFormat="false" ht="12.75" hidden="false" customHeight="false" outlineLevel="0" collapsed="false">
      <c r="A239" s="133"/>
      <c r="B239" s="133"/>
      <c r="C239" s="131" t="e">
        <f aca="false">NextMonth(C238)</f>
        <v>#VALUE!</v>
      </c>
      <c r="D239" s="132" t="n">
        <v>0.0647957631933225</v>
      </c>
      <c r="E239" s="132" t="n">
        <v>4.7695</v>
      </c>
      <c r="F239" s="132" t="n">
        <v>0.17</v>
      </c>
      <c r="G239" s="132" t="n">
        <v>0</v>
      </c>
      <c r="H239" s="132" t="n">
        <v>0</v>
      </c>
      <c r="I239" s="132" t="n">
        <v>0</v>
      </c>
      <c r="J239" s="132" t="n">
        <v>0</v>
      </c>
      <c r="K239" s="132" t="n">
        <v>0.03</v>
      </c>
      <c r="L239" s="0" t="n">
        <v>-0.01</v>
      </c>
      <c r="M239" s="133" t="n">
        <v>0.43</v>
      </c>
      <c r="N239" s="0" t="n">
        <v>0</v>
      </c>
      <c r="O239" s="134" t="n">
        <v>0.41</v>
      </c>
      <c r="P239" s="134" t="n">
        <v>0.005</v>
      </c>
    </row>
    <row r="240" customFormat="false" ht="12.75" hidden="false" customHeight="false" outlineLevel="0" collapsed="false">
      <c r="A240" s="133"/>
      <c r="B240" s="133"/>
      <c r="C240" s="131" t="e">
        <f aca="false">NextMonth(C239)</f>
        <v>#VALUE!</v>
      </c>
      <c r="D240" s="132" t="n">
        <v>0.0648380568432181</v>
      </c>
      <c r="E240" s="132" t="n">
        <v>4.7545</v>
      </c>
      <c r="F240" s="132" t="n">
        <v>0.17</v>
      </c>
      <c r="G240" s="132" t="n">
        <v>0</v>
      </c>
      <c r="H240" s="132" t="n">
        <v>0</v>
      </c>
      <c r="I240" s="132" t="n">
        <v>0</v>
      </c>
      <c r="J240" s="132" t="n">
        <v>0</v>
      </c>
      <c r="K240" s="132" t="n">
        <v>0.0225</v>
      </c>
      <c r="L240" s="0" t="n">
        <v>-0.01</v>
      </c>
      <c r="M240" s="133" t="n">
        <v>0.43</v>
      </c>
      <c r="N240" s="0" t="n">
        <v>0</v>
      </c>
      <c r="O240" s="134" t="n">
        <v>0.36</v>
      </c>
      <c r="P240" s="134" t="n">
        <v>0.005</v>
      </c>
    </row>
    <row r="241" customFormat="false" ht="12.75" hidden="false" customHeight="false" outlineLevel="0" collapsed="false">
      <c r="A241" s="133"/>
      <c r="B241" s="133"/>
      <c r="C241" s="131" t="e">
        <f aca="false">NextMonth(C240)</f>
        <v>#VALUE!</v>
      </c>
      <c r="D241" s="132" t="n">
        <v>0.0648789861823915</v>
      </c>
      <c r="E241" s="132" t="n">
        <v>4.7695</v>
      </c>
      <c r="F241" s="132" t="n">
        <v>0.17</v>
      </c>
      <c r="G241" s="132" t="n">
        <v>0</v>
      </c>
      <c r="H241" s="132" t="n">
        <v>0</v>
      </c>
      <c r="I241" s="132" t="n">
        <v>0</v>
      </c>
      <c r="J241" s="132" t="n">
        <v>0</v>
      </c>
      <c r="K241" s="132" t="n">
        <v>0.0125</v>
      </c>
      <c r="L241" s="0" t="n">
        <v>-0.015</v>
      </c>
      <c r="M241" s="133" t="n">
        <v>0.43</v>
      </c>
      <c r="N241" s="0" t="n">
        <v>0</v>
      </c>
      <c r="O241" s="134" t="n">
        <v>0.4</v>
      </c>
      <c r="P241" s="134" t="n">
        <v>0.005</v>
      </c>
    </row>
    <row r="242" customFormat="false" ht="12.75" hidden="false" customHeight="false" outlineLevel="0" collapsed="false">
      <c r="A242" s="133"/>
      <c r="B242" s="133"/>
      <c r="C242" s="131" t="e">
        <f aca="false">NextMonth(C241)</f>
        <v>#VALUE!</v>
      </c>
      <c r="D242" s="132" t="n">
        <v>0.0649212798334533</v>
      </c>
      <c r="E242" s="132" t="n">
        <v>4.9145</v>
      </c>
      <c r="F242" s="132" t="n">
        <v>0.17</v>
      </c>
      <c r="G242" s="132" t="n">
        <v>0</v>
      </c>
      <c r="H242" s="132" t="n">
        <v>0</v>
      </c>
      <c r="I242" s="132" t="n">
        <v>0</v>
      </c>
      <c r="J242" s="132" t="n">
        <v>0</v>
      </c>
      <c r="K242" s="132" t="n">
        <v>-0.0225</v>
      </c>
      <c r="L242" s="0" t="n">
        <v>-0.02</v>
      </c>
      <c r="M242" s="133" t="n">
        <v>0.35</v>
      </c>
      <c r="N242" s="0" t="n">
        <v>0</v>
      </c>
      <c r="O242" s="134" t="n">
        <v>0.65</v>
      </c>
      <c r="P242" s="134" t="n">
        <v>0.05</v>
      </c>
    </row>
    <row r="243" customFormat="false" ht="12.75" hidden="false" customHeight="false" outlineLevel="0" collapsed="false">
      <c r="A243" s="133"/>
      <c r="B243" s="133"/>
      <c r="C243" s="131" t="e">
        <f aca="false">NextMonth(C242)</f>
        <v>#VALUE!</v>
      </c>
      <c r="D243" s="132" t="n">
        <v>0.0649622091737561</v>
      </c>
      <c r="E243" s="132" t="n">
        <v>5.0495</v>
      </c>
      <c r="F243" s="132" t="n">
        <v>0.17</v>
      </c>
      <c r="G243" s="132" t="n">
        <v>0</v>
      </c>
      <c r="H243" s="132" t="n">
        <v>0</v>
      </c>
      <c r="I243" s="132" t="n">
        <v>0</v>
      </c>
      <c r="J243" s="132" t="n">
        <v>0</v>
      </c>
      <c r="K243" s="132" t="n">
        <v>-0.045</v>
      </c>
      <c r="L243" s="0" t="n">
        <v>-0.025</v>
      </c>
      <c r="M243" s="133" t="n">
        <v>0.35</v>
      </c>
      <c r="N243" s="0" t="n">
        <v>0</v>
      </c>
      <c r="O243" s="134" t="n">
        <v>0.98</v>
      </c>
      <c r="P243" s="134" t="n">
        <v>0.225</v>
      </c>
    </row>
    <row r="244" customFormat="false" ht="12.75" hidden="false" customHeight="false" outlineLevel="0" collapsed="false">
      <c r="A244" s="133"/>
      <c r="B244" s="133"/>
      <c r="C244" s="131" t="e">
        <f aca="false">NextMonth(C243)</f>
        <v>#VALUE!</v>
      </c>
      <c r="D244" s="132" t="n">
        <v>0.0650045028259849</v>
      </c>
      <c r="E244" s="132" t="n">
        <v>5.097</v>
      </c>
      <c r="F244" s="132" t="n">
        <v>0.17</v>
      </c>
      <c r="G244" s="132" t="n">
        <v>0</v>
      </c>
      <c r="H244" s="132" t="n">
        <v>0</v>
      </c>
      <c r="I244" s="132" t="n">
        <v>0</v>
      </c>
      <c r="J244" s="132" t="n">
        <v>0</v>
      </c>
      <c r="K244" s="132" t="n">
        <v>-0.0475</v>
      </c>
      <c r="L244" s="0" t="n">
        <v>-0.025</v>
      </c>
      <c r="M244" s="133" t="n">
        <v>0.35</v>
      </c>
      <c r="N244" s="0" t="n">
        <v>0</v>
      </c>
      <c r="O244" s="134" t="n">
        <v>1.6</v>
      </c>
      <c r="P244" s="134" t="n">
        <v>0.35</v>
      </c>
    </row>
    <row r="245" customFormat="false" ht="12.75" hidden="false" customHeight="false" outlineLevel="0" collapsed="false">
      <c r="A245" s="133"/>
      <c r="B245" s="133"/>
      <c r="C245" s="131" t="e">
        <f aca="false">NextMonth(C244)</f>
        <v>#VALUE!</v>
      </c>
      <c r="D245" s="132" t="n">
        <v>0.0650467964788066</v>
      </c>
      <c r="E245" s="132" t="n">
        <v>5.016</v>
      </c>
      <c r="F245" s="132" t="n">
        <v>0.17</v>
      </c>
      <c r="G245" s="132" t="n">
        <v>0</v>
      </c>
      <c r="H245" s="132" t="n">
        <v>0</v>
      </c>
      <c r="I245" s="132" t="n">
        <v>0</v>
      </c>
      <c r="J245" s="132" t="n">
        <v>0</v>
      </c>
      <c r="K245" s="132" t="n">
        <v>-0.03</v>
      </c>
      <c r="L245" s="0" t="n">
        <v>-0.025</v>
      </c>
      <c r="M245" s="133" t="n">
        <v>0.35</v>
      </c>
      <c r="N245" s="0" t="n">
        <v>0</v>
      </c>
      <c r="O245" s="134" t="n">
        <v>1.6</v>
      </c>
      <c r="P245" s="134" t="n">
        <v>0.35</v>
      </c>
    </row>
    <row r="246" customFormat="false" ht="12.75" hidden="false" customHeight="false" outlineLevel="0" collapsed="false">
      <c r="A246" s="133"/>
      <c r="B246" s="133"/>
      <c r="C246" s="131" t="e">
        <f aca="false">NextMonth(C245)</f>
        <v>#VALUE!</v>
      </c>
      <c r="D246" s="132" t="n">
        <v>0.0650849971979941</v>
      </c>
      <c r="E246" s="132" t="n">
        <v>4.916</v>
      </c>
      <c r="F246" s="132" t="n">
        <v>0.17</v>
      </c>
      <c r="G246" s="132" t="n">
        <v>0</v>
      </c>
      <c r="H246" s="132" t="n">
        <v>0</v>
      </c>
      <c r="I246" s="132" t="n">
        <v>0</v>
      </c>
      <c r="J246" s="132" t="n">
        <v>0</v>
      </c>
      <c r="K246" s="132" t="n">
        <v>-0.0175</v>
      </c>
      <c r="L246" s="0" t="n">
        <v>-0.02</v>
      </c>
      <c r="M246" s="133" t="n">
        <v>0.35</v>
      </c>
      <c r="N246" s="0" t="n">
        <v>0</v>
      </c>
      <c r="O246" s="134" t="n">
        <v>0.64</v>
      </c>
      <c r="P246" s="134" t="n">
        <v>0.1</v>
      </c>
    </row>
    <row r="247" customFormat="false" ht="12.75" hidden="false" customHeight="false" outlineLevel="0" collapsed="false">
      <c r="A247" s="133"/>
      <c r="B247" s="133"/>
      <c r="C247" s="131" t="e">
        <f aca="false">NextMonth(C246)</f>
        <v>#VALUE!</v>
      </c>
      <c r="D247" s="132" t="n">
        <v>0.0651272908519442</v>
      </c>
      <c r="E247" s="132" t="n">
        <v>4.734</v>
      </c>
      <c r="F247" s="132" t="n">
        <v>0.17</v>
      </c>
      <c r="G247" s="132" t="n">
        <v>0</v>
      </c>
      <c r="H247" s="132" t="n">
        <v>0</v>
      </c>
      <c r="I247" s="132" t="n">
        <v>0</v>
      </c>
      <c r="J247" s="132" t="n">
        <v>0</v>
      </c>
      <c r="K247" s="132" t="n">
        <v>0.02</v>
      </c>
      <c r="L247" s="0" t="n">
        <v>-0.015</v>
      </c>
      <c r="M247" s="133" t="n">
        <v>0.43</v>
      </c>
      <c r="N247" s="0" t="n">
        <v>0</v>
      </c>
      <c r="O247" s="134" t="n">
        <v>0.38</v>
      </c>
      <c r="P247" s="134" t="n">
        <v>0.01</v>
      </c>
    </row>
    <row r="248" customFormat="false" ht="12.75" hidden="false" customHeight="false" outlineLevel="0" collapsed="false">
      <c r="A248" s="133"/>
      <c r="B248" s="133"/>
      <c r="C248" s="131" t="e">
        <f aca="false">NextMonth(C247)</f>
        <v>#VALUE!</v>
      </c>
      <c r="D248" s="132" t="n">
        <v>0.0651682201950416</v>
      </c>
      <c r="E248" s="132" t="n">
        <v>4.737</v>
      </c>
      <c r="F248" s="132" t="n">
        <v>0.17</v>
      </c>
      <c r="G248" s="132" t="n">
        <v>0</v>
      </c>
      <c r="H248" s="132" t="n">
        <v>0</v>
      </c>
      <c r="I248" s="132" t="n">
        <v>0</v>
      </c>
      <c r="J248" s="132" t="n">
        <v>0</v>
      </c>
      <c r="K248" s="132" t="n">
        <v>0.02</v>
      </c>
      <c r="L248" s="0" t="n">
        <v>-0.015</v>
      </c>
      <c r="M248" s="133" t="n">
        <v>0.43</v>
      </c>
      <c r="N248" s="0" t="n">
        <v>0</v>
      </c>
      <c r="O248" s="134" t="n">
        <v>0.33</v>
      </c>
      <c r="P248" s="134" t="n">
        <v>0.01</v>
      </c>
    </row>
    <row r="249" customFormat="false" ht="12.75" hidden="false" customHeight="false" outlineLevel="0" collapsed="false">
      <c r="A249" s="133"/>
      <c r="B249" s="133"/>
      <c r="C249" s="131" t="e">
        <f aca="false">NextMonth(C248)</f>
        <v>#VALUE!</v>
      </c>
      <c r="D249" s="132" t="n">
        <v>0.0652105138501584</v>
      </c>
      <c r="E249" s="132" t="n">
        <v>4.777</v>
      </c>
      <c r="F249" s="132" t="n">
        <v>0.17</v>
      </c>
      <c r="G249" s="132" t="n">
        <v>0</v>
      </c>
      <c r="H249" s="132" t="n">
        <v>0</v>
      </c>
      <c r="I249" s="132" t="n">
        <v>0</v>
      </c>
      <c r="J249" s="132" t="n">
        <v>0</v>
      </c>
      <c r="K249" s="132" t="n">
        <v>0.025</v>
      </c>
      <c r="L249" s="0" t="n">
        <v>-0.015</v>
      </c>
      <c r="M249" s="133" t="n">
        <v>0.43</v>
      </c>
      <c r="N249" s="0" t="n">
        <v>0</v>
      </c>
      <c r="O249" s="134" t="n">
        <v>0.37</v>
      </c>
      <c r="P249" s="134" t="n">
        <v>0.02</v>
      </c>
    </row>
    <row r="250" customFormat="false" ht="12.75" hidden="false" customHeight="false" outlineLevel="0" collapsed="false">
      <c r="A250" s="133"/>
      <c r="B250" s="133"/>
      <c r="C250" s="131" t="e">
        <f aca="false">NextMonth(C249)</f>
        <v>#VALUE!</v>
      </c>
      <c r="D250" s="132" t="n">
        <v>0.0652514431943847</v>
      </c>
      <c r="E250" s="132" t="n">
        <v>4.817</v>
      </c>
      <c r="F250" s="132" t="n">
        <v>0.17</v>
      </c>
      <c r="G250" s="132" t="n">
        <v>0</v>
      </c>
      <c r="H250" s="132" t="n">
        <v>0</v>
      </c>
      <c r="I250" s="132" t="n">
        <v>0</v>
      </c>
      <c r="J250" s="132" t="n">
        <v>0</v>
      </c>
      <c r="K250" s="132" t="n">
        <v>0.0275</v>
      </c>
      <c r="L250" s="0" t="n">
        <v>-0.01</v>
      </c>
      <c r="M250" s="133" t="n">
        <v>0.43</v>
      </c>
      <c r="N250" s="0" t="n">
        <v>0</v>
      </c>
      <c r="O250" s="134" t="n">
        <v>0.41</v>
      </c>
      <c r="P250" s="134" t="n">
        <v>0.02</v>
      </c>
    </row>
    <row r="251" customFormat="false" ht="12.75" hidden="false" customHeight="false" outlineLevel="0" collapsed="false">
      <c r="A251" s="133"/>
      <c r="B251" s="133"/>
      <c r="C251" s="131" t="e">
        <f aca="false">NextMonth(C250)</f>
        <v>#VALUE!</v>
      </c>
      <c r="D251" s="132" t="n">
        <v>0.0652937368506676</v>
      </c>
      <c r="E251" s="132" t="n">
        <v>4.867</v>
      </c>
      <c r="F251" s="132" t="n">
        <v>0.17</v>
      </c>
      <c r="G251" s="132" t="n">
        <v>0</v>
      </c>
      <c r="H251" s="132" t="n">
        <v>0</v>
      </c>
      <c r="I251" s="132" t="n">
        <v>0</v>
      </c>
      <c r="J251" s="132" t="n">
        <v>0</v>
      </c>
      <c r="K251" s="132" t="n">
        <v>0.03</v>
      </c>
      <c r="L251" s="0" t="n">
        <v>-0.01</v>
      </c>
      <c r="M251" s="133" t="n">
        <v>0.43</v>
      </c>
      <c r="N251" s="0" t="n">
        <v>0</v>
      </c>
      <c r="O251" s="134" t="n">
        <v>0.41</v>
      </c>
      <c r="P251" s="134" t="n">
        <v>0.005</v>
      </c>
    </row>
    <row r="252" customFormat="false" ht="12.75" hidden="false" customHeight="false" outlineLevel="0" collapsed="false">
      <c r="A252" s="133"/>
      <c r="B252" s="133"/>
      <c r="C252" s="131" t="e">
        <f aca="false">NextMonth(C251)</f>
        <v>#VALUE!</v>
      </c>
      <c r="D252" s="132" t="n">
        <v>0.0653360305075439</v>
      </c>
      <c r="E252" s="132" t="n">
        <v>4.852</v>
      </c>
      <c r="F252" s="132" t="n">
        <v>0.17</v>
      </c>
      <c r="G252" s="132" t="n">
        <v>0</v>
      </c>
      <c r="H252" s="132" t="n">
        <v>0</v>
      </c>
      <c r="I252" s="132" t="n">
        <v>0</v>
      </c>
      <c r="J252" s="132" t="n">
        <v>0</v>
      </c>
      <c r="K252" s="132" t="n">
        <v>0.0225</v>
      </c>
      <c r="L252" s="0" t="n">
        <v>-0.01</v>
      </c>
      <c r="M252" s="133" t="n">
        <v>0.43</v>
      </c>
      <c r="N252" s="0" t="n">
        <v>0</v>
      </c>
      <c r="O252" s="134" t="n">
        <v>0.36</v>
      </c>
      <c r="P252" s="134" t="n">
        <v>0.005</v>
      </c>
    </row>
    <row r="253" customFormat="false" ht="12.75" hidden="false" customHeight="false" outlineLevel="0" collapsed="false">
      <c r="A253" s="133"/>
      <c r="B253" s="133"/>
      <c r="C253" s="131" t="e">
        <f aca="false">NextMonth(C252)</f>
        <v>#VALUE!</v>
      </c>
      <c r="D253" s="132" t="n">
        <v>0.0653769598534728</v>
      </c>
      <c r="E253" s="132" t="n">
        <v>4.867</v>
      </c>
      <c r="F253" s="132" t="n">
        <v>0.17</v>
      </c>
      <c r="G253" s="132" t="n">
        <v>0</v>
      </c>
      <c r="H253" s="132" t="n">
        <v>0</v>
      </c>
      <c r="I253" s="132" t="n">
        <v>0</v>
      </c>
      <c r="J253" s="132" t="n">
        <v>0</v>
      </c>
      <c r="K253" s="132" t="n">
        <v>0.0125</v>
      </c>
      <c r="L253" s="0" t="n">
        <v>-0.015</v>
      </c>
      <c r="M253" s="133" t="n">
        <v>0.43</v>
      </c>
      <c r="N253" s="0" t="n">
        <v>0</v>
      </c>
      <c r="O253" s="134" t="n">
        <v>0.4</v>
      </c>
      <c r="P253" s="134" t="n">
        <v>0.005</v>
      </c>
    </row>
    <row r="254" customFormat="false" ht="12.75" hidden="false" customHeight="false" outlineLevel="0" collapsed="false">
      <c r="A254" s="133"/>
      <c r="B254" s="133"/>
      <c r="C254" s="131" t="e">
        <f aca="false">NextMonth(C253)</f>
        <v>#VALUE!</v>
      </c>
      <c r="D254" s="132" t="n">
        <v>0.0654192535115152</v>
      </c>
      <c r="E254" s="132" t="n">
        <v>5.012</v>
      </c>
      <c r="F254" s="132" t="n">
        <v>0.17</v>
      </c>
      <c r="G254" s="132" t="n">
        <v>0</v>
      </c>
      <c r="H254" s="132" t="n">
        <v>0</v>
      </c>
      <c r="I254" s="132" t="n">
        <v>0</v>
      </c>
      <c r="J254" s="132" t="n">
        <v>0</v>
      </c>
      <c r="K254" s="132" t="n">
        <v>-0.0225</v>
      </c>
      <c r="L254" s="0" t="n">
        <v>-0.02</v>
      </c>
      <c r="M254" s="133" t="n">
        <v>0</v>
      </c>
      <c r="N254" s="0" t="n">
        <v>0</v>
      </c>
      <c r="O254" s="134" t="n">
        <v>0.65</v>
      </c>
      <c r="P254" s="134" t="n">
        <v>0.05</v>
      </c>
    </row>
    <row r="255" customFormat="false" ht="12.75" hidden="false" customHeight="false" outlineLevel="0" collapsed="false">
      <c r="A255" s="133"/>
      <c r="B255" s="133"/>
      <c r="C255" s="131" t="e">
        <f aca="false">NextMonth(C254)</f>
        <v>#VALUE!</v>
      </c>
      <c r="D255" s="132" t="n">
        <v>0.0654601828585726</v>
      </c>
      <c r="E255" s="132" t="n">
        <v>5.147</v>
      </c>
      <c r="F255" s="132" t="n">
        <v>0.17</v>
      </c>
      <c r="G255" s="132" t="n">
        <v>0</v>
      </c>
      <c r="H255" s="132" t="n">
        <v>0</v>
      </c>
      <c r="I255" s="132" t="n">
        <v>0</v>
      </c>
      <c r="J255" s="132" t="n">
        <v>0</v>
      </c>
      <c r="K255" s="132" t="n">
        <v>-0.045</v>
      </c>
      <c r="L255" s="0" t="n">
        <v>-0.025</v>
      </c>
      <c r="M255" s="133" t="n">
        <v>0</v>
      </c>
      <c r="N255" s="0" t="n">
        <v>0</v>
      </c>
      <c r="O255" s="134" t="n">
        <v>0.98</v>
      </c>
      <c r="P255" s="134" t="n">
        <v>0.225</v>
      </c>
    </row>
    <row r="256" customFormat="false" ht="12.75" hidden="false" customHeight="false" outlineLevel="0" collapsed="false">
      <c r="A256" s="133"/>
      <c r="B256" s="133"/>
      <c r="C256" s="131" t="e">
        <f aca="false">NextMonth(C255)</f>
        <v>#VALUE!</v>
      </c>
      <c r="D256" s="132" t="n">
        <v>0.0655024765177816</v>
      </c>
      <c r="E256" s="132" t="n">
        <v>5.1945</v>
      </c>
      <c r="F256" s="132" t="n">
        <v>0.17</v>
      </c>
      <c r="G256" s="132" t="n">
        <v>0</v>
      </c>
      <c r="H256" s="132" t="n">
        <v>0</v>
      </c>
      <c r="I256" s="132" t="n">
        <v>0</v>
      </c>
      <c r="J256" s="132" t="n">
        <v>0</v>
      </c>
      <c r="K256" s="132" t="n">
        <v>-0.0475</v>
      </c>
      <c r="L256" s="0" t="n">
        <v>-0.025</v>
      </c>
      <c r="M256" s="133" t="n">
        <v>0</v>
      </c>
      <c r="N256" s="0" t="n">
        <v>0</v>
      </c>
      <c r="O256" s="134" t="n">
        <v>1.6</v>
      </c>
      <c r="P256" s="134" t="n">
        <v>0.35</v>
      </c>
    </row>
    <row r="257" customFormat="false" ht="12.75" hidden="false" customHeight="false" outlineLevel="0" collapsed="false">
      <c r="A257" s="133"/>
      <c r="B257" s="133"/>
      <c r="C257" s="131" t="e">
        <f aca="false">NextMonth(C256)</f>
        <v>#VALUE!</v>
      </c>
      <c r="D257" s="132" t="n">
        <v>0.0655077550089631</v>
      </c>
      <c r="E257" s="132" t="n">
        <v>5.1135</v>
      </c>
      <c r="F257" s="132" t="n">
        <v>0.17</v>
      </c>
      <c r="G257" s="132" t="n">
        <v>0</v>
      </c>
      <c r="H257" s="132" t="n">
        <v>0</v>
      </c>
      <c r="I257" s="132" t="n">
        <v>0</v>
      </c>
      <c r="J257" s="132" t="n">
        <v>0</v>
      </c>
      <c r="K257" s="132" t="n">
        <v>-0.03</v>
      </c>
      <c r="L257" s="0" t="n">
        <v>-0.025</v>
      </c>
      <c r="M257" s="133" t="n">
        <v>0</v>
      </c>
      <c r="N257" s="0" t="n">
        <v>0</v>
      </c>
      <c r="O257" s="134" t="n">
        <v>1.6</v>
      </c>
      <c r="P257" s="134" t="n">
        <v>0.35</v>
      </c>
    </row>
    <row r="258" customFormat="false" ht="12.75" hidden="false" customHeight="false" outlineLevel="0" collapsed="false">
      <c r="A258" s="133"/>
      <c r="B258" s="133"/>
      <c r="C258" s="131" t="e">
        <f aca="false">NextMonth(C257)</f>
        <v>#VALUE!</v>
      </c>
      <c r="D258" s="132" t="n">
        <v>0.0654988455194387</v>
      </c>
      <c r="E258" s="132" t="n">
        <v>5.0135</v>
      </c>
      <c r="F258" s="132" t="n">
        <v>0.17</v>
      </c>
      <c r="G258" s="132" t="n">
        <v>0</v>
      </c>
      <c r="H258" s="132" t="n">
        <v>0</v>
      </c>
      <c r="I258" s="132" t="n">
        <v>0</v>
      </c>
      <c r="J258" s="132" t="n">
        <v>0</v>
      </c>
      <c r="K258" s="132" t="n">
        <v>-0.0175</v>
      </c>
      <c r="L258" s="0" t="n">
        <v>-0.02</v>
      </c>
      <c r="M258" s="133" t="n">
        <v>0</v>
      </c>
      <c r="N258" s="0" t="n">
        <v>0</v>
      </c>
      <c r="O258" s="134" t="n">
        <v>0.64</v>
      </c>
      <c r="P258" s="134" t="n">
        <v>0.1</v>
      </c>
    </row>
    <row r="259" customFormat="false" ht="12.75" hidden="false" customHeight="false" outlineLevel="0" collapsed="false">
      <c r="A259" s="133"/>
      <c r="B259" s="133"/>
      <c r="C259" s="131" t="e">
        <f aca="false">NextMonth(C258)</f>
        <v>#VALUE!</v>
      </c>
      <c r="D259" s="132" t="n">
        <v>0.065488981441781</v>
      </c>
      <c r="E259" s="132" t="n">
        <v>4.8315</v>
      </c>
      <c r="F259" s="132" t="n">
        <v>0.17</v>
      </c>
      <c r="G259" s="132" t="n">
        <v>0</v>
      </c>
      <c r="H259" s="132" t="n">
        <v>0</v>
      </c>
      <c r="I259" s="132" t="n">
        <v>0</v>
      </c>
      <c r="J259" s="132" t="n">
        <v>0</v>
      </c>
      <c r="K259" s="132" t="n">
        <v>0.02</v>
      </c>
      <c r="L259" s="0" t="n">
        <v>-0.015</v>
      </c>
      <c r="M259" s="133" t="n">
        <v>0</v>
      </c>
      <c r="N259" s="0" t="n">
        <v>0</v>
      </c>
      <c r="O259" s="134" t="n">
        <v>0.38</v>
      </c>
      <c r="P259" s="134" t="n">
        <v>0.01</v>
      </c>
    </row>
    <row r="260" customFormat="false" ht="12.75" hidden="false" customHeight="false" outlineLevel="0" collapsed="false">
      <c r="A260" s="133"/>
      <c r="B260" s="133"/>
      <c r="C260" s="131" t="e">
        <f aca="false">NextMonth(C259)</f>
        <v>#VALUE!</v>
      </c>
      <c r="D260" s="132" t="n">
        <v>0.0654794355602082</v>
      </c>
      <c r="E260" s="132" t="n">
        <v>4.8345</v>
      </c>
      <c r="F260" s="132" t="n">
        <v>0.17</v>
      </c>
      <c r="G260" s="132" t="n">
        <v>0</v>
      </c>
      <c r="H260" s="132" t="n">
        <v>0</v>
      </c>
      <c r="I260" s="132" t="n">
        <v>0</v>
      </c>
      <c r="J260" s="132" t="n">
        <v>0</v>
      </c>
      <c r="K260" s="132" t="n">
        <v>0.02</v>
      </c>
      <c r="L260" s="0" t="n">
        <v>-0.015</v>
      </c>
      <c r="M260" s="133" t="n">
        <v>0</v>
      </c>
      <c r="N260" s="0" t="n">
        <v>0</v>
      </c>
      <c r="O260" s="134" t="n">
        <v>0.33</v>
      </c>
      <c r="P260" s="134" t="n">
        <v>0.01</v>
      </c>
    </row>
    <row r="261" customFormat="false" ht="12.75" hidden="false" customHeight="false" outlineLevel="0" collapsed="false">
      <c r="A261" s="133"/>
      <c r="B261" s="133"/>
      <c r="C261" s="131" t="e">
        <f aca="false">NextMonth(C260)</f>
        <v>#VALUE!</v>
      </c>
      <c r="D261" s="132" t="n">
        <v>0.0654695714826143</v>
      </c>
      <c r="E261" s="132" t="n">
        <v>4.8745</v>
      </c>
      <c r="F261" s="132" t="n">
        <v>0.17</v>
      </c>
      <c r="G261" s="132" t="n">
        <v>0</v>
      </c>
      <c r="H261" s="132" t="n">
        <v>0</v>
      </c>
      <c r="I261" s="132" t="n">
        <v>0</v>
      </c>
      <c r="J261" s="132" t="n">
        <v>0</v>
      </c>
      <c r="K261" s="132" t="n">
        <v>0.025</v>
      </c>
      <c r="L261" s="0" t="n">
        <v>-0.015</v>
      </c>
      <c r="M261" s="133" t="n">
        <v>0</v>
      </c>
      <c r="N261" s="0" t="n">
        <v>0</v>
      </c>
      <c r="O261" s="134" t="n">
        <v>0.37</v>
      </c>
      <c r="P261" s="134" t="n">
        <v>0.02</v>
      </c>
    </row>
    <row r="262" customFormat="false" ht="12.75" hidden="false" customHeight="false" outlineLevel="0" collapsed="false">
      <c r="A262" s="133"/>
      <c r="B262" s="133"/>
      <c r="C262" s="131" t="e">
        <f aca="false">NextMonth(C261)</f>
        <v>#VALUE!</v>
      </c>
      <c r="D262" s="132" t="n">
        <v>0.0654600256011029</v>
      </c>
      <c r="E262" s="132" t="n">
        <v>4.9145</v>
      </c>
      <c r="F262" s="132" t="n">
        <v>0.17</v>
      </c>
      <c r="G262" s="132" t="n">
        <v>0</v>
      </c>
      <c r="H262" s="132" t="n">
        <v>0</v>
      </c>
      <c r="I262" s="132" t="n">
        <v>0</v>
      </c>
      <c r="J262" s="132" t="n">
        <v>0</v>
      </c>
      <c r="K262" s="132" t="n">
        <v>0.0275</v>
      </c>
      <c r="L262" s="0" t="n">
        <v>-0.01</v>
      </c>
      <c r="M262" s="133" t="n">
        <v>0</v>
      </c>
      <c r="N262" s="0" t="n">
        <v>0</v>
      </c>
      <c r="O262" s="134" t="n">
        <v>0.41</v>
      </c>
      <c r="P262" s="134" t="n">
        <v>0.02</v>
      </c>
    </row>
    <row r="263" customFormat="false" ht="12.75" hidden="false" customHeight="false" outlineLevel="0" collapsed="false">
      <c r="A263" s="133"/>
      <c r="B263" s="133"/>
      <c r="C263" s="131" t="e">
        <f aca="false">NextMonth(C262)</f>
        <v>#VALUE!</v>
      </c>
      <c r="D263" s="132" t="n">
        <v>0.0654501615235725</v>
      </c>
      <c r="E263" s="132" t="n">
        <v>4.9645</v>
      </c>
      <c r="F263" s="132" t="n">
        <v>0.17</v>
      </c>
      <c r="G263" s="132" t="n">
        <v>0</v>
      </c>
      <c r="H263" s="132" t="n">
        <v>0</v>
      </c>
      <c r="I263" s="132" t="n">
        <v>0</v>
      </c>
      <c r="J263" s="132" t="n">
        <v>0</v>
      </c>
      <c r="K263" s="132" t="n">
        <v>0.03</v>
      </c>
      <c r="L263" s="0" t="n">
        <v>-0.01</v>
      </c>
      <c r="M263" s="133" t="n">
        <v>0</v>
      </c>
      <c r="N263" s="0" t="n">
        <v>0</v>
      </c>
      <c r="O263" s="134" t="n">
        <v>0.41</v>
      </c>
      <c r="P263" s="134" t="n">
        <v>0.005</v>
      </c>
    </row>
    <row r="264" customFormat="false" ht="12.75" hidden="false" customHeight="false" outlineLevel="0" collapsed="false">
      <c r="A264" s="133"/>
      <c r="B264" s="133"/>
      <c r="C264" s="131" t="e">
        <f aca="false">NextMonth(C263)</f>
        <v>#VALUE!</v>
      </c>
      <c r="D264" s="132" t="n">
        <v>0.0654402974460746</v>
      </c>
      <c r="E264" s="132" t="n">
        <v>4.9495</v>
      </c>
      <c r="F264" s="132" t="n">
        <v>0.17</v>
      </c>
      <c r="G264" s="132" t="n">
        <v>0</v>
      </c>
      <c r="H264" s="132" t="n">
        <v>0</v>
      </c>
      <c r="I264" s="132" t="n">
        <v>0</v>
      </c>
      <c r="J264" s="132" t="n">
        <v>0</v>
      </c>
      <c r="K264" s="132" t="n">
        <v>0.0225</v>
      </c>
      <c r="L264" s="0" t="n">
        <v>-0.01</v>
      </c>
      <c r="M264" s="133" t="n">
        <v>0</v>
      </c>
      <c r="N264" s="0" t="n">
        <v>0</v>
      </c>
      <c r="O264" s="134" t="n">
        <v>0.36</v>
      </c>
      <c r="P264" s="134" t="n">
        <v>0.005</v>
      </c>
    </row>
    <row r="265" customFormat="false" ht="12.75" hidden="false" customHeight="false" outlineLevel="0" collapsed="false">
      <c r="A265" s="133"/>
      <c r="B265" s="133"/>
      <c r="C265" s="131" t="e">
        <f aca="false">NextMonth(C264)</f>
        <v>#VALUE!</v>
      </c>
      <c r="D265" s="132" t="n">
        <v>0.0654307515646559</v>
      </c>
      <c r="E265" s="132" t="n">
        <v>4.9645</v>
      </c>
      <c r="F265" s="132" t="n">
        <v>0.17</v>
      </c>
      <c r="G265" s="132" t="n">
        <v>0</v>
      </c>
      <c r="H265" s="132" t="n">
        <v>0</v>
      </c>
      <c r="I265" s="132" t="n">
        <v>0</v>
      </c>
      <c r="J265" s="132" t="n">
        <v>0</v>
      </c>
      <c r="K265" s="132" t="n">
        <v>0.0125</v>
      </c>
      <c r="L265" s="0" t="n">
        <v>-0.015</v>
      </c>
      <c r="M265" s="133" t="n">
        <v>0</v>
      </c>
      <c r="N265" s="0" t="n">
        <v>0</v>
      </c>
      <c r="O265" s="134" t="n">
        <v>0.4</v>
      </c>
      <c r="P265" s="134" t="n">
        <v>0.005</v>
      </c>
    </row>
    <row r="266" customFormat="false" ht="12.75" hidden="false" customHeight="false" outlineLevel="0" collapsed="false">
      <c r="A266" s="133"/>
      <c r="B266" s="133"/>
      <c r="C266" s="131" t="e">
        <f aca="false">NextMonth(C265)</f>
        <v>#VALUE!</v>
      </c>
      <c r="D266" s="132" t="n">
        <v>0.0654208874872211</v>
      </c>
      <c r="E266" s="132" t="n">
        <v>5.1095</v>
      </c>
      <c r="F266" s="132" t="n">
        <v>0.17</v>
      </c>
      <c r="G266" s="132" t="n">
        <v>0</v>
      </c>
      <c r="H266" s="132" t="n">
        <v>0</v>
      </c>
      <c r="I266" s="132" t="n">
        <v>0</v>
      </c>
      <c r="J266" s="132" t="n">
        <v>0</v>
      </c>
      <c r="K266" s="132" t="n">
        <v>-0.0225</v>
      </c>
      <c r="L266" s="0" t="n">
        <v>-0.02</v>
      </c>
      <c r="M266" s="133" t="n">
        <v>0</v>
      </c>
      <c r="N266" s="0" t="n">
        <v>0</v>
      </c>
      <c r="O266" s="134" t="n">
        <v>0.65</v>
      </c>
      <c r="P266" s="134" t="n">
        <v>0.05</v>
      </c>
    </row>
    <row r="267" customFormat="false" ht="12.75" hidden="false" customHeight="false" outlineLevel="0" collapsed="false">
      <c r="A267" s="133"/>
      <c r="B267" s="133"/>
      <c r="C267" s="131" t="e">
        <f aca="false">NextMonth(C266)</f>
        <v>#VALUE!</v>
      </c>
      <c r="D267" s="132" t="n">
        <v>0.0654113416058633</v>
      </c>
      <c r="E267" s="132" t="n">
        <v>5.2445</v>
      </c>
      <c r="F267" s="132" t="n">
        <v>0.17</v>
      </c>
      <c r="G267" s="132" t="n">
        <v>0</v>
      </c>
      <c r="H267" s="132" t="n">
        <v>0</v>
      </c>
      <c r="I267" s="132" t="n">
        <v>0</v>
      </c>
      <c r="J267" s="132" t="n">
        <v>0</v>
      </c>
      <c r="K267" s="132" t="n">
        <v>-0.045</v>
      </c>
      <c r="L267" s="0" t="n">
        <v>-0.025</v>
      </c>
      <c r="M267" s="133" t="n">
        <v>0</v>
      </c>
      <c r="N267" s="0" t="n">
        <v>0</v>
      </c>
      <c r="O267" s="134" t="n">
        <v>0.98</v>
      </c>
      <c r="P267" s="134" t="n">
        <v>0.225</v>
      </c>
    </row>
    <row r="268" customFormat="false" ht="12.75" hidden="false" customHeight="false" outlineLevel="0" collapsed="false">
      <c r="A268" s="133"/>
      <c r="B268" s="133"/>
      <c r="C268" s="131" t="e">
        <f aca="false">NextMonth(C267)</f>
        <v>#VALUE!</v>
      </c>
      <c r="D268" s="132" t="n">
        <v>0.0654014775284924</v>
      </c>
      <c r="E268" s="132" t="n">
        <v>5.292</v>
      </c>
      <c r="F268" s="132" t="n">
        <v>0.17</v>
      </c>
      <c r="K268" s="132" t="n">
        <v>-0.0475</v>
      </c>
      <c r="L268" s="0" t="n">
        <v>-0.025</v>
      </c>
      <c r="M268" s="133" t="n">
        <v>0</v>
      </c>
      <c r="N268" s="0" t="n">
        <v>0</v>
      </c>
      <c r="O268" s="134" t="n">
        <v>1.6</v>
      </c>
      <c r="P268" s="134" t="n">
        <v>0.35</v>
      </c>
    </row>
    <row r="269" customFormat="false" ht="12.75" hidden="false" customHeight="false" outlineLevel="0" collapsed="false">
      <c r="A269" s="133"/>
      <c r="B269" s="133"/>
      <c r="C269" s="131" t="e">
        <f aca="false">NextMonth(C268)</f>
        <v>#VALUE!</v>
      </c>
      <c r="D269" s="132" t="n">
        <v>0.0653916134511534</v>
      </c>
      <c r="E269" s="132" t="n">
        <v>5.211</v>
      </c>
      <c r="F269" s="132" t="n">
        <v>0.17</v>
      </c>
      <c r="K269" s="132" t="n">
        <v>-0.03</v>
      </c>
      <c r="L269" s="0" t="n">
        <v>-0.025</v>
      </c>
      <c r="M269" s="133" t="n">
        <v>0</v>
      </c>
      <c r="N269" s="0" t="n">
        <v>0</v>
      </c>
      <c r="O269" s="134" t="n">
        <v>1.6</v>
      </c>
      <c r="P269" s="134" t="n">
        <v>0.35</v>
      </c>
    </row>
    <row r="270" customFormat="false" ht="12.75" hidden="false" customHeight="false" outlineLevel="0" collapsed="false">
      <c r="A270" s="133"/>
      <c r="B270" s="133"/>
      <c r="C270" s="131" t="e">
        <f aca="false">NextMonth(C269)</f>
        <v>#VALUE!</v>
      </c>
      <c r="D270" s="132" t="n">
        <v>0.0653827039619719</v>
      </c>
      <c r="E270" s="132" t="n">
        <v>5.111</v>
      </c>
      <c r="F270" s="132" t="n">
        <v>0.17</v>
      </c>
      <c r="K270" s="132" t="n">
        <v>-0.0175</v>
      </c>
      <c r="L270" s="0" t="n">
        <v>-0.02</v>
      </c>
      <c r="M270" s="133" t="n">
        <v>0</v>
      </c>
      <c r="N270" s="0" t="n">
        <v>0</v>
      </c>
      <c r="O270" s="134" t="n">
        <v>0.64</v>
      </c>
      <c r="P270" s="134" t="n">
        <v>0.1</v>
      </c>
    </row>
    <row r="271" customFormat="false" ht="12.75" hidden="false" customHeight="false" outlineLevel="0" collapsed="false">
      <c r="A271" s="133"/>
      <c r="B271" s="133"/>
      <c r="C271" s="131" t="e">
        <f aca="false">NextMonth(C270)</f>
        <v>#VALUE!</v>
      </c>
      <c r="D271" s="132" t="n">
        <v>0.0653728398846942</v>
      </c>
      <c r="E271" s="132" t="n">
        <v>4.929</v>
      </c>
      <c r="F271" s="132" t="n">
        <v>0.17</v>
      </c>
      <c r="K271" s="132" t="n">
        <v>0.02</v>
      </c>
      <c r="L271" s="0" t="n">
        <v>-0.015</v>
      </c>
      <c r="M271" s="133" t="n">
        <v>0</v>
      </c>
      <c r="N271" s="0" t="n">
        <v>0</v>
      </c>
      <c r="O271" s="134" t="n">
        <v>0.38</v>
      </c>
      <c r="P271" s="134" t="n">
        <v>0.01</v>
      </c>
    </row>
    <row r="272" customFormat="false" ht="12.75" hidden="false" customHeight="false" outlineLevel="0" collapsed="false">
      <c r="A272" s="133"/>
      <c r="B272" s="133"/>
      <c r="C272" s="131" t="e">
        <f aca="false">NextMonth(C271)</f>
        <v>#VALUE!</v>
      </c>
      <c r="D272" s="132" t="n">
        <v>0.0653632940034887</v>
      </c>
      <c r="E272" s="132" t="n">
        <v>4.932</v>
      </c>
      <c r="F272" s="132" t="n">
        <v>0.17</v>
      </c>
      <c r="K272" s="132" t="n">
        <v>0.02</v>
      </c>
      <c r="L272" s="0" t="n">
        <v>-0.015</v>
      </c>
      <c r="M272" s="133" t="n">
        <v>0</v>
      </c>
      <c r="N272" s="0" t="n">
        <v>0</v>
      </c>
      <c r="O272" s="134" t="n">
        <v>0.33</v>
      </c>
      <c r="P272" s="134" t="n">
        <v>0.01</v>
      </c>
    </row>
    <row r="273" customFormat="false" ht="12.75" hidden="false" customHeight="false" outlineLevel="0" collapsed="false">
      <c r="A273" s="133"/>
      <c r="B273" s="133"/>
      <c r="C273" s="131" t="e">
        <f aca="false">NextMonth(C272)</f>
        <v>#VALUE!</v>
      </c>
      <c r="D273" s="132" t="n">
        <v>0.0653534299262746</v>
      </c>
      <c r="E273" s="132" t="n">
        <v>4.972</v>
      </c>
      <c r="F273" s="132" t="n">
        <v>0.17</v>
      </c>
      <c r="K273" s="132" t="n">
        <v>0.025</v>
      </c>
      <c r="L273" s="0" t="n">
        <v>-0.015</v>
      </c>
      <c r="M273" s="133" t="n">
        <v>0</v>
      </c>
      <c r="N273" s="0" t="n">
        <v>0</v>
      </c>
      <c r="O273" s="134" t="n">
        <v>0.37</v>
      </c>
      <c r="P273" s="134" t="n">
        <v>0.02</v>
      </c>
    </row>
    <row r="274" customFormat="false" ht="12.75" hidden="false" customHeight="false" outlineLevel="0" collapsed="false">
      <c r="A274" s="133"/>
      <c r="B274" s="133"/>
      <c r="C274" s="131" t="e">
        <f aca="false">NextMonth(C273)</f>
        <v>#VALUE!</v>
      </c>
      <c r="D274" s="132" t="n">
        <v>0.0653438840451304</v>
      </c>
      <c r="E274" s="132" t="n">
        <v>5.012</v>
      </c>
      <c r="F274" s="132" t="n">
        <v>0.17</v>
      </c>
      <c r="K274" s="132" t="n">
        <v>0.0275</v>
      </c>
      <c r="L274" s="0" t="n">
        <v>-0.01</v>
      </c>
      <c r="M274" s="133" t="n">
        <v>0</v>
      </c>
      <c r="N274" s="0" t="n">
        <v>0</v>
      </c>
      <c r="O274" s="134" t="n">
        <v>0.41</v>
      </c>
      <c r="P274" s="134" t="n">
        <v>0.02</v>
      </c>
    </row>
    <row r="275" customFormat="false" ht="12.75" hidden="false" customHeight="false" outlineLevel="0" collapsed="false">
      <c r="A275" s="133"/>
      <c r="B275" s="133"/>
      <c r="C275" s="131" t="e">
        <f aca="false">NextMonth(C274)</f>
        <v>#VALUE!</v>
      </c>
      <c r="D275" s="132" t="n">
        <v>0.0653340199679802</v>
      </c>
      <c r="E275" s="132" t="n">
        <v>5.062</v>
      </c>
      <c r="F275" s="132" t="n">
        <v>0.17</v>
      </c>
      <c r="K275" s="132" t="n">
        <v>0.03</v>
      </c>
      <c r="L275" s="0" t="n">
        <v>-0.01</v>
      </c>
      <c r="M275" s="133" t="n">
        <v>0</v>
      </c>
      <c r="N275" s="0" t="n">
        <v>0</v>
      </c>
      <c r="O275" s="134" t="n">
        <v>0.41</v>
      </c>
      <c r="P275" s="134" t="n">
        <v>0.005</v>
      </c>
    </row>
    <row r="276" customFormat="false" ht="12.75" hidden="false" customHeight="false" outlineLevel="0" collapsed="false">
      <c r="A276" s="133"/>
      <c r="B276" s="133"/>
      <c r="C276" s="131" t="e">
        <f aca="false">NextMonth(C275)</f>
        <v>#VALUE!</v>
      </c>
      <c r="D276" s="132" t="n">
        <v>0.0653241558908619</v>
      </c>
      <c r="E276" s="132" t="n">
        <v>5.047</v>
      </c>
      <c r="F276" s="132" t="n">
        <v>0.17</v>
      </c>
      <c r="K276" s="132" t="n">
        <v>0.0225</v>
      </c>
      <c r="L276" s="0" t="n">
        <v>-0.01</v>
      </c>
      <c r="M276" s="133" t="n">
        <v>0</v>
      </c>
      <c r="N276" s="0" t="n">
        <v>0</v>
      </c>
      <c r="O276" s="134" t="n">
        <v>0.36</v>
      </c>
      <c r="P276" s="134" t="n">
        <v>0.005</v>
      </c>
    </row>
    <row r="277" customFormat="false" ht="12.75" hidden="false" customHeight="false" outlineLevel="0" collapsed="false">
      <c r="A277" s="133"/>
      <c r="B277" s="133"/>
      <c r="C277" s="131" t="e">
        <f aca="false">NextMonth(C276)</f>
        <v>#VALUE!</v>
      </c>
      <c r="D277" s="132" t="n">
        <v>0.0653146100098101</v>
      </c>
      <c r="E277" s="132" t="n">
        <v>5.062</v>
      </c>
      <c r="F277" s="132" t="n">
        <v>0.17</v>
      </c>
      <c r="K277" s="132" t="n">
        <v>0.0125</v>
      </c>
      <c r="L277" s="0" t="n">
        <v>-0.015</v>
      </c>
      <c r="M277" s="133" t="n">
        <v>0</v>
      </c>
      <c r="N277" s="0" t="n">
        <v>0</v>
      </c>
      <c r="O277" s="134" t="n">
        <v>0.4</v>
      </c>
      <c r="P277" s="134" t="n">
        <v>0.005</v>
      </c>
    </row>
    <row r="278" customFormat="false" ht="12.75" hidden="false" customHeight="false" outlineLevel="0" collapsed="false">
      <c r="A278" s="133"/>
      <c r="B278" s="133"/>
      <c r="C278" s="131" t="e">
        <f aca="false">NextMonth(C277)</f>
        <v>#VALUE!</v>
      </c>
      <c r="D278" s="132" t="n">
        <v>0.0653047459327549</v>
      </c>
      <c r="E278" s="132" t="n">
        <v>5.207</v>
      </c>
      <c r="F278" s="132" t="n">
        <v>0.17</v>
      </c>
      <c r="K278" s="132" t="n">
        <v>-0.0225</v>
      </c>
      <c r="L278" s="0" t="n">
        <v>0</v>
      </c>
      <c r="M278" s="133" t="n">
        <v>0</v>
      </c>
      <c r="N278" s="0" t="n">
        <v>0</v>
      </c>
      <c r="O278" s="134" t="n">
        <v>0.65</v>
      </c>
      <c r="P278" s="134" t="n">
        <v>0.05</v>
      </c>
    </row>
    <row r="279" customFormat="false" ht="12.75" hidden="false" customHeight="false" outlineLevel="0" collapsed="false">
      <c r="A279" s="133"/>
      <c r="B279" s="133"/>
      <c r="C279" s="131" t="e">
        <f aca="false">NextMonth(C278)</f>
        <v>#VALUE!</v>
      </c>
      <c r="D279" s="132" t="n">
        <v>0.0652952000517648</v>
      </c>
      <c r="E279" s="132" t="n">
        <v>5.342</v>
      </c>
      <c r="F279" s="132" t="n">
        <v>0.17</v>
      </c>
      <c r="K279" s="132" t="n">
        <v>-0.045</v>
      </c>
      <c r="L279" s="0" t="n">
        <v>0</v>
      </c>
      <c r="M279" s="133" t="n">
        <v>0</v>
      </c>
      <c r="N279" s="0" t="n">
        <v>0</v>
      </c>
      <c r="O279" s="134" t="n">
        <v>0.98</v>
      </c>
      <c r="P279" s="134" t="n">
        <v>0.225</v>
      </c>
    </row>
    <row r="280" customFormat="false" ht="12.75" hidden="false" customHeight="false" outlineLevel="0" collapsed="false">
      <c r="A280" s="133"/>
      <c r="B280" s="133"/>
      <c r="C280" s="131" t="e">
        <f aca="false">NextMonth(C279)</f>
        <v>#VALUE!</v>
      </c>
      <c r="D280" s="132" t="n">
        <v>0.0652853359747732</v>
      </c>
      <c r="E280" s="132" t="n">
        <v>5.3895</v>
      </c>
      <c r="F280" s="132" t="n">
        <v>0.17</v>
      </c>
      <c r="K280" s="132" t="n">
        <v>-0.0475</v>
      </c>
      <c r="L280" s="0" t="n">
        <v>0</v>
      </c>
      <c r="M280" s="133" t="n">
        <v>0</v>
      </c>
      <c r="N280" s="0" t="n">
        <v>0</v>
      </c>
      <c r="O280" s="134" t="n">
        <v>1.6</v>
      </c>
      <c r="P280" s="134" t="n">
        <v>0.35</v>
      </c>
    </row>
    <row r="281" customFormat="false" ht="12.75" hidden="false" customHeight="false" outlineLevel="0" collapsed="false">
      <c r="A281" s="133"/>
      <c r="B281" s="133"/>
      <c r="C281" s="131" t="e">
        <f aca="false">NextMonth(C280)</f>
        <v>#VALUE!</v>
      </c>
      <c r="D281" s="132" t="n">
        <v>0.0652754718978144</v>
      </c>
      <c r="E281" s="132" t="n">
        <v>5.3085</v>
      </c>
      <c r="F281" s="132" t="n">
        <v>0.17</v>
      </c>
      <c r="K281" s="132" t="n">
        <v>-0.03</v>
      </c>
      <c r="L281" s="0" t="n">
        <v>0</v>
      </c>
      <c r="M281" s="133" t="n">
        <v>0</v>
      </c>
      <c r="N281" s="0" t="n">
        <v>0</v>
      </c>
      <c r="O281" s="134" t="n">
        <v>1.6</v>
      </c>
      <c r="P281" s="134" t="n">
        <v>0.35</v>
      </c>
    </row>
    <row r="282" customFormat="false" ht="12.75" hidden="false" customHeight="false" outlineLevel="0" collapsed="false">
      <c r="A282" s="133"/>
      <c r="B282" s="133"/>
      <c r="C282" s="131" t="e">
        <f aca="false">NextMonth(C281)</f>
        <v>#VALUE!</v>
      </c>
      <c r="D282" s="132" t="n">
        <v>0.0652662442129461</v>
      </c>
      <c r="E282" s="132" t="n">
        <v>5.2085</v>
      </c>
      <c r="F282" s="132" t="n">
        <v>0.17</v>
      </c>
      <c r="K282" s="132" t="n">
        <v>-0.0175</v>
      </c>
      <c r="L282" s="0" t="n">
        <v>0</v>
      </c>
      <c r="M282" s="133" t="n">
        <v>0</v>
      </c>
      <c r="N282" s="0" t="n">
        <v>0</v>
      </c>
      <c r="O282" s="134" t="n">
        <v>0.64</v>
      </c>
      <c r="P282" s="134" t="n">
        <v>0.1</v>
      </c>
    </row>
    <row r="283" customFormat="false" ht="12.75" hidden="false" customHeight="false" outlineLevel="0" collapsed="false">
      <c r="A283" s="133"/>
      <c r="B283" s="133"/>
      <c r="C283" s="131" t="e">
        <f aca="false">NextMonth(C282)</f>
        <v>#VALUE!</v>
      </c>
      <c r="D283" s="132" t="n">
        <v>0.0652563801360495</v>
      </c>
      <c r="E283" s="132" t="n">
        <v>5.0265</v>
      </c>
      <c r="F283" s="132" t="n">
        <v>0.17</v>
      </c>
      <c r="K283" s="132" t="n">
        <v>0.02</v>
      </c>
      <c r="L283" s="0" t="n">
        <v>0</v>
      </c>
      <c r="M283" s="133" t="n">
        <v>0</v>
      </c>
      <c r="N283" s="0" t="n">
        <v>0</v>
      </c>
      <c r="O283" s="134" t="n">
        <v>0.38</v>
      </c>
      <c r="P283" s="134" t="n">
        <v>0.01</v>
      </c>
    </row>
    <row r="284" customFormat="false" ht="12.75" hidden="false" customHeight="false" outlineLevel="0" collapsed="false">
      <c r="A284" s="133"/>
      <c r="B284" s="133"/>
      <c r="C284" s="131" t="e">
        <f aca="false">NextMonth(C283)</f>
        <v>#VALUE!</v>
      </c>
      <c r="D284" s="132" t="n">
        <v>0.0652468342552122</v>
      </c>
      <c r="E284" s="132" t="n">
        <v>5.0295</v>
      </c>
      <c r="F284" s="132" t="n">
        <v>0.17</v>
      </c>
      <c r="K284" s="132" t="n">
        <v>0.02</v>
      </c>
      <c r="L284" s="0" t="n">
        <v>0</v>
      </c>
      <c r="M284" s="133" t="n">
        <v>0</v>
      </c>
      <c r="N284" s="0" t="n">
        <v>0</v>
      </c>
      <c r="O284" s="134" t="n">
        <v>0.33</v>
      </c>
      <c r="P284" s="134" t="n">
        <v>0.01</v>
      </c>
    </row>
    <row r="285" customFormat="false" ht="12.75" hidden="false" customHeight="false" outlineLevel="0" collapsed="false">
      <c r="A285" s="133"/>
      <c r="B285" s="133"/>
      <c r="C285" s="131" t="e">
        <f aca="false">NextMonth(C284)</f>
        <v>#VALUE!</v>
      </c>
      <c r="D285" s="132" t="n">
        <v>0.065236970178379</v>
      </c>
      <c r="E285" s="132" t="n">
        <v>5.0695</v>
      </c>
      <c r="F285" s="132" t="n">
        <v>0.17</v>
      </c>
      <c r="K285" s="132" t="n">
        <v>0.025</v>
      </c>
      <c r="L285" s="0" t="n">
        <v>0</v>
      </c>
      <c r="M285" s="133" t="n">
        <v>0</v>
      </c>
      <c r="N285" s="0" t="n">
        <v>0</v>
      </c>
      <c r="O285" s="134" t="n">
        <v>0.37</v>
      </c>
      <c r="P285" s="134" t="n">
        <v>0.02</v>
      </c>
    </row>
    <row r="286" customFormat="false" ht="12.75" hidden="false" customHeight="false" outlineLevel="0" collapsed="false">
      <c r="A286" s="133"/>
      <c r="B286" s="133"/>
      <c r="C286" s="131" t="e">
        <f aca="false">NextMonth(C285)</f>
        <v>#VALUE!</v>
      </c>
      <c r="D286" s="132" t="n">
        <v>0.065227424297603</v>
      </c>
      <c r="E286" s="132" t="n">
        <v>5.1095</v>
      </c>
      <c r="F286" s="132" t="n">
        <v>0.17</v>
      </c>
      <c r="K286" s="132" t="n">
        <v>0.0275</v>
      </c>
      <c r="L286" s="0" t="n">
        <v>0</v>
      </c>
      <c r="M286" s="133" t="n">
        <v>0</v>
      </c>
      <c r="N286" s="0" t="n">
        <v>0</v>
      </c>
      <c r="O286" s="134" t="n">
        <v>0.41</v>
      </c>
      <c r="P286" s="134" t="n">
        <v>0.02</v>
      </c>
    </row>
    <row r="287" customFormat="false" ht="12.75" hidden="false" customHeight="false" outlineLevel="0" collapsed="false">
      <c r="A287" s="133"/>
      <c r="B287" s="133"/>
      <c r="C287" s="131" t="e">
        <f aca="false">NextMonth(C286)</f>
        <v>#VALUE!</v>
      </c>
      <c r="D287" s="132" t="n">
        <v>0.0652175602208329</v>
      </c>
      <c r="E287" s="132" t="n">
        <v>5.1595</v>
      </c>
      <c r="F287" s="132" t="n">
        <v>0.17</v>
      </c>
      <c r="K287" s="132" t="n">
        <v>0.03</v>
      </c>
      <c r="L287" s="0" t="n">
        <v>0</v>
      </c>
      <c r="M287" s="133" t="n">
        <v>0</v>
      </c>
      <c r="N287" s="0" t="n">
        <v>0</v>
      </c>
      <c r="O287" s="134" t="n">
        <v>0.41</v>
      </c>
      <c r="P287" s="134" t="n">
        <v>0.005</v>
      </c>
    </row>
    <row r="288" customFormat="false" ht="12.75" hidden="false" customHeight="false" outlineLevel="0" collapsed="false">
      <c r="A288" s="133"/>
      <c r="B288" s="133"/>
      <c r="C288" s="131" t="e">
        <f aca="false">NextMonth(C287)</f>
        <v>#VALUE!</v>
      </c>
      <c r="D288" s="132" t="n">
        <v>0.0652076961440953</v>
      </c>
      <c r="E288" s="132" t="n">
        <v>5.1445</v>
      </c>
      <c r="F288" s="132" t="n">
        <v>0.17</v>
      </c>
      <c r="K288" s="132" t="n">
        <v>0.0225</v>
      </c>
      <c r="L288" s="0" t="n">
        <v>0</v>
      </c>
      <c r="M288" s="133" t="n">
        <v>0</v>
      </c>
      <c r="N288" s="0" t="n">
        <v>0</v>
      </c>
      <c r="O288" s="134" t="n">
        <v>0.36</v>
      </c>
      <c r="P288" s="134" t="n">
        <v>0.005</v>
      </c>
    </row>
    <row r="289" customFormat="false" ht="12.75" hidden="false" customHeight="false" outlineLevel="0" collapsed="false">
      <c r="A289" s="133"/>
      <c r="B289" s="133"/>
      <c r="C289" s="131" t="e">
        <f aca="false">NextMonth(C288)</f>
        <v>#VALUE!</v>
      </c>
      <c r="D289" s="132" t="n">
        <v>0.065198150263412</v>
      </c>
      <c r="E289" s="132" t="n">
        <v>5.1595</v>
      </c>
      <c r="F289" s="132" t="n">
        <v>0.17</v>
      </c>
      <c r="K289" s="132" t="n">
        <v>0.0125</v>
      </c>
      <c r="L289" s="0" t="n">
        <v>0</v>
      </c>
      <c r="M289" s="133" t="n">
        <v>0</v>
      </c>
      <c r="N289" s="0" t="n">
        <v>0</v>
      </c>
      <c r="O289" s="134" t="n">
        <v>0.4</v>
      </c>
      <c r="P289" s="134" t="n">
        <v>0.005</v>
      </c>
    </row>
    <row r="290" customFormat="false" ht="12.75" hidden="false" customHeight="false" outlineLevel="0" collapsed="false">
      <c r="A290" s="133"/>
      <c r="B290" s="133"/>
      <c r="C290" s="131" t="e">
        <f aca="false">NextMonth(C289)</f>
        <v>#VALUE!</v>
      </c>
      <c r="D290" s="132" t="n">
        <v>0.0651882861867383</v>
      </c>
      <c r="E290" s="132" t="n">
        <v>5.3045</v>
      </c>
      <c r="F290" s="132" t="n">
        <v>0.17</v>
      </c>
      <c r="K290" s="132" t="n">
        <v>-0.0225</v>
      </c>
      <c r="L290" s="0" t="n">
        <v>0</v>
      </c>
      <c r="M290" s="133" t="n">
        <v>0</v>
      </c>
      <c r="N290" s="0" t="n">
        <v>0</v>
      </c>
      <c r="O290" s="134" t="n">
        <v>0.65</v>
      </c>
      <c r="P290" s="134" t="n">
        <v>0.05</v>
      </c>
    </row>
    <row r="291" customFormat="false" ht="12.75" hidden="false" customHeight="false" outlineLevel="0" collapsed="false">
      <c r="A291" s="133"/>
      <c r="B291" s="133"/>
      <c r="C291" s="131" t="e">
        <f aca="false">NextMonth(C290)</f>
        <v>#VALUE!</v>
      </c>
      <c r="D291" s="132" t="n">
        <v>0.0651787403061164</v>
      </c>
      <c r="E291" s="132" t="n">
        <v>5.4395</v>
      </c>
      <c r="F291" s="132" t="n">
        <v>0.17</v>
      </c>
      <c r="K291" s="132" t="n">
        <v>-0.045</v>
      </c>
      <c r="L291" s="0" t="n">
        <v>0</v>
      </c>
      <c r="M291" s="133" t="n">
        <v>0</v>
      </c>
      <c r="N291" s="0" t="n">
        <v>0</v>
      </c>
      <c r="O291" s="134" t="n">
        <v>0.98</v>
      </c>
      <c r="P291" s="134" t="n">
        <v>0.225</v>
      </c>
    </row>
    <row r="292" customFormat="false" ht="12.75" hidden="false" customHeight="false" outlineLevel="0" collapsed="false">
      <c r="A292" s="133"/>
      <c r="B292" s="133"/>
      <c r="C292" s="131" t="e">
        <f aca="false">NextMonth(C291)</f>
        <v>#VALUE!</v>
      </c>
      <c r="D292" s="132" t="n">
        <v>0.0651688762295057</v>
      </c>
      <c r="K292" s="132" t="n">
        <v>-0.0475</v>
      </c>
      <c r="L292" s="0" t="n">
        <v>0</v>
      </c>
      <c r="M292" s="133" t="n">
        <v>0</v>
      </c>
      <c r="N292" s="0" t="n">
        <v>0</v>
      </c>
      <c r="O292" s="134" t="n">
        <v>1.6</v>
      </c>
      <c r="P292" s="134" t="n">
        <v>0.35</v>
      </c>
    </row>
    <row r="293" customFormat="false" ht="12.75" hidden="false" customHeight="false" outlineLevel="0" collapsed="false">
      <c r="A293" s="133"/>
      <c r="B293" s="133"/>
      <c r="C293" s="131" t="e">
        <f aca="false">NextMonth(C292)</f>
        <v>#VALUE!</v>
      </c>
      <c r="D293" s="132" t="n">
        <v>0.0651590121529271</v>
      </c>
      <c r="K293" s="132" t="n">
        <v>-0.03</v>
      </c>
      <c r="L293" s="0" t="n">
        <v>0</v>
      </c>
      <c r="M293" s="133" t="n">
        <v>0</v>
      </c>
      <c r="N293" s="0" t="n">
        <v>0</v>
      </c>
      <c r="O293" s="134" t="n">
        <v>1.6</v>
      </c>
      <c r="P293" s="134" t="n">
        <v>0.35</v>
      </c>
    </row>
    <row r="294" customFormat="false" ht="12.75" hidden="false" customHeight="false" outlineLevel="0" collapsed="false">
      <c r="A294" s="133"/>
      <c r="B294" s="133"/>
      <c r="C294" s="131" t="e">
        <f aca="false">NextMonth(C293)</f>
        <v>#VALUE!</v>
      </c>
      <c r="D294" s="132" t="n">
        <v>0.0651501026644326</v>
      </c>
      <c r="K294" s="132" t="n">
        <v>-0.0175</v>
      </c>
      <c r="L294" s="0" t="n">
        <v>0</v>
      </c>
      <c r="M294" s="133" t="n">
        <v>0</v>
      </c>
      <c r="N294" s="0" t="n">
        <v>0</v>
      </c>
      <c r="O294" s="134" t="n">
        <v>0.64</v>
      </c>
      <c r="P294" s="134" t="n">
        <v>0.1</v>
      </c>
    </row>
    <row r="295" customFormat="false" ht="12.75" hidden="false" customHeight="false" outlineLevel="0" collapsed="false">
      <c r="A295" s="133"/>
      <c r="B295" s="133"/>
      <c r="C295" s="131" t="e">
        <f aca="false">NextMonth(C294)</f>
        <v>#VALUE!</v>
      </c>
      <c r="D295" s="132" t="n">
        <v>0.0651402385879152</v>
      </c>
      <c r="K295" s="132" t="n">
        <v>0.02</v>
      </c>
      <c r="L295" s="0" t="n">
        <v>0</v>
      </c>
      <c r="M295" s="133" t="n">
        <v>0</v>
      </c>
      <c r="N295" s="0" t="n">
        <v>0</v>
      </c>
      <c r="O295" s="134" t="n">
        <v>0.38</v>
      </c>
      <c r="P295" s="134" t="n">
        <v>0.01</v>
      </c>
    </row>
    <row r="296" customFormat="false" ht="12.75" hidden="false" customHeight="false" outlineLevel="0" collapsed="false">
      <c r="A296" s="133"/>
      <c r="B296" s="133"/>
      <c r="C296" s="131" t="e">
        <f aca="false">NextMonth(C295)</f>
        <v>#VALUE!</v>
      </c>
      <c r="D296" s="132" t="n">
        <v>0.0651306927074455</v>
      </c>
      <c r="K296" s="132" t="n">
        <v>0.02</v>
      </c>
      <c r="L296" s="0" t="n">
        <v>0</v>
      </c>
      <c r="M296" s="133" t="n">
        <v>0</v>
      </c>
      <c r="N296" s="0" t="n">
        <v>0</v>
      </c>
      <c r="O296" s="134" t="n">
        <v>0.33</v>
      </c>
      <c r="P296" s="134" t="n">
        <v>0.01</v>
      </c>
    </row>
    <row r="297" customFormat="false" ht="12.75" hidden="false" customHeight="false" outlineLevel="0" collapsed="false">
      <c r="A297" s="133"/>
      <c r="B297" s="133"/>
      <c r="C297" s="131" t="e">
        <f aca="false">NextMonth(C296)</f>
        <v>#VALUE!</v>
      </c>
      <c r="D297" s="132" t="n">
        <v>0.0651208286309917</v>
      </c>
      <c r="K297" s="132" t="n">
        <v>0.025</v>
      </c>
      <c r="L297" s="0" t="n">
        <v>0</v>
      </c>
      <c r="M297" s="133" t="n">
        <v>0</v>
      </c>
      <c r="N297" s="0" t="n">
        <v>0</v>
      </c>
      <c r="O297" s="134" t="n">
        <v>0.37</v>
      </c>
      <c r="P297" s="134" t="n">
        <v>0.02</v>
      </c>
    </row>
    <row r="298" customFormat="false" ht="12.75" hidden="false" customHeight="false" outlineLevel="0" collapsed="false">
      <c r="A298" s="133"/>
      <c r="B298" s="133"/>
      <c r="C298" s="131" t="e">
        <f aca="false">NextMonth(C297)</f>
        <v>#VALUE!</v>
      </c>
      <c r="D298" s="132" t="n">
        <v>0.0651112827505833</v>
      </c>
      <c r="K298" s="132" t="n">
        <v>0.0275</v>
      </c>
      <c r="L298" s="0" t="n">
        <v>0</v>
      </c>
      <c r="M298" s="133" t="n">
        <v>0</v>
      </c>
      <c r="N298" s="0" t="n">
        <v>0</v>
      </c>
      <c r="O298" s="134" t="n">
        <v>0.41</v>
      </c>
      <c r="P298" s="134" t="n">
        <v>0.02</v>
      </c>
    </row>
    <row r="299" customFormat="false" ht="12.75" hidden="false" customHeight="false" outlineLevel="0" collapsed="false">
      <c r="A299" s="133"/>
      <c r="B299" s="133"/>
      <c r="C299" s="131" t="e">
        <f aca="false">NextMonth(C298)</f>
        <v>#VALUE!</v>
      </c>
      <c r="D299" s="132" t="n">
        <v>0.0651014186741934</v>
      </c>
      <c r="K299" s="132" t="n">
        <v>0.03</v>
      </c>
      <c r="L299" s="0" t="n">
        <v>0</v>
      </c>
      <c r="M299" s="133" t="n">
        <v>0</v>
      </c>
      <c r="N299" s="0" t="n">
        <v>0</v>
      </c>
      <c r="O299" s="134" t="n">
        <v>0.41</v>
      </c>
      <c r="P299" s="134" t="n">
        <v>0.005</v>
      </c>
    </row>
    <row r="300" customFormat="false" ht="12.75" hidden="false" customHeight="false" outlineLevel="0" collapsed="false">
      <c r="A300" s="133"/>
      <c r="B300" s="133"/>
      <c r="C300" s="131" t="e">
        <f aca="false">NextMonth(C299)</f>
        <v>#VALUE!</v>
      </c>
      <c r="D300" s="132" t="n">
        <v>0.0650915545978354</v>
      </c>
      <c r="K300" s="132" t="n">
        <v>0.0225</v>
      </c>
      <c r="L300" s="0" t="n">
        <v>0</v>
      </c>
      <c r="M300" s="133" t="n">
        <v>0</v>
      </c>
      <c r="N300" s="0" t="n">
        <v>0</v>
      </c>
      <c r="O300" s="134" t="n">
        <v>0.36</v>
      </c>
      <c r="P300" s="134" t="n">
        <v>0.005</v>
      </c>
    </row>
    <row r="301" customFormat="false" ht="12.75" hidden="false" customHeight="false" outlineLevel="0" collapsed="false">
      <c r="A301" s="133"/>
      <c r="B301" s="133"/>
      <c r="C301" s="131" t="e">
        <f aca="false">NextMonth(C300)</f>
        <v>#VALUE!</v>
      </c>
      <c r="D301" s="132" t="n">
        <v>0.0650820087175199</v>
      </c>
      <c r="K301" s="132" t="n">
        <v>0.0125</v>
      </c>
      <c r="L301" s="0" t="n">
        <v>0</v>
      </c>
      <c r="M301" s="133" t="n">
        <v>0</v>
      </c>
      <c r="N301" s="0" t="n">
        <v>0</v>
      </c>
      <c r="O301" s="134" t="n">
        <v>0.4</v>
      </c>
      <c r="P301" s="134" t="n">
        <v>0.005</v>
      </c>
    </row>
    <row r="302" customFormat="false" ht="12.75" hidden="false" customHeight="false" outlineLevel="0" collapsed="false">
      <c r="A302" s="133"/>
      <c r="B302" s="133"/>
      <c r="C302" s="131" t="e">
        <f aca="false">NextMonth(C301)</f>
        <v>#VALUE!</v>
      </c>
      <c r="D302" s="132" t="n">
        <v>0.0650721446412255</v>
      </c>
      <c r="K302" s="132" t="n">
        <v>-0.0225</v>
      </c>
      <c r="L302" s="0" t="n">
        <v>0</v>
      </c>
      <c r="M302" s="133" t="n">
        <v>0</v>
      </c>
      <c r="N302" s="0" t="n">
        <v>0</v>
      </c>
      <c r="O302" s="134" t="n">
        <v>0.65</v>
      </c>
      <c r="P302" s="134" t="n">
        <v>0.05</v>
      </c>
    </row>
    <row r="303" customFormat="false" ht="12.75" hidden="false" customHeight="false" outlineLevel="0" collapsed="false">
      <c r="A303" s="133"/>
      <c r="B303" s="133"/>
      <c r="C303" s="131" t="e">
        <f aca="false">NextMonth(C302)</f>
        <v>#VALUE!</v>
      </c>
      <c r="D303" s="132" t="n">
        <v>0.0650625987609712</v>
      </c>
      <c r="K303" s="132" t="n">
        <v>-0.045</v>
      </c>
      <c r="L303" s="0" t="n">
        <v>0</v>
      </c>
      <c r="M303" s="133" t="n">
        <v>0</v>
      </c>
      <c r="N303" s="0" t="n">
        <v>0</v>
      </c>
      <c r="O303" s="134" t="n">
        <v>0.98</v>
      </c>
      <c r="P303" s="134" t="n">
        <v>0.225</v>
      </c>
    </row>
    <row r="304" customFormat="false" ht="12.75" hidden="false" customHeight="false" outlineLevel="0" collapsed="false">
      <c r="A304" s="133"/>
      <c r="B304" s="133"/>
      <c r="C304" s="131" t="e">
        <f aca="false">NextMonth(C303)</f>
        <v>#VALUE!</v>
      </c>
      <c r="D304" s="132" t="n">
        <v>0.0650527346847398</v>
      </c>
      <c r="K304" s="132" t="n">
        <v>-0.0475</v>
      </c>
      <c r="L304" s="0" t="n">
        <v>0</v>
      </c>
      <c r="M304" s="133" t="n">
        <v>0</v>
      </c>
      <c r="N304" s="0" t="n">
        <v>0</v>
      </c>
      <c r="O304" s="134" t="n">
        <v>1.6</v>
      </c>
      <c r="P304" s="134" t="n">
        <v>0.35</v>
      </c>
    </row>
    <row r="305" customFormat="false" ht="12.75" hidden="false" customHeight="false" outlineLevel="0" collapsed="false">
      <c r="A305" s="133"/>
      <c r="B305" s="133"/>
      <c r="C305" s="131" t="e">
        <f aca="false">NextMonth(C304)</f>
        <v>#VALUE!</v>
      </c>
      <c r="D305" s="132" t="n">
        <v>0.0650428706085409</v>
      </c>
      <c r="K305" s="132" t="n">
        <v>-0.03</v>
      </c>
      <c r="L305" s="0" t="n">
        <v>0</v>
      </c>
      <c r="M305" s="133" t="n">
        <v>0</v>
      </c>
      <c r="N305" s="0" t="n">
        <v>0</v>
      </c>
      <c r="O305" s="134" t="n">
        <v>1.6</v>
      </c>
      <c r="P305" s="134" t="n">
        <v>0.35</v>
      </c>
    </row>
    <row r="306" customFormat="false" ht="12.75" hidden="false" customHeight="false" outlineLevel="0" collapsed="false">
      <c r="A306" s="133"/>
      <c r="B306" s="133"/>
      <c r="C306" s="131" t="e">
        <f aca="false">NextMonth(C305)</f>
        <v>#VALUE!</v>
      </c>
      <c r="D306" s="132" t="n">
        <v>0.0650339611203892</v>
      </c>
      <c r="K306" s="132" t="n">
        <v>-0.0175</v>
      </c>
      <c r="L306" s="0" t="n">
        <v>0</v>
      </c>
      <c r="M306" s="133" t="n">
        <v>0</v>
      </c>
      <c r="N306" s="0" t="n">
        <v>0</v>
      </c>
      <c r="O306" s="134" t="n">
        <v>0.64</v>
      </c>
      <c r="P306" s="134" t="n">
        <v>0.1</v>
      </c>
    </row>
    <row r="307" customFormat="false" ht="12.75" hidden="false" customHeight="false" outlineLevel="0" collapsed="false">
      <c r="A307" s="133"/>
      <c r="B307" s="133"/>
      <c r="C307" s="131" t="e">
        <f aca="false">NextMonth(C306)</f>
        <v>#VALUE!</v>
      </c>
      <c r="D307" s="132" t="n">
        <v>0.0650240970442515</v>
      </c>
      <c r="K307" s="132" t="n">
        <v>0.02</v>
      </c>
      <c r="L307" s="0" t="n">
        <v>0</v>
      </c>
      <c r="M307" s="133" t="n">
        <v>0</v>
      </c>
      <c r="N307" s="0" t="n">
        <v>0</v>
      </c>
      <c r="O307" s="134" t="n">
        <v>0.38</v>
      </c>
      <c r="P307" s="134" t="n">
        <v>0.01</v>
      </c>
    </row>
    <row r="308" customFormat="false" ht="12.75" hidden="false" customHeight="false" outlineLevel="0" collapsed="false">
      <c r="A308" s="133"/>
      <c r="B308" s="133"/>
      <c r="C308" s="131" t="e">
        <f aca="false">NextMonth(C307)</f>
        <v>#VALUE!</v>
      </c>
      <c r="D308" s="132" t="n">
        <v>0.0650145511641496</v>
      </c>
      <c r="K308" s="132" t="n">
        <v>0.02</v>
      </c>
      <c r="L308" s="0" t="n">
        <v>0</v>
      </c>
      <c r="M308" s="133" t="n">
        <v>0</v>
      </c>
      <c r="N308" s="0" t="n">
        <v>0</v>
      </c>
      <c r="O308" s="134" t="n">
        <v>0.33</v>
      </c>
      <c r="P308" s="134" t="n">
        <v>0.01</v>
      </c>
    </row>
    <row r="309" customFormat="false" ht="12.75" hidden="false" customHeight="false" outlineLevel="0" collapsed="false">
      <c r="A309" s="133"/>
      <c r="B309" s="133"/>
      <c r="C309" s="131" t="e">
        <f aca="false">NextMonth(C308)</f>
        <v>#VALUE!</v>
      </c>
      <c r="D309" s="132" t="n">
        <v>0.0650046870880754</v>
      </c>
      <c r="K309" s="132" t="n">
        <v>0.025</v>
      </c>
      <c r="L309" s="0" t="n">
        <v>0</v>
      </c>
      <c r="M309" s="133" t="n">
        <v>0</v>
      </c>
      <c r="N309" s="0" t="n">
        <v>0</v>
      </c>
      <c r="O309" s="134" t="n">
        <v>0.37</v>
      </c>
      <c r="P309" s="134" t="n">
        <v>0.02</v>
      </c>
    </row>
    <row r="310" customFormat="false" ht="12.75" hidden="false" customHeight="false" outlineLevel="0" collapsed="false">
      <c r="A310" s="133"/>
      <c r="B310" s="133"/>
      <c r="C310" s="131" t="e">
        <f aca="false">NextMonth(C309)</f>
        <v>#VALUE!</v>
      </c>
      <c r="D310" s="132" t="n">
        <v>0.0649951412080347</v>
      </c>
      <c r="K310" s="132" t="n">
        <v>0.0275</v>
      </c>
      <c r="L310" s="0" t="n">
        <v>0</v>
      </c>
      <c r="M310" s="133" t="n">
        <v>0</v>
      </c>
      <c r="N310" s="0" t="n">
        <v>0</v>
      </c>
      <c r="O310" s="134" t="n">
        <v>0.41</v>
      </c>
      <c r="P310" s="134" t="n">
        <v>0.02</v>
      </c>
    </row>
    <row r="311" customFormat="false" ht="12.75" hidden="false" customHeight="false" outlineLevel="0" collapsed="false">
      <c r="A311" s="133"/>
      <c r="B311" s="133"/>
      <c r="C311" s="131" t="e">
        <f aca="false">NextMonth(C310)</f>
        <v>#VALUE!</v>
      </c>
      <c r="D311" s="132" t="n">
        <v>0.0649852771320245</v>
      </c>
      <c r="K311" s="132" t="n">
        <v>0.03</v>
      </c>
      <c r="L311" s="0" t="n">
        <v>0</v>
      </c>
      <c r="M311" s="133" t="n">
        <v>0</v>
      </c>
      <c r="N311" s="0" t="n">
        <v>0</v>
      </c>
      <c r="O311" s="134" t="n">
        <v>0.41</v>
      </c>
      <c r="P311" s="134" t="n">
        <v>0.005</v>
      </c>
    </row>
    <row r="312" customFormat="false" ht="12.75" hidden="false" customHeight="false" outlineLevel="0" collapsed="false">
      <c r="A312" s="133"/>
      <c r="B312" s="133"/>
      <c r="C312" s="131" t="e">
        <f aca="false">NextMonth(C311)</f>
        <v>#VALUE!</v>
      </c>
      <c r="D312" s="132" t="n">
        <v>0.0649754130560463</v>
      </c>
      <c r="K312" s="132" t="n">
        <v>0.0225</v>
      </c>
      <c r="L312" s="0" t="n">
        <v>0</v>
      </c>
      <c r="M312" s="133" t="n">
        <v>0</v>
      </c>
      <c r="N312" s="0" t="n">
        <v>0</v>
      </c>
      <c r="O312" s="134" t="n">
        <v>0.36</v>
      </c>
      <c r="P312" s="134" t="n">
        <v>0.005</v>
      </c>
    </row>
    <row r="313" customFormat="false" ht="12.75" hidden="false" customHeight="false" outlineLevel="0" collapsed="false">
      <c r="A313" s="133"/>
      <c r="B313" s="133"/>
      <c r="C313" s="131" t="e">
        <f aca="false">NextMonth(C312)</f>
        <v>#VALUE!</v>
      </c>
      <c r="D313" s="132" t="n">
        <v>0.064965867176098</v>
      </c>
      <c r="K313" s="132" t="n">
        <v>0.0125</v>
      </c>
      <c r="L313" s="0" t="n">
        <v>0</v>
      </c>
      <c r="M313" s="133" t="n">
        <v>0</v>
      </c>
      <c r="N313" s="0" t="n">
        <v>0</v>
      </c>
      <c r="O313" s="134" t="n">
        <v>0.4</v>
      </c>
      <c r="P313" s="134" t="n">
        <v>0.005</v>
      </c>
    </row>
    <row r="314" customFormat="false" ht="12.75" hidden="false" customHeight="false" outlineLevel="0" collapsed="false">
      <c r="A314" s="133"/>
      <c r="B314" s="133"/>
      <c r="C314" s="131" t="e">
        <f aca="false">NextMonth(C313)</f>
        <v>#VALUE!</v>
      </c>
      <c r="D314" s="132" t="n">
        <v>0.0649560031001828</v>
      </c>
      <c r="K314" s="132" t="n">
        <v>-0.0225</v>
      </c>
      <c r="L314" s="0" t="n">
        <v>0</v>
      </c>
      <c r="M314" s="133" t="n">
        <v>0</v>
      </c>
      <c r="N314" s="0" t="n">
        <v>0</v>
      </c>
      <c r="O314" s="134" t="n">
        <v>0.65</v>
      </c>
      <c r="P314" s="134" t="n">
        <v>0.05</v>
      </c>
    </row>
    <row r="315" customFormat="false" ht="12.75" hidden="false" customHeight="false" outlineLevel="0" collapsed="false">
      <c r="A315" s="133"/>
      <c r="B315" s="133"/>
      <c r="C315" s="131" t="e">
        <f aca="false">NextMonth(C314)</f>
        <v>#VALUE!</v>
      </c>
      <c r="D315" s="132" t="n">
        <v>0.0649464572202962</v>
      </c>
      <c r="K315" s="132" t="n">
        <v>-0.045</v>
      </c>
      <c r="L315" s="0" t="n">
        <v>0</v>
      </c>
      <c r="M315" s="133" t="n">
        <v>0</v>
      </c>
      <c r="N315" s="0" t="n">
        <v>0</v>
      </c>
      <c r="O315" s="134" t="n">
        <v>0.98</v>
      </c>
      <c r="P315" s="134" t="n">
        <v>0.225</v>
      </c>
    </row>
    <row r="316" customFormat="false" ht="12.75" hidden="false" customHeight="false" outlineLevel="0" collapsed="false">
      <c r="A316" s="133"/>
      <c r="B316" s="133"/>
      <c r="C316" s="131" t="e">
        <f aca="false">NextMonth(C315)</f>
        <v>#VALUE!</v>
      </c>
      <c r="D316" s="132" t="n">
        <v>0.064936593144445</v>
      </c>
      <c r="K316" s="132" t="n">
        <v>-0.0475</v>
      </c>
      <c r="L316" s="0" t="n">
        <v>0</v>
      </c>
      <c r="M316" s="133" t="n">
        <v>0</v>
      </c>
      <c r="N316" s="0" t="n">
        <v>0</v>
      </c>
      <c r="O316" s="134" t="n">
        <v>1.6</v>
      </c>
      <c r="P316" s="134" t="n">
        <v>0.35</v>
      </c>
    </row>
    <row r="317" customFormat="false" ht="12.75" hidden="false" customHeight="false" outlineLevel="0" collapsed="false">
      <c r="A317" s="133"/>
      <c r="B317" s="133"/>
      <c r="C317" s="131" t="e">
        <f aca="false">NextMonth(C316)</f>
        <v>#VALUE!</v>
      </c>
      <c r="D317" s="132" t="n">
        <v>0.0649267290686262</v>
      </c>
      <c r="K317" s="132" t="n">
        <v>-0.03</v>
      </c>
      <c r="L317" s="0" t="n">
        <v>0</v>
      </c>
      <c r="M317" s="133" t="n">
        <v>0</v>
      </c>
      <c r="N317" s="0" t="n">
        <v>0</v>
      </c>
      <c r="O317" s="134" t="n">
        <v>1.6</v>
      </c>
      <c r="P317" s="134" t="n">
        <v>0.35</v>
      </c>
    </row>
    <row r="318" customFormat="false" ht="12.75" hidden="false" customHeight="false" outlineLevel="0" collapsed="false">
      <c r="A318" s="133"/>
      <c r="B318" s="133"/>
      <c r="C318" s="131" t="e">
        <f aca="false">NextMonth(C317)</f>
        <v>#VALUE!</v>
      </c>
      <c r="D318" s="132" t="n">
        <v>0.0649178195808169</v>
      </c>
      <c r="K318" s="132" t="n">
        <v>-0.0175</v>
      </c>
      <c r="L318" s="0" t="n">
        <v>0</v>
      </c>
      <c r="M318" s="133" t="n">
        <v>0</v>
      </c>
      <c r="N318" s="0" t="n">
        <v>0</v>
      </c>
      <c r="O318" s="134" t="n">
        <v>0.64</v>
      </c>
      <c r="P318" s="134" t="n">
        <v>0.1</v>
      </c>
    </row>
    <row r="319" customFormat="false" ht="12.75" hidden="false" customHeight="false" outlineLevel="0" collapsed="false">
      <c r="A319" s="133"/>
      <c r="B319" s="133"/>
      <c r="C319" s="131" t="e">
        <f aca="false">NextMonth(C318)</f>
        <v>#VALUE!</v>
      </c>
      <c r="D319" s="132" t="n">
        <v>0.0649079555050593</v>
      </c>
      <c r="K319" s="132" t="n">
        <v>0.02</v>
      </c>
      <c r="L319" s="0" t="n">
        <v>0</v>
      </c>
      <c r="M319" s="133" t="n">
        <v>0</v>
      </c>
      <c r="N319" s="0" t="n">
        <v>0</v>
      </c>
      <c r="O319" s="134" t="n">
        <v>0.38</v>
      </c>
      <c r="P319" s="134" t="n">
        <v>0.01</v>
      </c>
    </row>
    <row r="320" customFormat="false" ht="12.75" hidden="false" customHeight="false" outlineLevel="0" collapsed="false">
      <c r="A320" s="133"/>
      <c r="B320" s="133"/>
      <c r="C320" s="131" t="e">
        <f aca="false">NextMonth(C319)</f>
        <v>#VALUE!</v>
      </c>
      <c r="D320" s="132" t="n">
        <v>0.0648984096253247</v>
      </c>
      <c r="K320" s="132" t="n">
        <v>0.02</v>
      </c>
      <c r="L320" s="0" t="n">
        <v>0</v>
      </c>
      <c r="M320" s="133" t="n">
        <v>0</v>
      </c>
      <c r="N320" s="0" t="n">
        <v>0</v>
      </c>
      <c r="O320" s="134" t="n">
        <v>0.33</v>
      </c>
      <c r="P320" s="134" t="n">
        <v>0.01</v>
      </c>
    </row>
    <row r="321" customFormat="false" ht="12.75" hidden="false" customHeight="false" outlineLevel="0" collapsed="false">
      <c r="A321" s="133"/>
      <c r="B321" s="133"/>
      <c r="C321" s="131" t="e">
        <f aca="false">NextMonth(C320)</f>
        <v>#VALUE!</v>
      </c>
      <c r="D321" s="132" t="n">
        <v>0.0648885455496306</v>
      </c>
      <c r="K321" s="132" t="n">
        <v>0.025</v>
      </c>
      <c r="L321" s="0" t="n">
        <v>0</v>
      </c>
      <c r="M321" s="133" t="n">
        <v>0</v>
      </c>
      <c r="N321" s="0" t="n">
        <v>0</v>
      </c>
      <c r="O321" s="134" t="n">
        <v>0.37</v>
      </c>
      <c r="P321" s="134" t="n">
        <v>0.02</v>
      </c>
    </row>
    <row r="322" customFormat="false" ht="12.75" hidden="false" customHeight="false" outlineLevel="0" collapsed="false">
      <c r="A322" s="133"/>
      <c r="B322" s="133"/>
      <c r="C322" s="131" t="e">
        <f aca="false">NextMonth(C321)</f>
        <v>#VALUE!</v>
      </c>
      <c r="D322" s="132" t="n">
        <v>0.0648789996699572</v>
      </c>
      <c r="K322" s="132" t="n">
        <v>0.0275</v>
      </c>
      <c r="L322" s="0" t="n">
        <v>0</v>
      </c>
      <c r="M322" s="133" t="n">
        <v>0</v>
      </c>
      <c r="N322" s="0" t="n">
        <v>0</v>
      </c>
      <c r="O322" s="134" t="n">
        <v>0.41</v>
      </c>
      <c r="P322" s="134" t="n">
        <v>0.02</v>
      </c>
    </row>
    <row r="323" customFormat="false" ht="12.75" hidden="false" customHeight="false" outlineLevel="0" collapsed="false">
      <c r="A323" s="133"/>
      <c r="B323" s="133"/>
      <c r="C323" s="131" t="e">
        <f aca="false">NextMonth(C322)</f>
        <v>#VALUE!</v>
      </c>
      <c r="D323" s="132" t="n">
        <v>0.0648691355943267</v>
      </c>
      <c r="K323" s="132" t="n">
        <v>0.03</v>
      </c>
      <c r="L323" s="0" t="n">
        <v>0</v>
      </c>
      <c r="M323" s="133" t="n">
        <v>0</v>
      </c>
      <c r="N323" s="0" t="n">
        <v>0</v>
      </c>
      <c r="O323" s="134" t="n">
        <v>0.41</v>
      </c>
      <c r="P323" s="134" t="n">
        <v>0.005</v>
      </c>
    </row>
    <row r="324" customFormat="false" ht="12.75" hidden="false" customHeight="false" outlineLevel="0" collapsed="false">
      <c r="A324" s="133"/>
      <c r="B324" s="133"/>
      <c r="C324" s="131" t="e">
        <f aca="false">NextMonth(C323)</f>
        <v>#VALUE!</v>
      </c>
      <c r="D324" s="132" t="n">
        <v>0.0648592715187277</v>
      </c>
      <c r="K324" s="132" t="n">
        <v>0.0225</v>
      </c>
      <c r="L324" s="0" t="n">
        <v>0</v>
      </c>
      <c r="M324" s="133" t="n">
        <v>0</v>
      </c>
      <c r="N324" s="0" t="n">
        <v>0</v>
      </c>
      <c r="O324" s="134" t="n">
        <v>0.36</v>
      </c>
      <c r="P324" s="134" t="n">
        <v>0.005</v>
      </c>
    </row>
    <row r="325" customFormat="false" ht="12.75" hidden="false" customHeight="false" outlineLevel="0" collapsed="false">
      <c r="A325" s="133"/>
      <c r="B325" s="133"/>
      <c r="C325" s="131" t="e">
        <f aca="false">NextMonth(C324)</f>
        <v>#VALUE!</v>
      </c>
      <c r="D325" s="132" t="n">
        <v>0.0648497256391472</v>
      </c>
      <c r="K325" s="132" t="n">
        <v>0.0125</v>
      </c>
      <c r="L325" s="0" t="n">
        <v>0</v>
      </c>
      <c r="M325" s="133" t="n">
        <v>0</v>
      </c>
      <c r="N325" s="0" t="n">
        <v>0</v>
      </c>
      <c r="O325" s="134" t="n">
        <v>0.4</v>
      </c>
      <c r="P325" s="134" t="n">
        <v>0.005</v>
      </c>
    </row>
    <row r="326" customFormat="false" ht="12.75" hidden="false" customHeight="false" outlineLevel="0" collapsed="false">
      <c r="A326" s="133"/>
      <c r="B326" s="133"/>
      <c r="C326" s="131" t="e">
        <f aca="false">NextMonth(C325)</f>
        <v>#VALUE!</v>
      </c>
      <c r="D326" s="132" t="n">
        <v>0.0648398615636121</v>
      </c>
      <c r="K326" s="132" t="n">
        <v>-0.0225</v>
      </c>
      <c r="L326" s="0" t="n">
        <v>0</v>
      </c>
      <c r="M326" s="133" t="n">
        <v>0</v>
      </c>
      <c r="N326" s="0" t="n">
        <v>0</v>
      </c>
      <c r="O326" s="134" t="n">
        <v>0.65</v>
      </c>
      <c r="P326" s="134" t="n">
        <v>0.05</v>
      </c>
    </row>
    <row r="327" customFormat="false" ht="12.75" hidden="false" customHeight="false" outlineLevel="0" collapsed="false">
      <c r="A327" s="133"/>
      <c r="B327" s="133"/>
      <c r="C327" s="131" t="e">
        <f aca="false">NextMonth(C326)</f>
        <v>#VALUE!</v>
      </c>
      <c r="D327" s="132" t="n">
        <v>0.0648303156840928</v>
      </c>
      <c r="K327" s="132" t="n">
        <v>-0.045</v>
      </c>
      <c r="L327" s="0" t="n">
        <v>0</v>
      </c>
      <c r="M327" s="133" t="n">
        <v>0</v>
      </c>
      <c r="N327" s="0" t="n">
        <v>0</v>
      </c>
      <c r="O327" s="134" t="n">
        <v>0.98</v>
      </c>
      <c r="P327" s="134" t="n">
        <v>0.225</v>
      </c>
    </row>
    <row r="328" customFormat="false" ht="12.75" hidden="false" customHeight="false" outlineLevel="0" collapsed="false">
      <c r="A328" s="133"/>
      <c r="B328" s="133"/>
      <c r="C328" s="131" t="e">
        <f aca="false">NextMonth(C327)</f>
        <v>#VALUE!</v>
      </c>
      <c r="D328" s="132" t="n">
        <v>0.0648204516086213</v>
      </c>
      <c r="K328" s="132" t="n">
        <v>-0.0475</v>
      </c>
      <c r="L328" s="0" t="n">
        <v>0</v>
      </c>
      <c r="M328" s="133" t="n">
        <v>0</v>
      </c>
      <c r="N328" s="0" t="n">
        <v>0</v>
      </c>
      <c r="O328" s="134" t="n">
        <v>1.6</v>
      </c>
      <c r="P328" s="134" t="n">
        <v>0.35</v>
      </c>
    </row>
    <row r="329" customFormat="false" ht="12.75" hidden="false" customHeight="false" outlineLevel="0" collapsed="false">
      <c r="A329" s="133"/>
      <c r="B329" s="133"/>
      <c r="C329" s="131" t="e">
        <f aca="false">NextMonth(C328)</f>
        <v>#VALUE!</v>
      </c>
      <c r="D329" s="132" t="n">
        <v>0.0648105875331821</v>
      </c>
      <c r="K329" s="132" t="n">
        <v>-0.03</v>
      </c>
      <c r="L329" s="0" t="n">
        <v>0</v>
      </c>
      <c r="M329" s="133" t="n">
        <v>0</v>
      </c>
      <c r="N329" s="0" t="n">
        <v>0</v>
      </c>
      <c r="O329" s="134" t="n">
        <v>1.6</v>
      </c>
      <c r="P329" s="134" t="n">
        <v>0.35</v>
      </c>
    </row>
    <row r="330" customFormat="false" ht="12.75" hidden="false" customHeight="false" outlineLevel="0" collapsed="false">
      <c r="A330" s="133"/>
      <c r="B330" s="133"/>
      <c r="C330" s="131" t="e">
        <f aca="false">NextMonth(C329)</f>
        <v>#VALUE!</v>
      </c>
      <c r="D330" s="132" t="n">
        <v>0.0648013598497359</v>
      </c>
      <c r="K330" s="132" t="n">
        <v>-0.0175</v>
      </c>
      <c r="L330" s="0" t="n">
        <v>0</v>
      </c>
      <c r="M330" s="133" t="n">
        <v>0</v>
      </c>
      <c r="N330" s="0" t="n">
        <v>0</v>
      </c>
      <c r="O330" s="134" t="n">
        <v>0.64</v>
      </c>
      <c r="P330" s="134" t="n">
        <v>0.1</v>
      </c>
    </row>
    <row r="331" customFormat="false" ht="12.75" hidden="false" customHeight="false" outlineLevel="0" collapsed="false">
      <c r="A331" s="133"/>
      <c r="B331" s="133"/>
      <c r="C331" s="131" t="e">
        <f aca="false">NextMonth(C330)</f>
        <v>#VALUE!</v>
      </c>
      <c r="D331" s="132" t="n">
        <v>0.0647914957743589</v>
      </c>
      <c r="K331" s="132" t="n">
        <v>0.02</v>
      </c>
      <c r="L331" s="0" t="n">
        <v>0</v>
      </c>
      <c r="M331" s="133" t="n">
        <v>0</v>
      </c>
      <c r="N331" s="0" t="n">
        <v>0</v>
      </c>
      <c r="O331" s="134" t="n">
        <v>0.38</v>
      </c>
      <c r="P331" s="134" t="n">
        <v>0.01</v>
      </c>
    </row>
    <row r="332" customFormat="false" ht="12.75" hidden="false" customHeight="false" outlineLevel="0" collapsed="false">
      <c r="A332" s="133"/>
      <c r="B332" s="133"/>
      <c r="C332" s="131" t="e">
        <f aca="false">NextMonth(C331)</f>
        <v>#VALUE!</v>
      </c>
      <c r="D332" s="132" t="n">
        <v>0.0647819498949929</v>
      </c>
      <c r="K332" s="132" t="n">
        <v>0.02</v>
      </c>
      <c r="L332" s="0" t="n">
        <v>0</v>
      </c>
      <c r="M332" s="133" t="n">
        <v>0</v>
      </c>
      <c r="N332" s="0" t="n">
        <v>0</v>
      </c>
      <c r="O332" s="134" t="n">
        <v>0.33</v>
      </c>
      <c r="P332" s="134" t="n">
        <v>0.01</v>
      </c>
    </row>
    <row r="333" customFormat="false" ht="12.75" hidden="false" customHeight="false" outlineLevel="0" collapsed="false">
      <c r="A333" s="133"/>
      <c r="B333" s="133"/>
      <c r="C333" s="131" t="e">
        <f aca="false">NextMonth(C332)</f>
        <v>#VALUE!</v>
      </c>
      <c r="D333" s="132" t="n">
        <v>0.064772085819679</v>
      </c>
      <c r="K333" s="132" t="n">
        <v>0.025</v>
      </c>
      <c r="L333" s="0" t="n">
        <v>0</v>
      </c>
      <c r="M333" s="133" t="n">
        <v>0</v>
      </c>
      <c r="N333" s="0" t="n">
        <v>0</v>
      </c>
      <c r="O333" s="134" t="n">
        <v>0.37</v>
      </c>
      <c r="P333" s="134" t="n">
        <v>0.02</v>
      </c>
    </row>
    <row r="334" customFormat="false" ht="12.75" hidden="false" customHeight="false" outlineLevel="0" collapsed="false">
      <c r="A334" s="133"/>
      <c r="B334" s="133"/>
      <c r="C334" s="131" t="e">
        <f aca="false">NextMonth(C333)</f>
        <v>#VALUE!</v>
      </c>
      <c r="D334" s="132" t="n">
        <v>0.0647625399403742</v>
      </c>
      <c r="K334" s="132" t="n">
        <v>0.0275</v>
      </c>
      <c r="L334" s="0" t="n">
        <v>0</v>
      </c>
      <c r="M334" s="133" t="n">
        <v>0</v>
      </c>
      <c r="N334" s="0" t="n">
        <v>0</v>
      </c>
      <c r="O334" s="134" t="n">
        <v>0.41</v>
      </c>
      <c r="P334" s="134" t="n">
        <v>0.02</v>
      </c>
    </row>
    <row r="335" customFormat="false" ht="12.75" hidden="false" customHeight="false" outlineLevel="0" collapsed="false">
      <c r="A335" s="133"/>
      <c r="B335" s="133"/>
      <c r="C335" s="131" t="e">
        <f aca="false">NextMonth(C334)</f>
        <v>#VALUE!</v>
      </c>
      <c r="D335" s="132" t="n">
        <v>0.0647526758651242</v>
      </c>
      <c r="K335" s="132" t="n">
        <v>0.03</v>
      </c>
      <c r="L335" s="0" t="n">
        <v>0</v>
      </c>
      <c r="M335" s="133" t="n">
        <v>0</v>
      </c>
      <c r="N335" s="0" t="n">
        <v>0</v>
      </c>
      <c r="O335" s="134" t="n">
        <v>0.41</v>
      </c>
      <c r="P335" s="134" t="n">
        <v>0.005</v>
      </c>
    </row>
    <row r="336" customFormat="false" ht="12.75" hidden="false" customHeight="false" outlineLevel="0" collapsed="false">
      <c r="A336" s="133"/>
      <c r="B336" s="133"/>
      <c r="C336" s="131" t="e">
        <f aca="false">NextMonth(C335)</f>
        <v>#VALUE!</v>
      </c>
      <c r="D336" s="132" t="n">
        <v>0.0647428117899067</v>
      </c>
      <c r="K336" s="132" t="n">
        <v>0.0225</v>
      </c>
      <c r="L336" s="0" t="n">
        <v>0</v>
      </c>
      <c r="M336" s="133" t="n">
        <v>0</v>
      </c>
      <c r="N336" s="0" t="n">
        <v>0</v>
      </c>
      <c r="O336" s="134" t="n">
        <v>0.36</v>
      </c>
      <c r="P336" s="134" t="n">
        <v>0.005</v>
      </c>
    </row>
    <row r="337" customFormat="false" ht="12.75" hidden="false" customHeight="false" outlineLevel="0" collapsed="false">
      <c r="A337" s="133"/>
      <c r="B337" s="133"/>
      <c r="C337" s="131" t="e">
        <f aca="false">NextMonth(C336)</f>
        <v>#VALUE!</v>
      </c>
      <c r="D337" s="132" t="n">
        <v>0.0647332659106947</v>
      </c>
      <c r="K337" s="132" t="n">
        <v>0.0125</v>
      </c>
      <c r="L337" s="0" t="n">
        <v>0</v>
      </c>
      <c r="M337" s="133" t="n">
        <v>0</v>
      </c>
      <c r="N337" s="0" t="n">
        <v>0</v>
      </c>
      <c r="O337" s="134" t="n">
        <v>0.4</v>
      </c>
      <c r="P337" s="134" t="n">
        <v>0.005</v>
      </c>
    </row>
    <row r="338" customFormat="false" ht="12.75" hidden="false" customHeight="false" outlineLevel="0" collapsed="false">
      <c r="A338" s="133"/>
      <c r="B338" s="133"/>
      <c r="C338" s="131" t="e">
        <f aca="false">NextMonth(C337)</f>
        <v>#VALUE!</v>
      </c>
      <c r="D338" s="132" t="n">
        <v>0.0647234018355403</v>
      </c>
      <c r="K338" s="132" t="n">
        <v>-0.0225</v>
      </c>
      <c r="L338" s="0" t="n">
        <v>0</v>
      </c>
      <c r="M338" s="133" t="n">
        <v>0</v>
      </c>
      <c r="N338" s="0" t="n">
        <v>0</v>
      </c>
      <c r="O338" s="134" t="n">
        <v>0.65</v>
      </c>
      <c r="P338" s="134" t="n">
        <v>0.05</v>
      </c>
    </row>
    <row r="339" customFormat="false" ht="12.75" hidden="false" customHeight="false" outlineLevel="0" collapsed="false">
      <c r="A339" s="133"/>
      <c r="B339" s="133"/>
      <c r="C339" s="131" t="e">
        <f aca="false">NextMonth(C338)</f>
        <v>#VALUE!</v>
      </c>
      <c r="D339" s="132" t="n">
        <v>0.0647138559563896</v>
      </c>
      <c r="K339" s="132" t="n">
        <v>-0.045</v>
      </c>
      <c r="L339" s="0" t="n">
        <v>0</v>
      </c>
      <c r="M339" s="133" t="n">
        <v>0</v>
      </c>
      <c r="N339" s="0" t="n">
        <v>0</v>
      </c>
      <c r="O339" s="134" t="n">
        <v>0.98</v>
      </c>
      <c r="P339" s="134" t="n">
        <v>0.225</v>
      </c>
    </row>
    <row r="340" customFormat="false" ht="12.75" hidden="false" customHeight="false" outlineLevel="0" collapsed="false">
      <c r="A340" s="133"/>
      <c r="B340" s="133"/>
      <c r="C340" s="131" t="e">
        <f aca="false">NextMonth(C339)</f>
        <v>#VALUE!</v>
      </c>
      <c r="D340" s="132" t="n">
        <v>0.0647039918812986</v>
      </c>
      <c r="K340" s="132" t="n">
        <v>-0.0475</v>
      </c>
      <c r="L340" s="0" t="n">
        <v>0</v>
      </c>
      <c r="M340" s="133" t="n">
        <v>0</v>
      </c>
      <c r="N340" s="0" t="n">
        <v>0</v>
      </c>
      <c r="O340" s="134" t="n">
        <v>1.6</v>
      </c>
      <c r="P340" s="134" t="n">
        <v>0.35</v>
      </c>
    </row>
    <row r="341" customFormat="false" ht="12.75" hidden="false" customHeight="false" outlineLevel="0" collapsed="false">
      <c r="A341" s="133"/>
      <c r="B341" s="133"/>
      <c r="C341" s="131" t="e">
        <f aca="false">NextMonth(C340)</f>
        <v>#VALUE!</v>
      </c>
      <c r="D341" s="132" t="n">
        <v>0.0646941278062401</v>
      </c>
      <c r="K341" s="132" t="n">
        <v>-0.03</v>
      </c>
      <c r="L341" s="0" t="n">
        <v>0</v>
      </c>
      <c r="M341" s="133" t="n">
        <v>0</v>
      </c>
      <c r="N341" s="0" t="n">
        <v>0</v>
      </c>
      <c r="O341" s="134" t="n">
        <v>1.6</v>
      </c>
      <c r="P341" s="134" t="n">
        <v>0.35</v>
      </c>
    </row>
    <row r="342" customFormat="false" ht="12.75" hidden="false" customHeight="false" outlineLevel="0" collapsed="false">
      <c r="A342" s="133"/>
      <c r="B342" s="133"/>
      <c r="C342" s="131" t="e">
        <f aca="false">NextMonth(C341)</f>
        <v>#VALUE!</v>
      </c>
      <c r="D342" s="132" t="n">
        <v>0.0646852183191187</v>
      </c>
      <c r="K342" s="132" t="n">
        <v>-0.0175</v>
      </c>
      <c r="L342" s="0" t="n">
        <v>0</v>
      </c>
      <c r="M342" s="133" t="n">
        <v>0</v>
      </c>
      <c r="N342" s="0" t="n">
        <v>0</v>
      </c>
      <c r="O342" s="134" t="n">
        <v>0.64</v>
      </c>
      <c r="P342" s="134" t="n">
        <v>0.1</v>
      </c>
    </row>
    <row r="343" customFormat="false" ht="12.75" hidden="false" customHeight="false" outlineLevel="0" collapsed="false">
      <c r="A343" s="133"/>
      <c r="B343" s="133"/>
      <c r="C343" s="131" t="e">
        <f aca="false">NextMonth(C342)</f>
        <v>#VALUE!</v>
      </c>
      <c r="D343" s="132" t="n">
        <v>0.0646753542441214</v>
      </c>
      <c r="K343" s="132" t="n">
        <v>0.02</v>
      </c>
      <c r="L343" s="0" t="n">
        <v>0</v>
      </c>
      <c r="M343" s="133" t="n">
        <v>0</v>
      </c>
      <c r="N343" s="0" t="n">
        <v>0</v>
      </c>
      <c r="O343" s="134" t="n">
        <v>0.38</v>
      </c>
      <c r="P343" s="134" t="n">
        <v>0.01</v>
      </c>
    </row>
    <row r="344" customFormat="false" ht="12.75" hidden="false" customHeight="false" outlineLevel="0" collapsed="false">
      <c r="A344" s="133"/>
      <c r="B344" s="133"/>
      <c r="C344" s="131" t="e">
        <f aca="false">NextMonth(C343)</f>
        <v>#VALUE!</v>
      </c>
      <c r="D344" s="132" t="n">
        <v>0.064665808365123</v>
      </c>
      <c r="K344" s="132" t="n">
        <v>0.02</v>
      </c>
      <c r="L344" s="0" t="n">
        <v>0</v>
      </c>
      <c r="M344" s="133" t="n">
        <v>0</v>
      </c>
      <c r="N344" s="0" t="n">
        <v>0</v>
      </c>
      <c r="O344" s="134" t="n">
        <v>0.33</v>
      </c>
      <c r="P344" s="134" t="n">
        <v>0.01</v>
      </c>
    </row>
    <row r="345" customFormat="false" ht="12.75" hidden="false" customHeight="false" outlineLevel="0" collapsed="false">
      <c r="A345" s="133"/>
      <c r="B345" s="133"/>
      <c r="C345" s="131" t="e">
        <f aca="false">NextMonth(C344)</f>
        <v>#VALUE!</v>
      </c>
      <c r="D345" s="132" t="n">
        <v>0.0646559442901888</v>
      </c>
      <c r="K345" s="132" t="n">
        <v>0.025</v>
      </c>
      <c r="L345" s="0" t="n">
        <v>0</v>
      </c>
      <c r="M345" s="133" t="n">
        <v>0</v>
      </c>
      <c r="N345" s="0" t="n">
        <v>0</v>
      </c>
      <c r="O345" s="134" t="n">
        <v>0.37</v>
      </c>
      <c r="P345" s="134" t="n">
        <v>0.02</v>
      </c>
    </row>
    <row r="346" customFormat="false" ht="12.75" hidden="false" customHeight="false" outlineLevel="0" collapsed="false">
      <c r="A346" s="133"/>
      <c r="B346" s="133"/>
      <c r="C346" s="131" t="e">
        <f aca="false">NextMonth(C345)</f>
        <v>#VALUE!</v>
      </c>
      <c r="D346" s="132" t="n">
        <v>0.0646463984112518</v>
      </c>
      <c r="K346" s="132" t="n">
        <v>0.0275</v>
      </c>
      <c r="L346" s="0" t="n">
        <v>0</v>
      </c>
      <c r="M346" s="133" t="n">
        <v>0</v>
      </c>
      <c r="N346" s="0" t="n">
        <v>0</v>
      </c>
      <c r="O346" s="134" t="n">
        <v>0.41</v>
      </c>
      <c r="P346" s="134" t="n">
        <v>0.02</v>
      </c>
    </row>
    <row r="347" customFormat="false" ht="12.75" hidden="false" customHeight="false" outlineLevel="0" collapsed="false">
      <c r="A347" s="133"/>
      <c r="B347" s="133"/>
      <c r="C347" s="131" t="e">
        <f aca="false">NextMonth(C346)</f>
        <v>#VALUE!</v>
      </c>
      <c r="D347" s="132" t="n">
        <v>0.0646365343363815</v>
      </c>
      <c r="K347" s="132" t="n">
        <v>0.03</v>
      </c>
      <c r="L347" s="0" t="n">
        <v>0</v>
      </c>
      <c r="M347" s="133" t="n">
        <v>0</v>
      </c>
      <c r="N347" s="0" t="n">
        <v>0</v>
      </c>
      <c r="O347" s="134" t="n">
        <v>0.41</v>
      </c>
      <c r="P347" s="134" t="n">
        <v>0.005</v>
      </c>
    </row>
    <row r="348" customFormat="false" ht="12.75" hidden="false" customHeight="false" outlineLevel="0" collapsed="false">
      <c r="A348" s="133"/>
      <c r="B348" s="133"/>
      <c r="C348" s="131" t="e">
        <f aca="false">NextMonth(C347)</f>
        <v>#VALUE!</v>
      </c>
      <c r="D348" s="132" t="n">
        <v>0.0646266702615437</v>
      </c>
      <c r="K348" s="132" t="n">
        <v>0.0225</v>
      </c>
      <c r="L348" s="0" t="n">
        <v>0</v>
      </c>
      <c r="M348" s="133" t="n">
        <v>0</v>
      </c>
      <c r="N348" s="0" t="n">
        <v>0</v>
      </c>
      <c r="O348" s="134" t="n">
        <v>0.36</v>
      </c>
      <c r="P348" s="134" t="n">
        <v>0.005</v>
      </c>
    </row>
    <row r="349" customFormat="false" ht="12.75" hidden="false" customHeight="false" outlineLevel="0" collapsed="false">
      <c r="A349" s="133"/>
      <c r="B349" s="133"/>
      <c r="C349" s="131" t="e">
        <f aca="false">NextMonth(C348)</f>
        <v>#VALUE!</v>
      </c>
      <c r="D349" s="132" t="n">
        <v>0.064617124382699</v>
      </c>
      <c r="K349" s="132" t="n">
        <v>0.0125</v>
      </c>
      <c r="L349" s="0" t="n">
        <v>0</v>
      </c>
      <c r="M349" s="133" t="n">
        <v>0</v>
      </c>
      <c r="N349" s="0" t="n">
        <v>0</v>
      </c>
      <c r="O349" s="134" t="n">
        <v>0.4</v>
      </c>
      <c r="P349" s="134" t="n">
        <v>0.005</v>
      </c>
    </row>
    <row r="350" customFormat="false" ht="12.75" hidden="false" customHeight="false" outlineLevel="0" collapsed="false">
      <c r="A350" s="133"/>
      <c r="B350" s="133"/>
      <c r="C350" s="131" t="e">
        <f aca="false">NextMonth(C349)</f>
        <v>#VALUE!</v>
      </c>
      <c r="D350" s="132" t="n">
        <v>0.0646072603079242</v>
      </c>
      <c r="K350" s="132" t="n">
        <v>-0.0225</v>
      </c>
      <c r="L350" s="0" t="n">
        <v>0</v>
      </c>
      <c r="M350" s="133" t="n">
        <v>0</v>
      </c>
      <c r="N350" s="0" t="n">
        <v>0</v>
      </c>
      <c r="O350" s="134" t="n">
        <v>0.65</v>
      </c>
      <c r="P350" s="134" t="n">
        <v>0.05</v>
      </c>
    </row>
    <row r="351" customFormat="false" ht="12.75" hidden="false" customHeight="false" outlineLevel="0" collapsed="false">
      <c r="A351" s="133"/>
      <c r="B351" s="133"/>
      <c r="C351" s="131" t="e">
        <f aca="false">NextMonth(C350)</f>
        <v>#VALUE!</v>
      </c>
      <c r="D351" s="132" t="n">
        <v>0.0645977144291416</v>
      </c>
      <c r="K351" s="132" t="n">
        <v>-0.045</v>
      </c>
      <c r="L351" s="0" t="n">
        <v>0</v>
      </c>
      <c r="M351" s="133" t="n">
        <v>0</v>
      </c>
      <c r="N351" s="0" t="n">
        <v>0</v>
      </c>
      <c r="O351" s="134" t="n">
        <v>0.98</v>
      </c>
      <c r="P351" s="134" t="n">
        <v>0.225</v>
      </c>
    </row>
    <row r="352" customFormat="false" ht="12.75" hidden="false" customHeight="false" outlineLevel="0" collapsed="false">
      <c r="A352" s="133"/>
      <c r="B352" s="133"/>
      <c r="C352" s="131" t="e">
        <f aca="false">NextMonth(C351)</f>
        <v>#VALUE!</v>
      </c>
      <c r="D352" s="132" t="n">
        <v>0.0645878503544304</v>
      </c>
    </row>
    <row r="353" customFormat="false" ht="12.75" hidden="false" customHeight="false" outlineLevel="0" collapsed="false">
      <c r="A353" s="133"/>
      <c r="B353" s="133"/>
      <c r="C353" s="131" t="e">
        <f aca="false">NextMonth(C352)</f>
        <v>#VALUE!</v>
      </c>
      <c r="D353" s="132" t="n">
        <v>0.0645779862797515</v>
      </c>
    </row>
    <row r="354" customFormat="false" ht="12.75" hidden="false" customHeight="false" outlineLevel="0" collapsed="false">
      <c r="A354" s="133"/>
      <c r="B354" s="133"/>
      <c r="C354" s="131" t="e">
        <f aca="false">NextMonth(C353)</f>
        <v>#VALUE!</v>
      </c>
      <c r="D354" s="132" t="n">
        <v>0.064569076792973</v>
      </c>
    </row>
    <row r="355" customFormat="false" ht="12.75" hidden="false" customHeight="false" outlineLevel="0" collapsed="false">
      <c r="A355" s="133"/>
      <c r="B355" s="133"/>
      <c r="C355" s="131" t="e">
        <f aca="false">NextMonth(C354)</f>
        <v>#VALUE!</v>
      </c>
      <c r="D355" s="132" t="n">
        <v>0.0645592127183554</v>
      </c>
    </row>
    <row r="356" customFormat="false" ht="12.75" hidden="false" customHeight="false" outlineLevel="0" collapsed="false">
      <c r="A356" s="133"/>
      <c r="B356" s="133"/>
      <c r="C356" s="131" t="e">
        <f aca="false">NextMonth(C355)</f>
        <v>#VALUE!</v>
      </c>
      <c r="D356" s="132" t="n">
        <v>0.0645496668397243</v>
      </c>
    </row>
    <row r="357" customFormat="false" ht="12.75" hidden="false" customHeight="false" outlineLevel="0" collapsed="false">
      <c r="A357" s="133"/>
      <c r="B357" s="133"/>
      <c r="C357" s="131" t="e">
        <f aca="false">NextMonth(C356)</f>
        <v>#VALUE!</v>
      </c>
      <c r="D357" s="132" t="n">
        <v>0.0645398027651707</v>
      </c>
    </row>
    <row r="358" customFormat="false" ht="12.75" hidden="false" customHeight="false" outlineLevel="0" collapsed="false">
      <c r="A358" s="133"/>
      <c r="B358" s="133"/>
      <c r="C358" s="131" t="e">
        <f aca="false">NextMonth(C357)</f>
        <v>#VALUE!</v>
      </c>
      <c r="D358" s="132" t="n">
        <v>0.0645302568866009</v>
      </c>
    </row>
    <row r="359" customFormat="false" ht="12.75" hidden="false" customHeight="false" outlineLevel="0" collapsed="false">
      <c r="A359" s="133"/>
      <c r="B359" s="133"/>
      <c r="C359" s="131" t="e">
        <f aca="false">NextMonth(C358)</f>
        <v>#VALUE!</v>
      </c>
      <c r="D359" s="132" t="n">
        <v>0.0645203928121108</v>
      </c>
    </row>
    <row r="360" customFormat="false" ht="12.75" hidden="false" customHeight="false" outlineLevel="0" collapsed="false">
      <c r="A360" s="133"/>
      <c r="B360" s="133"/>
      <c r="C360" s="131" t="e">
        <f aca="false">NextMonth(C359)</f>
        <v>#VALUE!</v>
      </c>
      <c r="D360" s="132" t="n">
        <v>0.0645105287376526</v>
      </c>
    </row>
    <row r="361" customFormat="false" ht="12.75" hidden="false" customHeight="false" outlineLevel="0" collapsed="false">
      <c r="A361" s="133"/>
      <c r="B361" s="133"/>
      <c r="C361" s="131" t="e">
        <f aca="false">NextMonth(C360)</f>
        <v>#VALUE!</v>
      </c>
      <c r="D361" s="132" t="n">
        <v>0.0645009828591756</v>
      </c>
    </row>
    <row r="362" customFormat="false" ht="12.75" hidden="false" customHeight="false" outlineLevel="0" collapsed="false">
      <c r="A362" s="133"/>
      <c r="B362" s="133"/>
      <c r="C362" s="131" t="e">
        <f aca="false">NextMonth(C361)</f>
        <v>#VALUE!</v>
      </c>
      <c r="D362" s="132" t="n">
        <v>0.0644911187847805</v>
      </c>
    </row>
    <row r="363" customFormat="false" ht="12.75" hidden="false" customHeight="false" outlineLevel="0" collapsed="false">
      <c r="A363" s="133"/>
      <c r="B363" s="133"/>
      <c r="C363" s="131" t="e">
        <f aca="false">NextMonth(C362)</f>
        <v>#VALUE!</v>
      </c>
      <c r="D363" s="132" t="n">
        <v>0.0644815729063648</v>
      </c>
    </row>
    <row r="364" customFormat="false" ht="12.75" hidden="false" customHeight="false" outlineLevel="0" collapsed="false">
      <c r="A364" s="133"/>
      <c r="B364" s="133"/>
      <c r="C364" s="131" t="e">
        <f aca="false">NextMonth(C363)</f>
        <v>#VALUE!</v>
      </c>
      <c r="D364" s="132" t="n">
        <v>0.0644717088320337</v>
      </c>
    </row>
    <row r="365" customFormat="false" ht="12.75" hidden="false" customHeight="false" outlineLevel="0" collapsed="false">
      <c r="A365" s="133"/>
      <c r="B365" s="133"/>
      <c r="C365" s="131" t="e">
        <f aca="false">NextMonth(C364)</f>
        <v>#VALUE!</v>
      </c>
      <c r="D365" s="132" t="n">
        <v>0.064461844757735</v>
      </c>
    </row>
    <row r="366" customFormat="false" ht="12.75" hidden="false" customHeight="false" outlineLevel="0" collapsed="false">
      <c r="A366" s="133"/>
      <c r="B366" s="133"/>
      <c r="C366" s="131" t="e">
        <f aca="false">NextMonth(C365)</f>
        <v>#VALUE!</v>
      </c>
      <c r="D366" s="132" t="n">
        <v>0.0644529352712992</v>
      </c>
    </row>
    <row r="367" customFormat="false" ht="12.75" hidden="false" customHeight="false" outlineLevel="0" collapsed="false">
      <c r="A367" s="133"/>
      <c r="B367" s="133"/>
      <c r="C367" s="131" t="e">
        <f aca="false">NextMonth(C366)</f>
        <v>#VALUE!</v>
      </c>
      <c r="D367" s="132" t="n">
        <v>0.0644430711970618</v>
      </c>
    </row>
    <row r="368" customFormat="false" ht="12.75" hidden="false" customHeight="false" outlineLevel="0" collapsed="false">
      <c r="A368" s="133"/>
      <c r="B368" s="133"/>
      <c r="C368" s="131" t="e">
        <f aca="false">NextMonth(C367)</f>
        <v>#VALUE!</v>
      </c>
      <c r="D368" s="132" t="n">
        <v>0.064433525318798</v>
      </c>
    </row>
    <row r="369" customFormat="false" ht="12.75" hidden="false" customHeight="false" outlineLevel="0" collapsed="false">
      <c r="A369" s="133"/>
      <c r="B369" s="133"/>
      <c r="C369" s="131" t="e">
        <f aca="false">NextMonth(C368)</f>
        <v>#VALUE!</v>
      </c>
      <c r="D369" s="132" t="n">
        <v>0.0644236612446241</v>
      </c>
    </row>
    <row r="370" customFormat="false" ht="12.75" hidden="false" customHeight="false" outlineLevel="0" collapsed="false">
      <c r="A370" s="133"/>
      <c r="B370" s="133"/>
      <c r="C370" s="131" t="e">
        <f aca="false">NextMonth(C369)</f>
        <v>#VALUE!</v>
      </c>
      <c r="D370" s="132" t="n">
        <v>0.0644141153664219</v>
      </c>
    </row>
    <row r="371" customFormat="false" ht="12.75" hidden="false" customHeight="false" outlineLevel="0" collapsed="false">
      <c r="A371" s="133"/>
      <c r="B371" s="133"/>
      <c r="C371" s="131" t="e">
        <f aca="false">NextMonth(C370)</f>
        <v>#VALUE!</v>
      </c>
      <c r="D371" s="132" t="n">
        <v>0.0644042512923115</v>
      </c>
    </row>
    <row r="372" customFormat="false" ht="12.75" hidden="false" customHeight="false" outlineLevel="0" collapsed="false">
      <c r="A372" s="133"/>
      <c r="B372" s="133"/>
      <c r="C372" s="131" t="e">
        <f aca="false">NextMonth(C371)</f>
        <v>#VALUE!</v>
      </c>
      <c r="D372" s="132" t="n">
        <v>0.0643943872182331</v>
      </c>
    </row>
    <row r="373" customFormat="false" ht="12.75" hidden="false" customHeight="false" outlineLevel="0" collapsed="false">
      <c r="A373" s="133"/>
      <c r="B373" s="133"/>
      <c r="C373" s="131" t="e">
        <f aca="false">NextMonth(C372)</f>
        <v>#VALUE!</v>
      </c>
      <c r="D373" s="132" t="n">
        <v>0.0643848413401233</v>
      </c>
    </row>
    <row r="374" customFormat="false" ht="12.75" hidden="false" customHeight="false" outlineLevel="0" collapsed="false">
      <c r="A374" s="133"/>
      <c r="B374" s="133"/>
      <c r="C374" s="131" t="e">
        <f aca="false">NextMonth(C373)</f>
        <v>#VALUE!</v>
      </c>
      <c r="D374" s="132" t="n">
        <v>0.0643749772661089</v>
      </c>
    </row>
    <row r="375" customFormat="false" ht="12.75" hidden="false" customHeight="false" outlineLevel="0" collapsed="false">
      <c r="A375" s="133"/>
      <c r="B375" s="133"/>
      <c r="C375" s="131" t="e">
        <f aca="false">NextMonth(C374)</f>
        <v>#VALUE!</v>
      </c>
      <c r="D375" s="132" t="n">
        <v>0.0643654313880608</v>
      </c>
    </row>
    <row r="376" customFormat="false" ht="12.75" hidden="false" customHeight="false" outlineLevel="0" collapsed="false">
      <c r="A376" s="133"/>
      <c r="B376" s="133"/>
      <c r="C376" s="131" t="e">
        <f aca="false">NextMonth(C375)</f>
        <v>#VALUE!</v>
      </c>
      <c r="D376" s="132" t="n">
        <v>0.0643555673141094</v>
      </c>
    </row>
    <row r="377" customFormat="false" ht="12.75" hidden="false" customHeight="false" outlineLevel="0" collapsed="false">
      <c r="C377" s="131" t="e">
        <f aca="false">NextMonth(C376)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9" activeCellId="0" sqref="C79:C8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2" width="12.7"/>
    <col collapsed="false" customWidth="false" hidden="false" outlineLevel="0" max="2" min="2" style="72" width="9.14"/>
    <col collapsed="false" customWidth="true" hidden="false" outlineLevel="0" max="3" min="3" style="72" width="25.7"/>
    <col collapsed="false" customWidth="true" hidden="false" outlineLevel="0" max="4" min="4" style="72" width="32.85"/>
    <col collapsed="false" customWidth="true" hidden="false" outlineLevel="0" max="5" min="5" style="72" width="12.7"/>
    <col collapsed="false" customWidth="false" hidden="false" outlineLevel="0" max="257" min="6" style="72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51" t="s">
        <v>113</v>
      </c>
      <c r="C2" s="151"/>
      <c r="D2" s="151"/>
    </row>
    <row r="3" customFormat="false" ht="12.75" hidden="false" customHeight="false" outlineLevel="0" collapsed="false">
      <c r="B3" s="152"/>
      <c r="C3" s="153"/>
      <c r="D3" s="154"/>
    </row>
    <row r="4" customFormat="false" ht="12.75" hidden="false" customHeight="false" outlineLevel="0" collapsed="false">
      <c r="B4" s="155" t="n">
        <v>1</v>
      </c>
      <c r="C4" s="156" t="s">
        <v>103</v>
      </c>
      <c r="D4" s="157" t="s">
        <v>114</v>
      </c>
      <c r="E4" s="158"/>
    </row>
    <row r="5" customFormat="false" ht="12.75" hidden="false" customHeight="false" outlineLevel="0" collapsed="false">
      <c r="B5" s="155" t="n">
        <v>2</v>
      </c>
      <c r="C5" s="156" t="s">
        <v>104</v>
      </c>
      <c r="D5" s="157" t="s">
        <v>115</v>
      </c>
      <c r="E5" s="158"/>
    </row>
    <row r="6" customFormat="false" ht="12.75" hidden="false" customHeight="false" outlineLevel="0" collapsed="false">
      <c r="B6" s="155" t="n">
        <v>3</v>
      </c>
      <c r="C6" s="156" t="s">
        <v>105</v>
      </c>
      <c r="D6" s="157" t="s">
        <v>116</v>
      </c>
      <c r="E6" s="158"/>
    </row>
    <row r="7" customFormat="false" ht="12.75" hidden="false" customHeight="false" outlineLevel="0" collapsed="false">
      <c r="B7" s="155" t="n">
        <v>4</v>
      </c>
      <c r="C7" s="156" t="s">
        <v>102</v>
      </c>
      <c r="D7" s="157" t="s">
        <v>117</v>
      </c>
      <c r="E7" s="158"/>
    </row>
    <row r="8" customFormat="false" ht="12.75" hidden="false" customHeight="false" outlineLevel="0" collapsed="false">
      <c r="B8" s="155" t="n">
        <v>5</v>
      </c>
      <c r="C8" s="156" t="s">
        <v>118</v>
      </c>
      <c r="D8" s="157" t="s">
        <v>119</v>
      </c>
      <c r="E8" s="158"/>
    </row>
    <row r="9" customFormat="false" ht="12.75" hidden="false" customHeight="false" outlineLevel="0" collapsed="false">
      <c r="B9" s="155" t="n">
        <v>6</v>
      </c>
      <c r="C9" s="156"/>
      <c r="D9" s="157" t="s">
        <v>120</v>
      </c>
      <c r="E9" s="158"/>
    </row>
    <row r="10" customFormat="false" ht="12.75" hidden="false" customHeight="false" outlineLevel="0" collapsed="false">
      <c r="B10" s="155" t="n">
        <v>7</v>
      </c>
      <c r="C10" s="156"/>
      <c r="D10" s="157" t="s">
        <v>120</v>
      </c>
      <c r="E10" s="158"/>
    </row>
    <row r="11" customFormat="false" ht="12.75" hidden="false" customHeight="false" outlineLevel="0" collapsed="false">
      <c r="B11" s="155" t="n">
        <v>8</v>
      </c>
      <c r="C11" s="156"/>
      <c r="D11" s="157" t="s">
        <v>120</v>
      </c>
      <c r="E11" s="158"/>
    </row>
    <row r="12" customFormat="false" ht="12.75" hidden="false" customHeight="false" outlineLevel="0" collapsed="false">
      <c r="B12" s="155" t="n">
        <v>9</v>
      </c>
      <c r="C12" s="156"/>
      <c r="D12" s="157" t="s">
        <v>120</v>
      </c>
      <c r="E12" s="158"/>
    </row>
    <row r="13" customFormat="false" ht="12.75" hidden="false" customHeight="false" outlineLevel="0" collapsed="false">
      <c r="B13" s="155" t="n">
        <v>10</v>
      </c>
      <c r="C13" s="156"/>
      <c r="D13" s="157" t="s">
        <v>120</v>
      </c>
      <c r="E13" s="158"/>
    </row>
    <row r="14" customFormat="false" ht="13.5" hidden="false" customHeight="false" outlineLevel="0" collapsed="false">
      <c r="B14" s="159"/>
      <c r="C14" s="160"/>
      <c r="D14" s="161"/>
      <c r="E14" s="158"/>
    </row>
    <row r="15" customFormat="false" ht="13.5" hidden="false" customHeight="false" outlineLevel="0" collapsed="false"/>
    <row r="16" customFormat="false" ht="13.5" hidden="false" customHeight="false" outlineLevel="0" collapsed="false">
      <c r="B16" s="162" t="s">
        <v>121</v>
      </c>
      <c r="C16" s="162"/>
      <c r="D16" s="162"/>
    </row>
    <row r="17" customFormat="false" ht="12.75" hidden="false" customHeight="false" outlineLevel="0" collapsed="false">
      <c r="B17" s="152"/>
      <c r="C17" s="153"/>
      <c r="D17" s="154"/>
    </row>
    <row r="18" customFormat="false" ht="12.75" hidden="false" customHeight="false" outlineLevel="0" collapsed="false">
      <c r="B18" s="82" t="n">
        <v>1</v>
      </c>
      <c r="C18" s="153" t="s">
        <v>99</v>
      </c>
      <c r="D18" s="163" t="s">
        <v>122</v>
      </c>
    </row>
    <row r="19" customFormat="false" ht="12.75" hidden="false" customHeight="false" outlineLevel="0" collapsed="false">
      <c r="B19" s="82" t="n">
        <v>2</v>
      </c>
      <c r="C19" s="153" t="s">
        <v>123</v>
      </c>
      <c r="D19" s="154" t="s">
        <v>124</v>
      </c>
    </row>
    <row r="20" customFormat="false" ht="12.75" hidden="false" customHeight="false" outlineLevel="0" collapsed="false">
      <c r="B20" s="82" t="n">
        <v>3</v>
      </c>
      <c r="C20" s="153" t="s">
        <v>125</v>
      </c>
      <c r="D20" s="154" t="s">
        <v>126</v>
      </c>
    </row>
    <row r="21" customFormat="false" ht="12.75" hidden="false" customHeight="false" outlineLevel="0" collapsed="false">
      <c r="B21" s="82" t="n">
        <v>4</v>
      </c>
      <c r="C21" s="153" t="s">
        <v>73</v>
      </c>
      <c r="D21" s="154" t="s">
        <v>127</v>
      </c>
    </row>
    <row r="22" customFormat="false" ht="12.75" hidden="false" customHeight="false" outlineLevel="0" collapsed="false">
      <c r="B22" s="82" t="n">
        <v>5</v>
      </c>
      <c r="C22" s="153" t="s">
        <v>100</v>
      </c>
      <c r="D22" s="154" t="s">
        <v>128</v>
      </c>
    </row>
    <row r="23" customFormat="false" ht="12.75" hidden="false" customHeight="false" outlineLevel="0" collapsed="false">
      <c r="B23" s="82" t="n">
        <v>6</v>
      </c>
      <c r="C23" s="153" t="s">
        <v>129</v>
      </c>
      <c r="D23" s="154" t="s">
        <v>130</v>
      </c>
    </row>
    <row r="24" customFormat="false" ht="12.75" hidden="false" customHeight="false" outlineLevel="0" collapsed="false">
      <c r="B24" s="82" t="n">
        <v>7</v>
      </c>
      <c r="C24" s="153" t="s">
        <v>131</v>
      </c>
      <c r="D24" s="154" t="s">
        <v>132</v>
      </c>
    </row>
    <row r="25" customFormat="false" ht="12.75" hidden="false" customHeight="false" outlineLevel="0" collapsed="false">
      <c r="B25" s="82" t="n">
        <v>8</v>
      </c>
      <c r="C25" s="153" t="s">
        <v>133</v>
      </c>
      <c r="D25" s="154" t="s">
        <v>134</v>
      </c>
    </row>
    <row r="26" customFormat="false" ht="12.75" hidden="false" customHeight="false" outlineLevel="0" collapsed="false">
      <c r="B26" s="82" t="n">
        <v>9</v>
      </c>
      <c r="C26" s="153" t="s">
        <v>135</v>
      </c>
      <c r="D26" s="154" t="s">
        <v>136</v>
      </c>
    </row>
    <row r="27" customFormat="false" ht="12.75" hidden="false" customHeight="false" outlineLevel="0" collapsed="false">
      <c r="B27" s="82" t="n">
        <v>10</v>
      </c>
      <c r="C27" s="153"/>
      <c r="D27" s="154" t="s">
        <v>120</v>
      </c>
    </row>
    <row r="28" customFormat="false" ht="12.75" hidden="false" customHeight="false" outlineLevel="0" collapsed="false">
      <c r="B28" s="82" t="n">
        <v>11</v>
      </c>
      <c r="C28" s="153"/>
      <c r="D28" s="154" t="s">
        <v>120</v>
      </c>
    </row>
    <row r="29" customFormat="false" ht="12.75" hidden="false" customHeight="false" outlineLevel="0" collapsed="false">
      <c r="B29" s="82" t="n">
        <v>12</v>
      </c>
      <c r="C29" s="153"/>
      <c r="D29" s="154" t="s">
        <v>120</v>
      </c>
    </row>
    <row r="30" customFormat="false" ht="13.5" hidden="false" customHeight="false" outlineLevel="0" collapsed="false">
      <c r="B30" s="164"/>
      <c r="C30" s="165"/>
      <c r="D30" s="166"/>
    </row>
    <row r="31" customFormat="false" ht="13.5" hidden="false" customHeight="false" outlineLevel="0" collapsed="false"/>
    <row r="32" customFormat="false" ht="13.5" hidden="false" customHeight="false" outlineLevel="0" collapsed="false">
      <c r="B32" s="167" t="s">
        <v>137</v>
      </c>
      <c r="C32" s="167"/>
      <c r="D32" s="167"/>
    </row>
    <row r="33" customFormat="false" ht="12.75" hidden="false" customHeight="false" outlineLevel="0" collapsed="false">
      <c r="B33" s="168"/>
      <c r="C33" s="81"/>
      <c r="D33" s="169"/>
      <c r="F33" s="170"/>
      <c r="G33" s="170"/>
      <c r="H33" s="170"/>
      <c r="I33" s="170"/>
    </row>
    <row r="34" customFormat="false" ht="12.75" hidden="false" customHeight="false" outlineLevel="0" collapsed="false">
      <c r="B34" s="82" t="n">
        <v>1</v>
      </c>
      <c r="C34" s="153" t="s">
        <v>93</v>
      </c>
      <c r="D34" s="163" t="s">
        <v>138</v>
      </c>
      <c r="F34" s="0"/>
      <c r="G34" s="0"/>
      <c r="H34" s="153"/>
      <c r="I34" s="153"/>
    </row>
    <row r="35" customFormat="false" ht="12.75" hidden="false" customHeight="false" outlineLevel="0" collapsed="false">
      <c r="B35" s="82" t="n">
        <v>2</v>
      </c>
      <c r="C35" s="153" t="s">
        <v>139</v>
      </c>
      <c r="D35" s="163" t="s">
        <v>140</v>
      </c>
      <c r="F35" s="153"/>
      <c r="G35" s="153"/>
    </row>
    <row r="36" customFormat="false" ht="12.75" hidden="false" customHeight="false" outlineLevel="0" collapsed="false">
      <c r="B36" s="82" t="n">
        <v>3</v>
      </c>
      <c r="C36" s="153" t="s">
        <v>141</v>
      </c>
      <c r="D36" s="163" t="s">
        <v>142</v>
      </c>
      <c r="F36" s="153"/>
      <c r="G36" s="153"/>
    </row>
    <row r="37" customFormat="false" ht="12.75" hidden="false" customHeight="false" outlineLevel="0" collapsed="false">
      <c r="B37" s="82" t="n">
        <v>4</v>
      </c>
      <c r="C37" s="91" t="s">
        <v>143</v>
      </c>
      <c r="D37" s="157" t="s">
        <v>144</v>
      </c>
      <c r="F37" s="153"/>
      <c r="G37" s="153"/>
    </row>
    <row r="38" customFormat="false" ht="12.75" hidden="false" customHeight="false" outlineLevel="0" collapsed="false">
      <c r="B38" s="82" t="n">
        <v>5</v>
      </c>
      <c r="C38" s="156" t="s">
        <v>145</v>
      </c>
      <c r="D38" s="157" t="s">
        <v>146</v>
      </c>
      <c r="F38" s="153"/>
      <c r="G38" s="153"/>
    </row>
    <row r="39" customFormat="false" ht="12.75" hidden="false" customHeight="false" outlineLevel="0" collapsed="false">
      <c r="B39" s="82" t="n">
        <v>6</v>
      </c>
      <c r="C39" s="156" t="s">
        <v>147</v>
      </c>
      <c r="D39" s="157" t="s">
        <v>148</v>
      </c>
      <c r="F39" s="153"/>
      <c r="G39" s="153"/>
    </row>
    <row r="40" customFormat="false" ht="12.75" hidden="false" customHeight="false" outlineLevel="0" collapsed="false">
      <c r="B40" s="82" t="n">
        <v>7</v>
      </c>
      <c r="C40" s="156" t="s">
        <v>149</v>
      </c>
      <c r="D40" s="157" t="s">
        <v>150</v>
      </c>
      <c r="F40" s="153"/>
      <c r="G40" s="153"/>
    </row>
    <row r="41" customFormat="false" ht="12.75" hidden="false" customHeight="false" outlineLevel="0" collapsed="false">
      <c r="B41" s="82" t="n">
        <v>8</v>
      </c>
      <c r="C41" s="156" t="s">
        <v>151</v>
      </c>
      <c r="D41" s="157" t="s">
        <v>152</v>
      </c>
      <c r="F41" s="153"/>
      <c r="G41" s="153"/>
    </row>
    <row r="42" customFormat="false" ht="12.75" hidden="false" customHeight="false" outlineLevel="0" collapsed="false">
      <c r="B42" s="82" t="n">
        <v>9</v>
      </c>
      <c r="C42" s="156" t="s">
        <v>153</v>
      </c>
      <c r="D42" s="157" t="s">
        <v>154</v>
      </c>
      <c r="F42" s="153"/>
      <c r="G42" s="153"/>
    </row>
    <row r="43" customFormat="false" ht="12.75" hidden="false" customHeight="false" outlineLevel="0" collapsed="false">
      <c r="B43" s="82" t="n">
        <v>10</v>
      </c>
      <c r="C43" s="156" t="s">
        <v>155</v>
      </c>
      <c r="D43" s="157" t="s">
        <v>156</v>
      </c>
      <c r="F43" s="153"/>
      <c r="G43" s="153"/>
    </row>
    <row r="44" customFormat="false" ht="12.75" hidden="false" customHeight="false" outlineLevel="0" collapsed="false">
      <c r="B44" s="82" t="n">
        <v>11</v>
      </c>
      <c r="C44" s="156" t="s">
        <v>157</v>
      </c>
      <c r="D44" s="157" t="s">
        <v>158</v>
      </c>
      <c r="F44" s="153"/>
      <c r="G44" s="153"/>
    </row>
    <row r="45" customFormat="false" ht="12.75" hidden="false" customHeight="false" outlineLevel="0" collapsed="false">
      <c r="B45" s="82" t="n">
        <v>12</v>
      </c>
      <c r="C45" s="156" t="s">
        <v>159</v>
      </c>
      <c r="D45" s="157" t="s">
        <v>160</v>
      </c>
      <c r="F45" s="153"/>
      <c r="G45" s="153"/>
    </row>
    <row r="46" customFormat="false" ht="12.75" hidden="false" customHeight="false" outlineLevel="0" collapsed="false">
      <c r="B46" s="82" t="n">
        <v>13</v>
      </c>
      <c r="C46" s="156" t="s">
        <v>161</v>
      </c>
      <c r="D46" s="157" t="s">
        <v>162</v>
      </c>
      <c r="F46" s="153"/>
      <c r="G46" s="153"/>
    </row>
    <row r="47" customFormat="false" ht="12.75" hidden="false" customHeight="false" outlineLevel="0" collapsed="false">
      <c r="B47" s="82" t="n">
        <v>14</v>
      </c>
      <c r="C47" s="156" t="s">
        <v>163</v>
      </c>
      <c r="D47" s="157" t="s">
        <v>164</v>
      </c>
      <c r="F47" s="153"/>
      <c r="G47" s="153"/>
    </row>
    <row r="48" customFormat="false" ht="12.75" hidden="false" customHeight="false" outlineLevel="0" collapsed="false">
      <c r="B48" s="82" t="n">
        <v>15</v>
      </c>
      <c r="C48" s="156" t="s">
        <v>165</v>
      </c>
      <c r="D48" s="157" t="s">
        <v>166</v>
      </c>
      <c r="F48" s="153"/>
      <c r="G48" s="153"/>
    </row>
    <row r="49" customFormat="false" ht="12.75" hidden="false" customHeight="false" outlineLevel="0" collapsed="false">
      <c r="B49" s="82" t="n">
        <v>16</v>
      </c>
      <c r="C49" s="156" t="s">
        <v>167</v>
      </c>
      <c r="D49" s="157" t="s">
        <v>168</v>
      </c>
      <c r="F49" s="153"/>
      <c r="G49" s="153"/>
    </row>
    <row r="50" customFormat="false" ht="12.75" hidden="false" customHeight="false" outlineLevel="0" collapsed="false">
      <c r="B50" s="82" t="n">
        <v>17</v>
      </c>
      <c r="C50" s="156" t="s">
        <v>169</v>
      </c>
      <c r="D50" s="157" t="s">
        <v>170</v>
      </c>
      <c r="F50" s="153"/>
      <c r="G50" s="153"/>
    </row>
    <row r="51" customFormat="false" ht="12.75" hidden="false" customHeight="false" outlineLevel="0" collapsed="false">
      <c r="B51" s="82" t="n">
        <v>18</v>
      </c>
      <c r="C51" s="156" t="s">
        <v>94</v>
      </c>
      <c r="D51" s="157" t="s">
        <v>171</v>
      </c>
      <c r="F51" s="153"/>
      <c r="G51" s="153"/>
    </row>
    <row r="52" customFormat="false" ht="12.75" hidden="false" customHeight="false" outlineLevel="0" collapsed="false">
      <c r="B52" s="82" t="n">
        <v>19</v>
      </c>
      <c r="C52" s="156" t="s">
        <v>95</v>
      </c>
      <c r="D52" s="157" t="s">
        <v>172</v>
      </c>
      <c r="F52" s="153"/>
      <c r="G52" s="153"/>
    </row>
    <row r="53" customFormat="false" ht="12.75" hidden="false" customHeight="false" outlineLevel="0" collapsed="false">
      <c r="B53" s="82" t="n">
        <v>20</v>
      </c>
      <c r="C53" s="156" t="s">
        <v>173</v>
      </c>
      <c r="D53" s="157" t="s">
        <v>174</v>
      </c>
      <c r="F53" s="153"/>
      <c r="G53" s="153"/>
    </row>
    <row r="54" customFormat="false" ht="12.75" hidden="false" customHeight="false" outlineLevel="0" collapsed="false">
      <c r="B54" s="82" t="n">
        <v>21</v>
      </c>
      <c r="C54" s="156" t="s">
        <v>175</v>
      </c>
      <c r="D54" s="157" t="s">
        <v>176</v>
      </c>
      <c r="F54" s="153"/>
      <c r="G54" s="153"/>
    </row>
    <row r="55" customFormat="false" ht="12.75" hidden="false" customHeight="false" outlineLevel="0" collapsed="false">
      <c r="B55" s="82" t="n">
        <v>22</v>
      </c>
      <c r="C55" s="156" t="s">
        <v>177</v>
      </c>
      <c r="D55" s="157" t="s">
        <v>178</v>
      </c>
      <c r="F55" s="153"/>
      <c r="G55" s="153"/>
    </row>
    <row r="56" customFormat="false" ht="12.75" hidden="false" customHeight="false" outlineLevel="0" collapsed="false">
      <c r="B56" s="82" t="n">
        <v>23</v>
      </c>
      <c r="C56" s="156" t="s">
        <v>179</v>
      </c>
      <c r="D56" s="157" t="s">
        <v>180</v>
      </c>
      <c r="F56" s="153"/>
      <c r="G56" s="153"/>
    </row>
    <row r="57" customFormat="false" ht="12.75" hidden="false" customHeight="false" outlineLevel="0" collapsed="false">
      <c r="B57" s="82" t="n">
        <v>24</v>
      </c>
      <c r="C57" s="156" t="s">
        <v>181</v>
      </c>
      <c r="D57" s="157" t="s">
        <v>182</v>
      </c>
      <c r="F57" s="153"/>
      <c r="G57" s="153"/>
    </row>
    <row r="58" customFormat="false" ht="12.75" hidden="false" customHeight="false" outlineLevel="0" collapsed="false">
      <c r="B58" s="82" t="n">
        <v>25</v>
      </c>
      <c r="C58" s="156" t="s">
        <v>183</v>
      </c>
      <c r="D58" s="157" t="s">
        <v>184</v>
      </c>
      <c r="F58" s="153"/>
      <c r="G58" s="153"/>
    </row>
    <row r="59" customFormat="false" ht="12.75" hidden="false" customHeight="false" outlineLevel="0" collapsed="false">
      <c r="B59" s="82" t="n">
        <v>26</v>
      </c>
      <c r="C59" s="91" t="s">
        <v>185</v>
      </c>
      <c r="D59" s="157" t="s">
        <v>186</v>
      </c>
      <c r="F59" s="153"/>
      <c r="G59" s="153"/>
    </row>
    <row r="60" customFormat="false" ht="12.75" hidden="false" customHeight="false" outlineLevel="0" collapsed="false">
      <c r="B60" s="82" t="n">
        <v>27</v>
      </c>
      <c r="C60" s="156" t="s">
        <v>187</v>
      </c>
      <c r="D60" s="157" t="s">
        <v>188</v>
      </c>
      <c r="F60" s="153"/>
      <c r="G60" s="153"/>
    </row>
    <row r="61" customFormat="false" ht="12.75" hidden="false" customHeight="false" outlineLevel="0" collapsed="false">
      <c r="B61" s="82" t="n">
        <v>28</v>
      </c>
      <c r="C61" s="156" t="s">
        <v>189</v>
      </c>
      <c r="D61" s="157" t="s">
        <v>190</v>
      </c>
      <c r="F61" s="153"/>
      <c r="G61" s="153"/>
    </row>
    <row r="62" customFormat="false" ht="12.75" hidden="false" customHeight="false" outlineLevel="0" collapsed="false">
      <c r="B62" s="82" t="n">
        <v>29</v>
      </c>
      <c r="C62" s="156" t="s">
        <v>191</v>
      </c>
      <c r="D62" s="157" t="s">
        <v>192</v>
      </c>
      <c r="F62" s="153"/>
      <c r="G62" s="153"/>
    </row>
    <row r="63" customFormat="false" ht="12.75" hidden="false" customHeight="false" outlineLevel="0" collapsed="false">
      <c r="B63" s="82" t="n">
        <v>30</v>
      </c>
      <c r="C63" s="156" t="s">
        <v>193</v>
      </c>
      <c r="D63" s="157" t="s">
        <v>194</v>
      </c>
      <c r="F63" s="153"/>
      <c r="G63" s="153"/>
    </row>
    <row r="64" customFormat="false" ht="12.75" hidden="false" customHeight="false" outlineLevel="0" collapsed="false">
      <c r="B64" s="82" t="n">
        <v>31</v>
      </c>
      <c r="C64" s="156" t="s">
        <v>195</v>
      </c>
      <c r="D64" s="157" t="s">
        <v>196</v>
      </c>
      <c r="F64" s="153"/>
      <c r="G64" s="153"/>
    </row>
    <row r="65" customFormat="false" ht="12.75" hidden="false" customHeight="false" outlineLevel="0" collapsed="false">
      <c r="B65" s="82" t="n">
        <v>32</v>
      </c>
      <c r="C65" s="156" t="s">
        <v>197</v>
      </c>
      <c r="D65" s="157" t="s">
        <v>198</v>
      </c>
      <c r="F65" s="153"/>
      <c r="G65" s="153"/>
    </row>
    <row r="66" customFormat="false" ht="12.75" hidden="false" customHeight="false" outlineLevel="0" collapsed="false">
      <c r="B66" s="82" t="n">
        <v>33</v>
      </c>
      <c r="C66" s="156" t="s">
        <v>199</v>
      </c>
      <c r="D66" s="157" t="s">
        <v>200</v>
      </c>
      <c r="F66" s="153"/>
      <c r="G66" s="153"/>
    </row>
    <row r="67" customFormat="false" ht="12.75" hidden="false" customHeight="false" outlineLevel="0" collapsed="false">
      <c r="B67" s="82" t="n">
        <v>34</v>
      </c>
      <c r="C67" s="156" t="s">
        <v>201</v>
      </c>
      <c r="D67" s="157" t="s">
        <v>202</v>
      </c>
      <c r="F67" s="153"/>
      <c r="G67" s="153"/>
    </row>
    <row r="68" customFormat="false" ht="12.75" hidden="false" customHeight="false" outlineLevel="0" collapsed="false">
      <c r="B68" s="82" t="n">
        <v>35</v>
      </c>
      <c r="C68" s="156" t="s">
        <v>203</v>
      </c>
      <c r="D68" s="157" t="s">
        <v>204</v>
      </c>
      <c r="F68" s="153"/>
      <c r="G68" s="153"/>
    </row>
    <row r="69" customFormat="false" ht="12.75" hidden="false" customHeight="false" outlineLevel="0" collapsed="false">
      <c r="B69" s="82" t="n">
        <v>36</v>
      </c>
      <c r="C69" s="156" t="s">
        <v>205</v>
      </c>
      <c r="D69" s="157" t="s">
        <v>206</v>
      </c>
      <c r="F69" s="153"/>
      <c r="G69" s="153"/>
    </row>
    <row r="70" customFormat="false" ht="12.75" hidden="false" customHeight="false" outlineLevel="0" collapsed="false">
      <c r="B70" s="82" t="n">
        <v>37</v>
      </c>
      <c r="C70" s="156" t="s">
        <v>207</v>
      </c>
      <c r="D70" s="157" t="s">
        <v>208</v>
      </c>
      <c r="F70" s="153"/>
      <c r="G70" s="153"/>
    </row>
    <row r="71" customFormat="false" ht="12.75" hidden="false" customHeight="false" outlineLevel="0" collapsed="false">
      <c r="B71" s="82" t="n">
        <v>38</v>
      </c>
      <c r="C71" s="156" t="s">
        <v>209</v>
      </c>
      <c r="D71" s="157" t="s">
        <v>210</v>
      </c>
      <c r="F71" s="153"/>
      <c r="G71" s="153"/>
    </row>
    <row r="72" customFormat="false" ht="12.75" hidden="false" customHeight="false" outlineLevel="0" collapsed="false">
      <c r="B72" s="82" t="n">
        <v>39</v>
      </c>
      <c r="C72" s="156" t="s">
        <v>211</v>
      </c>
      <c r="D72" s="157" t="s">
        <v>212</v>
      </c>
      <c r="F72" s="153"/>
      <c r="G72" s="153"/>
    </row>
    <row r="73" customFormat="false" ht="12.75" hidden="false" customHeight="false" outlineLevel="0" collapsed="false">
      <c r="B73" s="82" t="n">
        <v>40</v>
      </c>
      <c r="C73" s="91" t="s">
        <v>48</v>
      </c>
      <c r="D73" s="157" t="s">
        <v>213</v>
      </c>
      <c r="F73" s="153"/>
      <c r="G73" s="153"/>
    </row>
    <row r="74" customFormat="false" ht="12.75" hidden="false" customHeight="false" outlineLevel="0" collapsed="false">
      <c r="B74" s="82" t="n">
        <v>41</v>
      </c>
      <c r="C74" s="156" t="s">
        <v>214</v>
      </c>
      <c r="D74" s="157" t="s">
        <v>215</v>
      </c>
      <c r="F74" s="153"/>
      <c r="G74" s="153"/>
    </row>
    <row r="75" customFormat="false" ht="12.75" hidden="false" customHeight="false" outlineLevel="0" collapsed="false">
      <c r="B75" s="82" t="n">
        <v>42</v>
      </c>
      <c r="C75" s="91" t="s">
        <v>216</v>
      </c>
      <c r="D75" s="157" t="s">
        <v>216</v>
      </c>
      <c r="F75" s="153"/>
      <c r="G75" s="153"/>
    </row>
    <row r="76" customFormat="false" ht="12.75" hidden="false" customHeight="false" outlineLevel="0" collapsed="false">
      <c r="B76" s="82" t="n">
        <v>43</v>
      </c>
      <c r="C76" s="91" t="s">
        <v>217</v>
      </c>
      <c r="D76" s="157" t="s">
        <v>217</v>
      </c>
      <c r="F76" s="153"/>
      <c r="G76" s="153"/>
    </row>
    <row r="77" customFormat="false" ht="12.75" hidden="false" customHeight="false" outlineLevel="0" collapsed="false">
      <c r="B77" s="82" t="n">
        <v>44</v>
      </c>
      <c r="C77" s="156" t="s">
        <v>218</v>
      </c>
      <c r="D77" s="157" t="s">
        <v>219</v>
      </c>
      <c r="F77" s="153"/>
      <c r="G77" s="153"/>
    </row>
    <row r="78" customFormat="false" ht="12.75" hidden="false" customHeight="false" outlineLevel="0" collapsed="false">
      <c r="B78" s="82" t="n">
        <v>45</v>
      </c>
      <c r="C78" s="156" t="s">
        <v>220</v>
      </c>
      <c r="D78" s="157" t="s">
        <v>221</v>
      </c>
      <c r="F78" s="153"/>
      <c r="G78" s="153"/>
    </row>
    <row r="79" customFormat="false" ht="12.75" hidden="false" customHeight="false" outlineLevel="0" collapsed="false">
      <c r="B79" s="82" t="n">
        <v>46</v>
      </c>
      <c r="C79" s="156" t="s">
        <v>222</v>
      </c>
      <c r="D79" s="157" t="s">
        <v>223</v>
      </c>
      <c r="F79" s="153"/>
      <c r="G79" s="153"/>
    </row>
    <row r="80" customFormat="false" ht="12.75" hidden="false" customHeight="false" outlineLevel="0" collapsed="false">
      <c r="B80" s="82" t="n">
        <v>47</v>
      </c>
      <c r="C80" s="156" t="s">
        <v>224</v>
      </c>
      <c r="D80" s="157" t="s">
        <v>225</v>
      </c>
      <c r="F80" s="153"/>
      <c r="G80" s="153"/>
    </row>
    <row r="81" customFormat="false" ht="12.75" hidden="false" customHeight="false" outlineLevel="0" collapsed="false">
      <c r="B81" s="82" t="n">
        <v>48</v>
      </c>
      <c r="C81" s="156" t="s">
        <v>226</v>
      </c>
      <c r="D81" s="157" t="s">
        <v>227</v>
      </c>
      <c r="F81" s="153"/>
      <c r="G81" s="153"/>
    </row>
    <row r="82" customFormat="false" ht="12.75" hidden="false" customHeight="false" outlineLevel="0" collapsed="false">
      <c r="B82" s="82" t="n">
        <v>49</v>
      </c>
      <c r="C82" s="156" t="s">
        <v>228</v>
      </c>
      <c r="D82" s="157" t="s">
        <v>229</v>
      </c>
      <c r="F82" s="153"/>
      <c r="G82" s="153"/>
    </row>
    <row r="83" customFormat="false" ht="12.75" hidden="false" customHeight="false" outlineLevel="0" collapsed="false">
      <c r="B83" s="82" t="n">
        <v>50</v>
      </c>
      <c r="C83" s="156" t="s">
        <v>230</v>
      </c>
      <c r="D83" s="157" t="s">
        <v>231</v>
      </c>
      <c r="F83" s="153"/>
      <c r="G83" s="153"/>
    </row>
    <row r="84" customFormat="false" ht="12.75" hidden="false" customHeight="false" outlineLevel="0" collapsed="false">
      <c r="B84" s="82" t="n">
        <v>51</v>
      </c>
      <c r="C84" s="156" t="s">
        <v>232</v>
      </c>
      <c r="D84" s="157" t="s">
        <v>233</v>
      </c>
      <c r="F84" s="153"/>
      <c r="G84" s="153"/>
    </row>
    <row r="85" customFormat="false" ht="12.75" hidden="false" customHeight="false" outlineLevel="0" collapsed="false">
      <c r="B85" s="82" t="n">
        <v>52</v>
      </c>
      <c r="C85" s="91" t="s">
        <v>234</v>
      </c>
      <c r="D85" s="157" t="s">
        <v>235</v>
      </c>
      <c r="F85" s="91"/>
      <c r="G85" s="153"/>
    </row>
    <row r="86" customFormat="false" ht="12.75" hidden="false" customHeight="false" outlineLevel="0" collapsed="false">
      <c r="B86" s="82" t="n">
        <v>53</v>
      </c>
      <c r="C86" s="91" t="s">
        <v>236</v>
      </c>
      <c r="D86" s="157" t="s">
        <v>237</v>
      </c>
      <c r="F86" s="91"/>
      <c r="G86" s="153"/>
    </row>
    <row r="87" customFormat="false" ht="12.75" hidden="false" customHeight="false" outlineLevel="0" collapsed="false">
      <c r="B87" s="82" t="n">
        <v>54</v>
      </c>
      <c r="C87" s="91" t="s">
        <v>238</v>
      </c>
      <c r="D87" s="157" t="s">
        <v>239</v>
      </c>
      <c r="F87" s="91"/>
      <c r="G87" s="153"/>
    </row>
    <row r="88" customFormat="false" ht="12.75" hidden="false" customHeight="false" outlineLevel="0" collapsed="false">
      <c r="B88" s="82" t="n">
        <v>55</v>
      </c>
      <c r="C88" s="91" t="s">
        <v>240</v>
      </c>
      <c r="D88" s="157" t="s">
        <v>241</v>
      </c>
      <c r="F88" s="91"/>
      <c r="G88" s="153"/>
    </row>
    <row r="89" customFormat="false" ht="12.75" hidden="false" customHeight="false" outlineLevel="0" collapsed="false">
      <c r="B89" s="82" t="n">
        <v>56</v>
      </c>
      <c r="C89" s="156" t="s">
        <v>242</v>
      </c>
      <c r="D89" s="157" t="s">
        <v>242</v>
      </c>
      <c r="F89" s="153"/>
      <c r="G89" s="153"/>
    </row>
    <row r="90" customFormat="false" ht="12.75" hidden="false" customHeight="false" outlineLevel="0" collapsed="false">
      <c r="B90" s="82" t="n">
        <v>57</v>
      </c>
      <c r="C90" s="156" t="s">
        <v>97</v>
      </c>
      <c r="D90" s="157" t="s">
        <v>243</v>
      </c>
      <c r="F90" s="153"/>
      <c r="G90" s="153"/>
    </row>
    <row r="91" customFormat="false" ht="12.75" hidden="false" customHeight="false" outlineLevel="0" collapsed="false">
      <c r="B91" s="82" t="n">
        <v>58</v>
      </c>
      <c r="C91" s="156" t="s">
        <v>244</v>
      </c>
      <c r="D91" s="157" t="s">
        <v>245</v>
      </c>
      <c r="F91" s="153"/>
      <c r="G91" s="153"/>
    </row>
    <row r="92" customFormat="false" ht="12.75" hidden="false" customHeight="false" outlineLevel="0" collapsed="false">
      <c r="B92" s="82" t="n">
        <v>59</v>
      </c>
      <c r="C92" s="156" t="s">
        <v>246</v>
      </c>
      <c r="D92" s="157" t="s">
        <v>247</v>
      </c>
      <c r="F92" s="153"/>
      <c r="G92" s="153"/>
    </row>
    <row r="93" customFormat="false" ht="12.75" hidden="false" customHeight="false" outlineLevel="0" collapsed="false">
      <c r="B93" s="82" t="n">
        <v>60</v>
      </c>
      <c r="C93" s="156" t="s">
        <v>248</v>
      </c>
      <c r="D93" s="157" t="s">
        <v>249</v>
      </c>
      <c r="F93" s="153"/>
      <c r="G93" s="153"/>
    </row>
    <row r="94" customFormat="false" ht="12.75" hidden="false" customHeight="false" outlineLevel="0" collapsed="false">
      <c r="B94" s="82" t="n">
        <v>61</v>
      </c>
      <c r="C94" s="156" t="s">
        <v>250</v>
      </c>
      <c r="D94" s="157" t="s">
        <v>251</v>
      </c>
      <c r="F94" s="153"/>
      <c r="G94" s="153"/>
    </row>
    <row r="95" customFormat="false" ht="12.75" hidden="false" customHeight="false" outlineLevel="0" collapsed="false">
      <c r="B95" s="82" t="n">
        <v>62</v>
      </c>
      <c r="C95" s="156" t="s">
        <v>252</v>
      </c>
      <c r="D95" s="157" t="s">
        <v>253</v>
      </c>
      <c r="F95" s="153"/>
      <c r="G95" s="153"/>
    </row>
    <row r="96" customFormat="false" ht="12.75" hidden="false" customHeight="false" outlineLevel="0" collapsed="false">
      <c r="B96" s="82" t="n">
        <v>63</v>
      </c>
      <c r="C96" s="91" t="s">
        <v>254</v>
      </c>
      <c r="D96" s="157" t="s">
        <v>255</v>
      </c>
      <c r="F96" s="153"/>
      <c r="G96" s="153"/>
    </row>
    <row r="97" customFormat="false" ht="12.75" hidden="false" customHeight="false" outlineLevel="0" collapsed="false">
      <c r="B97" s="82" t="n">
        <v>64</v>
      </c>
      <c r="C97" s="91" t="s">
        <v>256</v>
      </c>
      <c r="D97" s="157" t="s">
        <v>257</v>
      </c>
      <c r="F97" s="153"/>
      <c r="G97" s="153"/>
    </row>
    <row r="98" customFormat="false" ht="12.75" hidden="false" customHeight="false" outlineLevel="0" collapsed="false">
      <c r="B98" s="82" t="n">
        <v>65</v>
      </c>
      <c r="C98" s="91" t="s">
        <v>258</v>
      </c>
      <c r="D98" s="157" t="s">
        <v>259</v>
      </c>
      <c r="F98" s="153"/>
      <c r="G98" s="153"/>
    </row>
    <row r="99" customFormat="false" ht="12.75" hidden="false" customHeight="false" outlineLevel="0" collapsed="false">
      <c r="B99" s="82" t="n">
        <v>66</v>
      </c>
      <c r="C99" s="91" t="s">
        <v>260</v>
      </c>
      <c r="D99" s="157" t="s">
        <v>261</v>
      </c>
      <c r="F99" s="153"/>
      <c r="G99" s="153"/>
    </row>
    <row r="100" customFormat="false" ht="12.75" hidden="false" customHeight="false" outlineLevel="0" collapsed="false">
      <c r="B100" s="82" t="n">
        <v>67</v>
      </c>
      <c r="C100" s="91" t="s">
        <v>262</v>
      </c>
      <c r="D100" s="157" t="s">
        <v>263</v>
      </c>
      <c r="F100" s="153"/>
      <c r="G100" s="153"/>
    </row>
    <row r="101" customFormat="false" ht="12.75" hidden="false" customHeight="false" outlineLevel="0" collapsed="false">
      <c r="B101" s="82" t="n">
        <v>68</v>
      </c>
      <c r="C101" s="91" t="s">
        <v>264</v>
      </c>
      <c r="D101" s="157" t="s">
        <v>265</v>
      </c>
      <c r="F101" s="153"/>
      <c r="G101" s="153"/>
    </row>
    <row r="102" customFormat="false" ht="12.75" hidden="false" customHeight="false" outlineLevel="0" collapsed="false">
      <c r="B102" s="82" t="n">
        <v>69</v>
      </c>
      <c r="C102" s="91" t="s">
        <v>266</v>
      </c>
      <c r="D102" s="157" t="s">
        <v>267</v>
      </c>
      <c r="F102" s="153"/>
      <c r="G102" s="153"/>
    </row>
    <row r="103" customFormat="false" ht="12.75" hidden="false" customHeight="false" outlineLevel="0" collapsed="false">
      <c r="B103" s="82" t="n">
        <v>70</v>
      </c>
      <c r="C103" s="91" t="s">
        <v>268</v>
      </c>
      <c r="D103" s="157" t="s">
        <v>269</v>
      </c>
      <c r="F103" s="153"/>
      <c r="G103" s="153"/>
    </row>
    <row r="104" customFormat="false" ht="12.75" hidden="false" customHeight="false" outlineLevel="0" collapsed="false">
      <c r="B104" s="82" t="n">
        <v>71</v>
      </c>
      <c r="C104" s="156" t="s">
        <v>270</v>
      </c>
      <c r="D104" s="157" t="s">
        <v>271</v>
      </c>
      <c r="F104" s="153"/>
      <c r="G104" s="153"/>
    </row>
    <row r="105" customFormat="false" ht="12.75" hidden="false" customHeight="false" outlineLevel="0" collapsed="false">
      <c r="B105" s="82" t="n">
        <v>72</v>
      </c>
      <c r="C105" s="156" t="s">
        <v>272</v>
      </c>
      <c r="D105" s="157" t="s">
        <v>273</v>
      </c>
      <c r="F105" s="153"/>
      <c r="G105" s="153"/>
    </row>
    <row r="106" customFormat="false" ht="12.75" hidden="false" customHeight="false" outlineLevel="0" collapsed="false">
      <c r="B106" s="82" t="n">
        <v>73</v>
      </c>
      <c r="C106" s="156" t="s">
        <v>274</v>
      </c>
      <c r="D106" s="157" t="s">
        <v>275</v>
      </c>
      <c r="F106" s="153"/>
      <c r="G106" s="153"/>
    </row>
    <row r="107" customFormat="false" ht="12.75" hidden="false" customHeight="false" outlineLevel="0" collapsed="false">
      <c r="B107" s="82" t="n">
        <v>74</v>
      </c>
      <c r="C107" s="156" t="s">
        <v>276</v>
      </c>
      <c r="D107" s="157" t="s">
        <v>277</v>
      </c>
      <c r="F107" s="153"/>
      <c r="G107" s="153"/>
    </row>
    <row r="108" customFormat="false" ht="12.75" hidden="false" customHeight="false" outlineLevel="0" collapsed="false">
      <c r="B108" s="82" t="n">
        <v>75</v>
      </c>
      <c r="C108" s="156" t="s">
        <v>278</v>
      </c>
      <c r="D108" s="157" t="s">
        <v>279</v>
      </c>
      <c r="F108" s="153"/>
      <c r="G108" s="153"/>
    </row>
    <row r="109" customFormat="false" ht="12.75" hidden="false" customHeight="false" outlineLevel="0" collapsed="false">
      <c r="B109" s="82" t="n">
        <v>76</v>
      </c>
      <c r="C109" s="156" t="s">
        <v>280</v>
      </c>
      <c r="D109" s="157" t="s">
        <v>281</v>
      </c>
      <c r="F109" s="153"/>
      <c r="G109" s="153"/>
    </row>
    <row r="110" customFormat="false" ht="12.75" hidden="false" customHeight="false" outlineLevel="0" collapsed="false">
      <c r="B110" s="82" t="n">
        <v>77</v>
      </c>
      <c r="C110" s="156" t="s">
        <v>96</v>
      </c>
      <c r="D110" s="157" t="s">
        <v>282</v>
      </c>
      <c r="F110" s="153"/>
      <c r="G110" s="153"/>
    </row>
    <row r="111" customFormat="false" ht="12.75" hidden="false" customHeight="false" outlineLevel="0" collapsed="false">
      <c r="B111" s="82" t="n">
        <v>78</v>
      </c>
      <c r="C111" s="156" t="s">
        <v>283</v>
      </c>
      <c r="D111" s="157" t="s">
        <v>284</v>
      </c>
      <c r="F111" s="153"/>
      <c r="G111" s="153"/>
    </row>
    <row r="112" customFormat="false" ht="12.75" hidden="false" customHeight="false" outlineLevel="0" collapsed="false">
      <c r="B112" s="82" t="n">
        <v>79</v>
      </c>
      <c r="C112" s="156" t="s">
        <v>285</v>
      </c>
      <c r="D112" s="157" t="s">
        <v>286</v>
      </c>
      <c r="F112" s="153"/>
      <c r="G112" s="153"/>
    </row>
    <row r="113" customFormat="false" ht="12.75" hidden="false" customHeight="false" outlineLevel="0" collapsed="false">
      <c r="B113" s="82" t="n">
        <v>80</v>
      </c>
      <c r="C113" s="156" t="s">
        <v>287</v>
      </c>
      <c r="D113" s="157" t="s">
        <v>288</v>
      </c>
      <c r="F113" s="153"/>
      <c r="G113" s="153"/>
    </row>
    <row r="114" customFormat="false" ht="12.75" hidden="false" customHeight="false" outlineLevel="0" collapsed="false">
      <c r="B114" s="82" t="n">
        <v>81</v>
      </c>
      <c r="C114" s="156" t="s">
        <v>289</v>
      </c>
      <c r="D114" s="157" t="s">
        <v>290</v>
      </c>
      <c r="F114" s="153"/>
      <c r="G114" s="153"/>
    </row>
    <row r="115" customFormat="false" ht="12.75" hidden="false" customHeight="false" outlineLevel="0" collapsed="false">
      <c r="B115" s="82" t="n">
        <v>82</v>
      </c>
      <c r="C115" s="156" t="s">
        <v>291</v>
      </c>
      <c r="D115" s="157" t="s">
        <v>292</v>
      </c>
      <c r="F115" s="153"/>
      <c r="G115" s="153"/>
    </row>
    <row r="116" customFormat="false" ht="12.75" hidden="false" customHeight="false" outlineLevel="0" collapsed="false">
      <c r="B116" s="82" t="n">
        <v>83</v>
      </c>
      <c r="C116" s="153" t="s">
        <v>293</v>
      </c>
      <c r="D116" s="163" t="s">
        <v>294</v>
      </c>
      <c r="F116" s="153"/>
      <c r="G116" s="153"/>
    </row>
    <row r="117" customFormat="false" ht="12.75" hidden="false" customHeight="false" outlineLevel="0" collapsed="false">
      <c r="B117" s="82" t="n">
        <v>84</v>
      </c>
      <c r="C117" s="171" t="s">
        <v>295</v>
      </c>
      <c r="D117" s="163" t="s">
        <v>296</v>
      </c>
      <c r="F117" s="153"/>
      <c r="G117" s="153"/>
    </row>
    <row r="118" customFormat="false" ht="12.75" hidden="false" customHeight="false" outlineLevel="0" collapsed="false">
      <c r="B118" s="82" t="n">
        <v>85</v>
      </c>
      <c r="C118" s="156" t="s">
        <v>297</v>
      </c>
      <c r="D118" s="157" t="s">
        <v>298</v>
      </c>
      <c r="F118" s="153"/>
      <c r="G118" s="153"/>
    </row>
    <row r="119" customFormat="false" ht="12.75" hidden="false" customHeight="false" outlineLevel="0" collapsed="false">
      <c r="B119" s="82" t="n">
        <v>86</v>
      </c>
      <c r="C119" s="156" t="s">
        <v>299</v>
      </c>
      <c r="D119" s="157" t="s">
        <v>300</v>
      </c>
    </row>
    <row r="120" customFormat="false" ht="12.75" hidden="false" customHeight="false" outlineLevel="0" collapsed="false">
      <c r="B120" s="82" t="n">
        <v>87</v>
      </c>
      <c r="C120" s="156" t="s">
        <v>301</v>
      </c>
      <c r="D120" s="157" t="s">
        <v>302</v>
      </c>
    </row>
    <row r="121" customFormat="false" ht="12.75" hidden="false" customHeight="false" outlineLevel="0" collapsed="false">
      <c r="B121" s="82" t="n">
        <v>88</v>
      </c>
      <c r="C121" s="156" t="s">
        <v>303</v>
      </c>
      <c r="D121" s="157" t="s">
        <v>304</v>
      </c>
    </row>
    <row r="122" customFormat="false" ht="12.75" hidden="false" customHeight="false" outlineLevel="0" collapsed="false">
      <c r="B122" s="82" t="n">
        <v>89</v>
      </c>
      <c r="C122" s="156" t="s">
        <v>305</v>
      </c>
      <c r="D122" s="157" t="s">
        <v>306</v>
      </c>
    </row>
    <row r="123" customFormat="false" ht="12.75" hidden="false" customHeight="false" outlineLevel="0" collapsed="false">
      <c r="B123" s="82" t="n">
        <v>90</v>
      </c>
      <c r="C123" s="156" t="s">
        <v>307</v>
      </c>
      <c r="D123" s="157" t="s">
        <v>308</v>
      </c>
    </row>
    <row r="124" customFormat="false" ht="12.75" hidden="false" customHeight="false" outlineLevel="0" collapsed="false">
      <c r="B124" s="82" t="n">
        <v>91</v>
      </c>
      <c r="C124" s="156" t="s">
        <v>309</v>
      </c>
      <c r="D124" s="157" t="s">
        <v>310</v>
      </c>
    </row>
    <row r="125" customFormat="false" ht="12.75" hidden="false" customHeight="false" outlineLevel="0" collapsed="false">
      <c r="B125" s="82" t="n">
        <v>92</v>
      </c>
      <c r="C125" s="156" t="s">
        <v>311</v>
      </c>
      <c r="D125" s="157" t="s">
        <v>312</v>
      </c>
    </row>
    <row r="126" customFormat="false" ht="12.75" hidden="false" customHeight="false" outlineLevel="0" collapsed="false">
      <c r="B126" s="82" t="n">
        <v>93</v>
      </c>
      <c r="C126" s="156" t="s">
        <v>313</v>
      </c>
      <c r="D126" s="157" t="s">
        <v>314</v>
      </c>
    </row>
    <row r="127" customFormat="false" ht="12.75" hidden="false" customHeight="false" outlineLevel="0" collapsed="false">
      <c r="B127" s="82" t="n">
        <v>94</v>
      </c>
      <c r="C127" s="156" t="s">
        <v>315</v>
      </c>
      <c r="D127" s="157" t="s">
        <v>316</v>
      </c>
    </row>
    <row r="128" customFormat="false" ht="12.75" hidden="false" customHeight="false" outlineLevel="0" collapsed="false">
      <c r="B128" s="82" t="n">
        <v>95</v>
      </c>
      <c r="C128" s="156" t="s">
        <v>317</v>
      </c>
      <c r="D128" s="157" t="s">
        <v>318</v>
      </c>
    </row>
    <row r="129" customFormat="false" ht="12.75" hidden="false" customHeight="false" outlineLevel="0" collapsed="false">
      <c r="B129" s="82" t="n">
        <v>96</v>
      </c>
      <c r="C129" s="156" t="s">
        <v>319</v>
      </c>
      <c r="D129" s="157" t="s">
        <v>320</v>
      </c>
    </row>
    <row r="130" customFormat="false" ht="12.75" hidden="false" customHeight="false" outlineLevel="0" collapsed="false">
      <c r="B130" s="82" t="n">
        <v>97</v>
      </c>
      <c r="C130" s="156" t="s">
        <v>321</v>
      </c>
      <c r="D130" s="157" t="s">
        <v>322</v>
      </c>
    </row>
    <row r="131" customFormat="false" ht="12.75" hidden="false" customHeight="false" outlineLevel="0" collapsed="false">
      <c r="B131" s="82" t="n">
        <v>98</v>
      </c>
      <c r="C131" s="156" t="s">
        <v>323</v>
      </c>
      <c r="D131" s="157" t="s">
        <v>324</v>
      </c>
    </row>
    <row r="132" customFormat="false" ht="12.75" hidden="false" customHeight="false" outlineLevel="0" collapsed="false">
      <c r="B132" s="82" t="n">
        <v>99</v>
      </c>
      <c r="C132" s="156" t="s">
        <v>325</v>
      </c>
      <c r="D132" s="157" t="s">
        <v>326</v>
      </c>
    </row>
    <row r="133" customFormat="false" ht="12.75" hidden="false" customHeight="false" outlineLevel="0" collapsed="false">
      <c r="B133" s="82" t="n">
        <v>100</v>
      </c>
      <c r="C133" s="156" t="s">
        <v>327</v>
      </c>
      <c r="D133" s="157" t="s">
        <v>328</v>
      </c>
    </row>
    <row r="134" customFormat="false" ht="12.75" hidden="false" customHeight="false" outlineLevel="0" collapsed="false">
      <c r="B134" s="82" t="n">
        <v>101</v>
      </c>
      <c r="C134" s="156" t="s">
        <v>329</v>
      </c>
      <c r="D134" s="157" t="s">
        <v>330</v>
      </c>
    </row>
    <row r="135" customFormat="false" ht="12.75" hidden="false" customHeight="false" outlineLevel="0" collapsed="false">
      <c r="B135" s="82" t="n">
        <v>102</v>
      </c>
      <c r="C135" s="156" t="s">
        <v>331</v>
      </c>
      <c r="D135" s="157" t="s">
        <v>332</v>
      </c>
    </row>
    <row r="136" customFormat="false" ht="12.75" hidden="false" customHeight="false" outlineLevel="0" collapsed="false">
      <c r="B136" s="82" t="n">
        <v>103</v>
      </c>
      <c r="C136" s="156" t="s">
        <v>333</v>
      </c>
      <c r="D136" s="157" t="s">
        <v>334</v>
      </c>
    </row>
    <row r="137" customFormat="false" ht="12.75" hidden="false" customHeight="false" outlineLevel="0" collapsed="false">
      <c r="B137" s="82" t="n">
        <v>104</v>
      </c>
      <c r="C137" s="156" t="s">
        <v>335</v>
      </c>
      <c r="D137" s="157" t="s">
        <v>336</v>
      </c>
    </row>
    <row r="138" customFormat="false" ht="12.75" hidden="false" customHeight="false" outlineLevel="0" collapsed="false">
      <c r="B138" s="82" t="n">
        <v>105</v>
      </c>
      <c r="C138" s="156" t="s">
        <v>337</v>
      </c>
      <c r="D138" s="157" t="s">
        <v>338</v>
      </c>
    </row>
    <row r="139" customFormat="false" ht="12.75" hidden="false" customHeight="false" outlineLevel="0" collapsed="false">
      <c r="B139" s="82" t="n">
        <v>106</v>
      </c>
      <c r="C139" s="156" t="s">
        <v>339</v>
      </c>
      <c r="D139" s="157" t="s">
        <v>340</v>
      </c>
    </row>
    <row r="140" customFormat="false" ht="12.75" hidden="false" customHeight="false" outlineLevel="0" collapsed="false">
      <c r="B140" s="82" t="n">
        <v>107</v>
      </c>
      <c r="C140" s="156" t="s">
        <v>341</v>
      </c>
      <c r="D140" s="157" t="s">
        <v>342</v>
      </c>
    </row>
    <row r="141" customFormat="false" ht="12.75" hidden="false" customHeight="false" outlineLevel="0" collapsed="false">
      <c r="B141" s="82" t="n">
        <v>108</v>
      </c>
      <c r="C141" s="156" t="s">
        <v>343</v>
      </c>
      <c r="D141" s="157" t="s">
        <v>344</v>
      </c>
    </row>
    <row r="142" customFormat="false" ht="12.75" hidden="false" customHeight="false" outlineLevel="0" collapsed="false">
      <c r="B142" s="82" t="n">
        <v>109</v>
      </c>
      <c r="C142" s="156" t="s">
        <v>345</v>
      </c>
      <c r="D142" s="157" t="s">
        <v>346</v>
      </c>
    </row>
    <row r="143" customFormat="false" ht="12.75" hidden="false" customHeight="false" outlineLevel="0" collapsed="false">
      <c r="B143" s="82" t="n">
        <v>110</v>
      </c>
      <c r="C143" s="156" t="s">
        <v>347</v>
      </c>
      <c r="D143" s="157" t="s">
        <v>348</v>
      </c>
    </row>
    <row r="144" customFormat="false" ht="12.75" hidden="false" customHeight="false" outlineLevel="0" collapsed="false">
      <c r="B144" s="82" t="n">
        <v>111</v>
      </c>
      <c r="C144" s="156" t="s">
        <v>349</v>
      </c>
      <c r="D144" s="157" t="s">
        <v>350</v>
      </c>
    </row>
    <row r="145" customFormat="false" ht="12.75" hidden="false" customHeight="false" outlineLevel="0" collapsed="false">
      <c r="B145" s="82" t="n">
        <v>112</v>
      </c>
      <c r="C145" s="156" t="s">
        <v>351</v>
      </c>
      <c r="D145" s="157" t="s">
        <v>352</v>
      </c>
    </row>
    <row r="146" customFormat="false" ht="12.75" hidden="false" customHeight="false" outlineLevel="0" collapsed="false">
      <c r="B146" s="82" t="n">
        <v>113</v>
      </c>
      <c r="C146" s="156" t="s">
        <v>353</v>
      </c>
      <c r="D146" s="157" t="s">
        <v>354</v>
      </c>
    </row>
    <row r="147" customFormat="false" ht="12.75" hidden="false" customHeight="false" outlineLevel="0" collapsed="false">
      <c r="B147" s="82" t="n">
        <v>114</v>
      </c>
      <c r="C147" s="156" t="s">
        <v>355</v>
      </c>
      <c r="D147" s="157" t="s">
        <v>356</v>
      </c>
    </row>
    <row r="148" customFormat="false" ht="12.75" hidden="false" customHeight="false" outlineLevel="0" collapsed="false">
      <c r="B148" s="82" t="n">
        <v>115</v>
      </c>
      <c r="C148" s="156" t="s">
        <v>357</v>
      </c>
      <c r="D148" s="157" t="s">
        <v>358</v>
      </c>
    </row>
    <row r="149" customFormat="false" ht="12.75" hidden="false" customHeight="false" outlineLevel="0" collapsed="false">
      <c r="B149" s="82" t="n">
        <v>116</v>
      </c>
      <c r="C149" s="156" t="s">
        <v>359</v>
      </c>
      <c r="D149" s="157" t="s">
        <v>360</v>
      </c>
    </row>
    <row r="150" customFormat="false" ht="12.75" hidden="false" customHeight="false" outlineLevel="0" collapsed="false">
      <c r="B150" s="82" t="n">
        <v>117</v>
      </c>
      <c r="C150" s="156" t="s">
        <v>361</v>
      </c>
      <c r="D150" s="157" t="s">
        <v>362</v>
      </c>
    </row>
    <row r="151" customFormat="false" ht="12.75" hidden="false" customHeight="false" outlineLevel="0" collapsed="false">
      <c r="B151" s="82" t="n">
        <v>118</v>
      </c>
      <c r="C151" s="156" t="s">
        <v>363</v>
      </c>
      <c r="D151" s="157" t="s">
        <v>364</v>
      </c>
    </row>
    <row r="152" customFormat="false" ht="12.75" hidden="false" customHeight="false" outlineLevel="0" collapsed="false">
      <c r="B152" s="82" t="n">
        <v>119</v>
      </c>
      <c r="C152" s="156" t="s">
        <v>365</v>
      </c>
      <c r="D152" s="157" t="s">
        <v>366</v>
      </c>
    </row>
    <row r="153" customFormat="false" ht="12.75" hidden="false" customHeight="false" outlineLevel="0" collapsed="false">
      <c r="B153" s="82" t="n">
        <v>120</v>
      </c>
      <c r="C153" s="156" t="s">
        <v>367</v>
      </c>
      <c r="D153" s="157" t="s">
        <v>368</v>
      </c>
    </row>
    <row r="154" customFormat="false" ht="12.75" hidden="false" customHeight="false" outlineLevel="0" collapsed="false">
      <c r="B154" s="82" t="n">
        <v>121</v>
      </c>
      <c r="C154" s="156" t="s">
        <v>369</v>
      </c>
      <c r="D154" s="157" t="s">
        <v>370</v>
      </c>
    </row>
    <row r="155" customFormat="false" ht="12.75" hidden="false" customHeight="false" outlineLevel="0" collapsed="false">
      <c r="B155" s="82" t="n">
        <v>122</v>
      </c>
      <c r="C155" s="156" t="s">
        <v>371</v>
      </c>
      <c r="D155" s="157" t="s">
        <v>372</v>
      </c>
    </row>
    <row r="156" customFormat="false" ht="12.75" hidden="false" customHeight="false" outlineLevel="0" collapsed="false">
      <c r="B156" s="82" t="n">
        <v>123</v>
      </c>
      <c r="C156" s="156" t="s">
        <v>373</v>
      </c>
      <c r="D156" s="157" t="s">
        <v>374</v>
      </c>
    </row>
    <row r="157" customFormat="false" ht="12.75" hidden="false" customHeight="false" outlineLevel="0" collapsed="false">
      <c r="B157" s="82" t="n">
        <v>124</v>
      </c>
      <c r="C157" s="156" t="s">
        <v>375</v>
      </c>
      <c r="D157" s="157" t="s">
        <v>376</v>
      </c>
    </row>
    <row r="158" customFormat="false" ht="12.75" hidden="false" customHeight="false" outlineLevel="0" collapsed="false">
      <c r="B158" s="82" t="n">
        <v>125</v>
      </c>
      <c r="C158" s="156" t="s">
        <v>377</v>
      </c>
      <c r="D158" s="157" t="s">
        <v>378</v>
      </c>
    </row>
    <row r="159" customFormat="false" ht="12.75" hidden="false" customHeight="false" outlineLevel="0" collapsed="false">
      <c r="B159" s="82" t="n">
        <v>126</v>
      </c>
      <c r="C159" s="153" t="s">
        <v>379</v>
      </c>
      <c r="D159" s="163" t="s">
        <v>380</v>
      </c>
    </row>
    <row r="160" customFormat="false" ht="12.75" hidden="false" customHeight="false" outlineLevel="0" collapsed="false">
      <c r="B160" s="82" t="n">
        <v>127</v>
      </c>
      <c r="C160" s="153" t="s">
        <v>381</v>
      </c>
      <c r="D160" s="154" t="s">
        <v>381</v>
      </c>
    </row>
    <row r="161" customFormat="false" ht="12.75" hidden="false" customHeight="false" outlineLevel="0" collapsed="false">
      <c r="B161" s="82" t="n">
        <v>128</v>
      </c>
      <c r="C161" s="153" t="s">
        <v>382</v>
      </c>
      <c r="D161" s="154" t="s">
        <v>383</v>
      </c>
    </row>
    <row r="162" customFormat="false" ht="12.75" hidden="false" customHeight="false" outlineLevel="0" collapsed="false">
      <c r="B162" s="82" t="n">
        <v>129</v>
      </c>
      <c r="C162" s="156" t="s">
        <v>384</v>
      </c>
      <c r="D162" s="157" t="s">
        <v>385</v>
      </c>
    </row>
    <row r="163" customFormat="false" ht="12.75" hidden="false" customHeight="false" outlineLevel="0" collapsed="false">
      <c r="B163" s="82" t="n">
        <v>130</v>
      </c>
      <c r="C163" s="156" t="s">
        <v>386</v>
      </c>
      <c r="D163" s="157" t="s">
        <v>387</v>
      </c>
    </row>
    <row r="164" customFormat="false" ht="12.75" hidden="false" customHeight="false" outlineLevel="0" collapsed="false">
      <c r="B164" s="82" t="n">
        <v>131</v>
      </c>
      <c r="C164" s="156" t="s">
        <v>388</v>
      </c>
      <c r="D164" s="157" t="s">
        <v>389</v>
      </c>
    </row>
    <row r="165" customFormat="false" ht="12.75" hidden="false" customHeight="false" outlineLevel="0" collapsed="false">
      <c r="B165" s="82" t="n">
        <v>132</v>
      </c>
      <c r="C165" s="156" t="s">
        <v>390</v>
      </c>
      <c r="D165" s="157" t="s">
        <v>390</v>
      </c>
    </row>
    <row r="166" customFormat="false" ht="12.75" hidden="false" customHeight="false" outlineLevel="0" collapsed="false">
      <c r="B166" s="82" t="n">
        <v>133</v>
      </c>
      <c r="C166" s="153" t="s">
        <v>367</v>
      </c>
      <c r="D166" s="157" t="s">
        <v>391</v>
      </c>
    </row>
    <row r="167" customFormat="false" ht="12.75" hidden="false" customHeight="false" outlineLevel="0" collapsed="false">
      <c r="B167" s="82" t="n">
        <v>134</v>
      </c>
      <c r="C167" s="153"/>
      <c r="D167" s="157" t="s">
        <v>120</v>
      </c>
    </row>
    <row r="168" customFormat="false" ht="12.75" hidden="false" customHeight="false" outlineLevel="0" collapsed="false">
      <c r="B168" s="82" t="n">
        <v>135</v>
      </c>
      <c r="C168" s="91"/>
      <c r="D168" s="163" t="s">
        <v>120</v>
      </c>
    </row>
    <row r="169" customFormat="false" ht="12.75" hidden="false" customHeight="false" outlineLevel="0" collapsed="false">
      <c r="B169" s="82" t="n">
        <v>136</v>
      </c>
      <c r="C169" s="153"/>
      <c r="D169" s="163" t="s">
        <v>120</v>
      </c>
    </row>
    <row r="170" customFormat="false" ht="12.75" hidden="false" customHeight="false" outlineLevel="0" collapsed="false">
      <c r="B170" s="82" t="n">
        <v>137</v>
      </c>
      <c r="C170" s="153"/>
      <c r="D170" s="163" t="s">
        <v>120</v>
      </c>
    </row>
    <row r="171" customFormat="false" ht="12.75" hidden="false" customHeight="false" outlineLevel="0" collapsed="false">
      <c r="B171" s="82" t="n">
        <v>138</v>
      </c>
      <c r="C171" s="153"/>
      <c r="D171" s="163" t="s">
        <v>120</v>
      </c>
    </row>
    <row r="172" customFormat="false" ht="12.75" hidden="false" customHeight="false" outlineLevel="0" collapsed="false">
      <c r="B172" s="82" t="n">
        <v>139</v>
      </c>
      <c r="C172" s="153"/>
      <c r="D172" s="163" t="s">
        <v>120</v>
      </c>
    </row>
    <row r="173" customFormat="false" ht="12.75" hidden="false" customHeight="false" outlineLevel="0" collapsed="false">
      <c r="B173" s="82" t="n">
        <v>140</v>
      </c>
      <c r="C173" s="153"/>
      <c r="D173" s="163" t="s">
        <v>120</v>
      </c>
    </row>
    <row r="174" customFormat="false" ht="12.75" hidden="false" customHeight="false" outlineLevel="0" collapsed="false">
      <c r="B174" s="82" t="n">
        <v>141</v>
      </c>
      <c r="C174" s="153"/>
      <c r="D174" s="163" t="s">
        <v>120</v>
      </c>
    </row>
    <row r="175" customFormat="false" ht="12.75" hidden="false" customHeight="false" outlineLevel="0" collapsed="false">
      <c r="B175" s="82" t="n">
        <v>142</v>
      </c>
      <c r="C175" s="153"/>
      <c r="D175" s="163" t="s">
        <v>120</v>
      </c>
    </row>
    <row r="176" customFormat="false" ht="12.75" hidden="false" customHeight="false" outlineLevel="0" collapsed="false">
      <c r="B176" s="82" t="n">
        <v>143</v>
      </c>
      <c r="C176" s="153"/>
      <c r="D176" s="163" t="s">
        <v>120</v>
      </c>
    </row>
    <row r="177" customFormat="false" ht="12.75" hidden="false" customHeight="false" outlineLevel="0" collapsed="false">
      <c r="B177" s="82" t="n">
        <v>144</v>
      </c>
      <c r="C177" s="153"/>
      <c r="D177" s="163" t="s">
        <v>120</v>
      </c>
    </row>
    <row r="178" customFormat="false" ht="12.75" hidden="false" customHeight="false" outlineLevel="0" collapsed="false">
      <c r="B178" s="82" t="n">
        <v>145</v>
      </c>
      <c r="C178" s="153"/>
      <c r="D178" s="163" t="s">
        <v>120</v>
      </c>
    </row>
    <row r="179" customFormat="false" ht="12.75" hidden="false" customHeight="false" outlineLevel="0" collapsed="false">
      <c r="B179" s="82" t="n">
        <v>146</v>
      </c>
      <c r="C179" s="153"/>
      <c r="D179" s="163" t="s">
        <v>120</v>
      </c>
    </row>
    <row r="180" customFormat="false" ht="12.75" hidden="false" customHeight="false" outlineLevel="0" collapsed="false">
      <c r="B180" s="152"/>
      <c r="C180" s="153"/>
      <c r="D180" s="163" t="s">
        <v>120</v>
      </c>
    </row>
    <row r="181" customFormat="false" ht="12.75" hidden="false" customHeight="false" outlineLevel="0" collapsed="false">
      <c r="B181" s="152"/>
      <c r="C181" s="153"/>
      <c r="D181" s="163" t="s">
        <v>120</v>
      </c>
    </row>
    <row r="182" customFormat="false" ht="12.75" hidden="false" customHeight="false" outlineLevel="0" collapsed="false">
      <c r="B182" s="152"/>
      <c r="C182" s="153"/>
      <c r="D182" s="163" t="s">
        <v>120</v>
      </c>
    </row>
    <row r="183" customFormat="false" ht="12.75" hidden="false" customHeight="false" outlineLevel="0" collapsed="false">
      <c r="B183" s="82"/>
      <c r="C183" s="153"/>
      <c r="D183" s="163" t="s">
        <v>120</v>
      </c>
    </row>
    <row r="184" customFormat="false" ht="13.5" hidden="false" customHeight="false" outlineLevel="0" collapsed="false">
      <c r="B184" s="164"/>
      <c r="C184" s="165"/>
      <c r="D184" s="166"/>
    </row>
  </sheetData>
  <mergeCells count="3">
    <mergeCell ref="B2:D2"/>
    <mergeCell ref="B16:D16"/>
    <mergeCell ref="B32:D32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O10" activeCellId="0" sqref="O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2" width="14.14"/>
    <col collapsed="false" customWidth="true" hidden="false" outlineLevel="0" max="2" min="2" style="72" width="14.56"/>
    <col collapsed="false" customWidth="true" hidden="false" outlineLevel="0" max="4" min="3" style="72" width="16.42"/>
    <col collapsed="false" customWidth="true" hidden="false" outlineLevel="0" max="5" min="5" style="72" width="14.85"/>
    <col collapsed="false" customWidth="true" hidden="false" outlineLevel="0" max="6" min="6" style="72" width="13.85"/>
    <col collapsed="false" customWidth="true" hidden="false" outlineLevel="0" max="7" min="7" style="72" width="10.71"/>
    <col collapsed="false" customWidth="true" hidden="false" outlineLevel="0" max="8" min="8" style="72" width="18.14"/>
    <col collapsed="false" customWidth="true" hidden="false" outlineLevel="0" max="9" min="9" style="72" width="22.56"/>
    <col collapsed="false" customWidth="true" hidden="false" outlineLevel="0" max="10" min="10" style="72" width="25.85"/>
    <col collapsed="false" customWidth="true" hidden="false" outlineLevel="0" max="12" min="11" style="5" width="19.28"/>
    <col collapsed="false" customWidth="true" hidden="false" outlineLevel="0" max="13" min="13" style="5" width="24.99"/>
    <col collapsed="false" customWidth="true" hidden="false" outlineLevel="0" max="15" min="14" style="5" width="19.28"/>
    <col collapsed="false" customWidth="true" hidden="false" outlineLevel="0" max="16" min="16" style="5" width="3.14"/>
    <col collapsed="false" customWidth="true" hidden="false" outlineLevel="0" max="17" min="17" style="5" width="16.7"/>
    <col collapsed="false" customWidth="true" hidden="false" outlineLevel="0" max="18" min="18" style="5" width="18.56"/>
    <col collapsed="false" customWidth="true" hidden="false" outlineLevel="0" max="19" min="19" style="5" width="16.7"/>
    <col collapsed="false" customWidth="true" hidden="false" outlineLevel="0" max="20" min="20" style="72" width="3.14"/>
    <col collapsed="false" customWidth="true" hidden="false" outlineLevel="0" max="27" min="21" style="5" width="10.71"/>
    <col collapsed="false" customWidth="true" hidden="false" outlineLevel="0" max="28" min="28" style="72" width="4.28"/>
    <col collapsed="false" customWidth="true" hidden="false" outlineLevel="0" max="29" min="29" style="72" width="18.41"/>
    <col collapsed="false" customWidth="true" hidden="false" outlineLevel="0" max="30" min="30" style="72" width="3.85"/>
    <col collapsed="false" customWidth="true" hidden="false" outlineLevel="0" max="31" min="31" style="72" width="13.85"/>
    <col collapsed="false" customWidth="true" hidden="false" outlineLevel="0" max="32" min="32" style="72" width="2.84"/>
    <col collapsed="false" customWidth="true" hidden="false" outlineLevel="0" max="33" min="33" style="72" width="12.14"/>
    <col collapsed="false" customWidth="false" hidden="false" outlineLevel="0" max="257" min="34" style="72" width="9.14"/>
  </cols>
  <sheetData>
    <row r="1" customFormat="false" ht="13.5" hidden="false" customHeight="false" outlineLevel="0" collapsed="false">
      <c r="A1" s="73"/>
      <c r="B1" s="74" t="s">
        <v>36</v>
      </c>
      <c r="C1" s="75"/>
      <c r="D1" s="75"/>
      <c r="E1" s="0"/>
      <c r="H1" s="76" t="s">
        <v>37</v>
      </c>
      <c r="I1" s="5" t="s">
        <v>38</v>
      </c>
      <c r="J1" s="5" t="s">
        <v>26</v>
      </c>
      <c r="K1" s="77" t="s">
        <v>39</v>
      </c>
      <c r="L1" s="78" t="s">
        <v>40</v>
      </c>
      <c r="M1" s="79"/>
    </row>
    <row r="2" customFormat="false" ht="12.75" hidden="false" customHeight="false" outlineLevel="0" collapsed="false">
      <c r="A2" s="76" t="s">
        <v>1</v>
      </c>
      <c r="B2" s="80" t="s">
        <v>41</v>
      </c>
      <c r="C2" s="80" t="s">
        <v>42</v>
      </c>
      <c r="D2" s="81" t="s">
        <v>3</v>
      </c>
      <c r="E2" s="80" t="s">
        <v>0</v>
      </c>
      <c r="F2" s="80" t="s">
        <v>43</v>
      </c>
      <c r="G2" s="80" t="s">
        <v>44</v>
      </c>
      <c r="H2" s="82" t="s">
        <v>45</v>
      </c>
      <c r="I2" s="80" t="s">
        <v>46</v>
      </c>
      <c r="J2" s="80" t="s">
        <v>46</v>
      </c>
      <c r="K2" s="83" t="s">
        <v>47</v>
      </c>
      <c r="L2" s="84"/>
    </row>
    <row r="3" customFormat="false" ht="13.5" hidden="false" customHeight="false" outlineLevel="0" collapsed="false">
      <c r="A3" s="85" t="n">
        <f aca="false">'Inputs-Summary'!B3</f>
        <v>37288</v>
      </c>
      <c r="B3" s="86" t="n">
        <f aca="false">'Inputs-Summary'!B4</f>
        <v>37530</v>
      </c>
      <c r="C3" s="87" t="n">
        <v>37231</v>
      </c>
      <c r="D3" s="87" t="n">
        <f aca="false">'Inputs-Summary'!B5</f>
        <v>37260</v>
      </c>
      <c r="E3" s="88" t="str">
        <f aca="false">CONCATENATE(INT(Z8/12)," Y - ",Z8-INT(Z8/12)*12," M")</f>
        <v>0 Y - 9 M</v>
      </c>
      <c r="F3" s="89" t="n">
        <v>2</v>
      </c>
      <c r="G3" s="89" t="n">
        <f aca="false">'Inputs-Summary'!B9</f>
        <v>1</v>
      </c>
      <c r="H3" s="90" t="n">
        <f aca="false">'Inputs-Summary'!B8</f>
        <v>1</v>
      </c>
      <c r="I3" s="91" t="s">
        <v>48</v>
      </c>
      <c r="J3" s="91" t="s">
        <v>48</v>
      </c>
      <c r="K3" s="92" t="n">
        <v>0</v>
      </c>
      <c r="L3" s="63"/>
      <c r="AC3" s="72" t="s">
        <v>49</v>
      </c>
      <c r="AE3" s="72" t="s">
        <v>50</v>
      </c>
      <c r="AG3" s="72" t="s">
        <v>51</v>
      </c>
    </row>
    <row r="4" customFormat="false" ht="12.75" hidden="false" customHeight="false" outlineLevel="0" collapsed="false">
      <c r="A4" s="93"/>
      <c r="B4" s="93"/>
      <c r="C4" s="94"/>
      <c r="D4" s="94" t="s">
        <v>52</v>
      </c>
      <c r="E4" s="94" t="s">
        <v>53</v>
      </c>
      <c r="F4" s="94" t="s">
        <v>54</v>
      </c>
      <c r="G4" s="95" t="s">
        <v>55</v>
      </c>
      <c r="H4" s="96"/>
      <c r="I4" s="96"/>
      <c r="J4" s="95" t="str">
        <f aca="false">CONCATENATE(I3,"-","D")</f>
        <v>IF-TENN/LA_OFF-D</v>
      </c>
      <c r="K4" s="96" t="str">
        <f aca="false">I3</f>
        <v>IF-TENN/LA_OFF</v>
      </c>
      <c r="L4" s="96" t="str">
        <f aca="false">I3</f>
        <v>IF-TENN/LA_OFF</v>
      </c>
      <c r="M4" s="95" t="str">
        <f aca="false">CONCATENATE(J3,"-","I")</f>
        <v>IF-TENN/LA_OFF-I</v>
      </c>
      <c r="N4" s="96" t="str">
        <f aca="false">J3</f>
        <v>IF-TENN/LA_OFF</v>
      </c>
      <c r="O4" s="96" t="str">
        <f aca="false">J3</f>
        <v>IF-TENN/LA_OFF</v>
      </c>
      <c r="Q4" s="96" t="str">
        <f aca="false">K4</f>
        <v>IF-TENN/LA_OFF</v>
      </c>
      <c r="R4" s="96" t="str">
        <f aca="false">J4</f>
        <v>IF-TENN/LA_OFF-D</v>
      </c>
      <c r="S4" s="96" t="str">
        <f aca="false">K4</f>
        <v>IF-TENN/LA_OFF</v>
      </c>
      <c r="U4" s="97"/>
      <c r="V4" s="97"/>
      <c r="W4" s="97" t="s">
        <v>56</v>
      </c>
      <c r="X4" s="95" t="s">
        <v>57</v>
      </c>
      <c r="Y4" s="97"/>
      <c r="Z4" s="97"/>
      <c r="AA4" s="97"/>
      <c r="AC4" s="98"/>
      <c r="AE4" s="99"/>
      <c r="AG4" s="99"/>
    </row>
    <row r="5" customFormat="false" ht="12.75" hidden="false" customHeight="false" outlineLevel="0" collapsed="false">
      <c r="A5" s="94" t="s">
        <v>58</v>
      </c>
      <c r="B5" s="94" t="str">
        <f aca="false">IF($H$3=1,"Daily","Monthly")</f>
        <v>Daily</v>
      </c>
      <c r="C5" s="94"/>
      <c r="D5" s="94" t="str">
        <f aca="false">IF($H$3=1,"Daily","Monthly")</f>
        <v>Daily</v>
      </c>
      <c r="E5" s="94" t="s">
        <v>59</v>
      </c>
      <c r="F5" s="94" t="s">
        <v>59</v>
      </c>
      <c r="G5" s="94" t="s">
        <v>60</v>
      </c>
      <c r="H5" s="94" t="s">
        <v>60</v>
      </c>
      <c r="I5" s="94" t="s">
        <v>60</v>
      </c>
      <c r="J5" s="94" t="s">
        <v>38</v>
      </c>
      <c r="K5" s="94" t="s">
        <v>38</v>
      </c>
      <c r="L5" s="94" t="s">
        <v>38</v>
      </c>
      <c r="M5" s="94" t="s">
        <v>26</v>
      </c>
      <c r="N5" s="94" t="s">
        <v>26</v>
      </c>
      <c r="O5" s="94" t="s">
        <v>26</v>
      </c>
      <c r="Q5" s="94" t="s">
        <v>24</v>
      </c>
      <c r="R5" s="94" t="s">
        <v>24</v>
      </c>
      <c r="S5" s="94" t="s">
        <v>24</v>
      </c>
      <c r="U5" s="100" t="s">
        <v>61</v>
      </c>
      <c r="V5" s="100" t="s">
        <v>62</v>
      </c>
      <c r="W5" s="100" t="s">
        <v>62</v>
      </c>
      <c r="X5" s="101" t="s">
        <v>63</v>
      </c>
      <c r="Y5" s="100" t="s">
        <v>62</v>
      </c>
      <c r="Z5" s="100" t="s">
        <v>64</v>
      </c>
      <c r="AA5" s="100" t="s">
        <v>64</v>
      </c>
      <c r="AC5" s="102" t="s">
        <v>65</v>
      </c>
      <c r="AE5" s="102" t="s">
        <v>66</v>
      </c>
      <c r="AG5" s="102" t="s">
        <v>67</v>
      </c>
    </row>
    <row r="6" customFormat="false" ht="12.75" hidden="false" customHeight="false" outlineLevel="0" collapsed="false">
      <c r="A6" s="103" t="s">
        <v>68</v>
      </c>
      <c r="B6" s="103" t="s">
        <v>69</v>
      </c>
      <c r="C6" s="103"/>
      <c r="D6" s="103" t="s">
        <v>69</v>
      </c>
      <c r="E6" s="103" t="s">
        <v>70</v>
      </c>
      <c r="F6" s="103" t="s">
        <v>70</v>
      </c>
      <c r="G6" s="103" t="s">
        <v>20</v>
      </c>
      <c r="H6" s="103" t="str">
        <f aca="false">CHOOSE(G3,"Bid","Offer")</f>
        <v>Bid</v>
      </c>
      <c r="I6" s="103" t="s">
        <v>22</v>
      </c>
      <c r="J6" s="103" t="s">
        <v>20</v>
      </c>
      <c r="K6" s="103" t="str">
        <f aca="false">H6</f>
        <v>Bid</v>
      </c>
      <c r="L6" s="103" t="s">
        <v>22</v>
      </c>
      <c r="M6" s="103" t="s">
        <v>20</v>
      </c>
      <c r="N6" s="103" t="str">
        <f aca="false">K6</f>
        <v>Bid</v>
      </c>
      <c r="O6" s="103" t="s">
        <v>22</v>
      </c>
      <c r="Q6" s="103" t="s">
        <v>20</v>
      </c>
      <c r="R6" s="103" t="str">
        <f aca="false">K6</f>
        <v>Bid</v>
      </c>
      <c r="S6" s="103" t="s">
        <v>22</v>
      </c>
      <c r="U6" s="104" t="s">
        <v>71</v>
      </c>
      <c r="V6" s="104" t="s">
        <v>72</v>
      </c>
      <c r="W6" s="104" t="s">
        <v>71</v>
      </c>
      <c r="X6" s="105" t="s">
        <v>73</v>
      </c>
      <c r="Y6" s="104" t="s">
        <v>74</v>
      </c>
      <c r="Z6" s="104" t="s">
        <v>75</v>
      </c>
      <c r="AA6" s="104" t="s">
        <v>71</v>
      </c>
      <c r="AC6" s="102" t="s">
        <v>76</v>
      </c>
      <c r="AE6" s="102" t="s">
        <v>77</v>
      </c>
      <c r="AG6" s="102" t="s">
        <v>77</v>
      </c>
    </row>
    <row r="7" customFormat="false" ht="13.5" hidden="false" customHeight="false" outlineLevel="0" collapsed="false">
      <c r="A7" s="106"/>
      <c r="B7" s="106"/>
      <c r="C7" s="106"/>
      <c r="D7" s="106"/>
      <c r="H7" s="107"/>
      <c r="K7" s="107"/>
      <c r="N7" s="107"/>
      <c r="W7" s="108"/>
      <c r="AC7" s="109"/>
      <c r="AE7" s="109"/>
      <c r="AG7" s="109"/>
    </row>
    <row r="8" customFormat="false" ht="13.5" hidden="false" customHeight="false" outlineLevel="0" collapsed="false">
      <c r="A8" s="110" t="s">
        <v>78</v>
      </c>
      <c r="B8" s="111"/>
      <c r="C8" s="111"/>
      <c r="D8" s="111" t="n">
        <f aca="false">SUM(D10:D370)</f>
        <v>66874.6712749616</v>
      </c>
      <c r="E8" s="111" t="n">
        <f aca="false">SUM(E10:E370)</f>
        <v>1822735.39016897</v>
      </c>
      <c r="F8" s="111" t="n">
        <f aca="false">SUM(F10:F370)</f>
        <v>1093245.32263718</v>
      </c>
      <c r="G8" s="112" t="n">
        <f aca="false">SUMPRODUCT($F10:$F370,G10:G370)/SUM($F10:$F370)</f>
        <v>3</v>
      </c>
      <c r="H8" s="112" t="n">
        <f aca="false">SUMPRODUCT($F10:$F370,H10:H370)/SUM($F10:$F370)</f>
        <v>3</v>
      </c>
      <c r="I8" s="112" t="n">
        <f aca="false">SUMPRODUCT($F10:$F370,I10:I370)/SUM($F10:$F370)</f>
        <v>3</v>
      </c>
      <c r="J8" s="112" t="n">
        <f aca="false">SUMPRODUCT($F10:$F370,J10:J370)/SUM($F10:$F370)</f>
        <v>4</v>
      </c>
      <c r="K8" s="112" t="n">
        <f aca="false">SUMPRODUCT($F10:$F370,K10:K370)/SUM($F10:$F370)</f>
        <v>4</v>
      </c>
      <c r="L8" s="112" t="n">
        <f aca="false">SUMPRODUCT($F10:$F370,L10:L370)/SUM($F10:$F370)</f>
        <v>4</v>
      </c>
      <c r="M8" s="112" t="n">
        <f aca="false">SUMPRODUCT($F10:$F370,M10:M370)/SUM($F10:$F370)</f>
        <v>4</v>
      </c>
      <c r="N8" s="112" t="n">
        <f aca="false">SUMPRODUCT($F10:$F370,N10:N370)/SUM($F10:$F370)</f>
        <v>4</v>
      </c>
      <c r="O8" s="112" t="n">
        <f aca="false">SUMPRODUCT($F10:$F370,O10:O370)/SUM($F10:$F370)</f>
        <v>0.137232834725665</v>
      </c>
      <c r="P8" s="112"/>
      <c r="Q8" s="112" t="n">
        <f aca="false">SUMPRODUCT($F10:$F370,Q10:Q370)/SUM($F10:$F370)</f>
        <v>11</v>
      </c>
      <c r="R8" s="112" t="n">
        <f aca="false">SUMPRODUCT($F10:$F370,R10:R370)/SUM($F10:$F370)</f>
        <v>11</v>
      </c>
      <c r="S8" s="112" t="n">
        <f aca="false">SUMPRODUCT($F10:$F370,S10:S370)/SUM($F10:$F370)</f>
        <v>7.13723283472567</v>
      </c>
      <c r="X8" s="113"/>
      <c r="Z8" s="114" t="n">
        <f aca="false">SUM(Z10:Z370)</f>
        <v>9</v>
      </c>
      <c r="AA8" s="114" t="n">
        <f aca="false">SUM(AA10:AA370)</f>
        <v>273</v>
      </c>
      <c r="AC8" s="115" t="n">
        <f aca="false">SUM(AC10:AC370)</f>
        <v>4222952.13587266</v>
      </c>
      <c r="AE8" s="116" t="n">
        <f aca="false">SUM(AE10:AE370)</f>
        <v>0</v>
      </c>
      <c r="AG8" s="116" t="n">
        <f aca="false">AC8+AE8</f>
        <v>4222952.13587266</v>
      </c>
    </row>
    <row r="9" customFormat="false" ht="12.75" hidden="false" customHeight="false" outlineLevel="0" collapsed="false">
      <c r="B9" s="117"/>
      <c r="C9" s="117"/>
      <c r="D9" s="117"/>
      <c r="E9" s="117"/>
      <c r="F9" s="117"/>
      <c r="H9" s="118"/>
      <c r="I9" s="118"/>
      <c r="J9" s="118"/>
      <c r="K9" s="119"/>
      <c r="L9" s="119"/>
      <c r="M9" s="119"/>
      <c r="N9" s="119"/>
      <c r="O9" s="119"/>
      <c r="Q9" s="119"/>
      <c r="R9" s="119"/>
      <c r="S9" s="119"/>
      <c r="AC9" s="109"/>
      <c r="AE9" s="109"/>
      <c r="AG9" s="109"/>
    </row>
    <row r="10" customFormat="false" ht="12.75" hidden="false" customHeight="false" outlineLevel="0" collapsed="false">
      <c r="A10" s="120" t="n">
        <f aca="false">A3</f>
        <v>37288</v>
      </c>
      <c r="B10" s="172" t="n">
        <v>14085.1612903226</v>
      </c>
      <c r="C10" s="122"/>
      <c r="D10" s="123" t="n">
        <f aca="false">B10+C10</f>
        <v>14085.1612903226</v>
      </c>
      <c r="E10" s="111" t="n">
        <f aca="false">IF(Z10=0,0,IF(AND(Z10=1,$H$3=1),D10*U10,IF($H$3=2,D10,"N/A")))</f>
        <v>394384.516129032</v>
      </c>
      <c r="F10" s="111" t="n">
        <f aca="false">E10*Y10</f>
        <v>317660.987637959</v>
      </c>
      <c r="G10" s="124" t="n">
        <f aca="false">VLOOKUP($A10,Table,MATCH(G$4,Curves,0))</f>
        <v>3</v>
      </c>
      <c r="H10" s="125" t="n">
        <f aca="false">G10+$H$7</f>
        <v>3</v>
      </c>
      <c r="I10" s="124" t="n">
        <f aca="false">H10</f>
        <v>3</v>
      </c>
      <c r="J10" s="124" t="n">
        <f aca="false">VLOOKUP($A10,Table,MATCH(J$4,Curves,0))</f>
        <v>4</v>
      </c>
      <c r="K10" s="125" t="n">
        <f aca="false">J10+$K$7</f>
        <v>4</v>
      </c>
      <c r="L10" s="126" t="n">
        <f aca="false">K10</f>
        <v>4</v>
      </c>
      <c r="M10" s="124" t="n">
        <f aca="false">VLOOKUP($A10,Table,MATCH(M$4,Curves,0))</f>
        <v>4</v>
      </c>
      <c r="N10" s="125" t="n">
        <f aca="false">M10+$N$7</f>
        <v>4</v>
      </c>
      <c r="O10" s="173" t="n">
        <f aca="false">IF(B10&gt;0,(1000/B10*0.25)+((B10-1000)/B10*0.12),0)</f>
        <v>0.129229571271528</v>
      </c>
      <c r="P10" s="114"/>
      <c r="Q10" s="126" t="n">
        <f aca="false">M10+J10+G10</f>
        <v>11</v>
      </c>
      <c r="R10" s="126" t="n">
        <f aca="false">N10+K10+H10</f>
        <v>11</v>
      </c>
      <c r="S10" s="126" t="n">
        <f aca="false">O10+L10+I10</f>
        <v>7.12922957127153</v>
      </c>
      <c r="T10" s="127"/>
      <c r="U10" s="5" t="n">
        <f aca="false">A11-A10</f>
        <v>28</v>
      </c>
      <c r="V10" s="128" t="n">
        <f aca="false">CHOOSE(F$3,A11+24,A10)</f>
        <v>37288</v>
      </c>
      <c r="W10" s="5" t="n">
        <f aca="false">V10-C$3</f>
        <v>57</v>
      </c>
      <c r="X10" s="124" t="n">
        <f aca="false">VLOOKUP($A10,Table,MATCH(X$4,Curves,0))</f>
        <v>2</v>
      </c>
      <c r="Y10" s="129" t="n">
        <f aca="false">1/(1+CHOOSE(F$3,(X11+($K$3/10000))/2,(X10+($K$3/10000))/2))^(2*W10/365.25)</f>
        <v>0.805460089447397</v>
      </c>
      <c r="Z10" s="5" t="n">
        <f aca="false">IF(AND(mthbeg&lt;=A10,mthend&gt;=A10),1,0)</f>
        <v>1</v>
      </c>
      <c r="AA10" s="5" t="n">
        <f aca="false">U10*Z10</f>
        <v>28</v>
      </c>
      <c r="AC10" s="115" t="n">
        <f aca="false">IF(G3=1,F10*(Q10-S10),F10*(S10-Q10))</f>
        <v>1229592.75730969</v>
      </c>
      <c r="AE10" s="116" t="n">
        <f aca="false">IF($G$3=1,F10*(R10-Q10),F10*(Q10-R10))</f>
        <v>0</v>
      </c>
      <c r="AG10" s="116" t="n">
        <f aca="false">AC10+AE10</f>
        <v>1229592.75730969</v>
      </c>
    </row>
    <row r="11" customFormat="false" ht="12.75" hidden="false" customHeight="false" outlineLevel="0" collapsed="false">
      <c r="A11" s="120" t="n">
        <f aca="false">EDATE(A10,1)</f>
        <v>37316</v>
      </c>
      <c r="B11" s="174" t="n">
        <v>10187.7142857143</v>
      </c>
      <c r="C11" s="122"/>
      <c r="D11" s="123" t="n">
        <f aca="false">B11+C11</f>
        <v>10187.7142857143</v>
      </c>
      <c r="E11" s="111" t="n">
        <f aca="false">IF(Z11=0,0,IF(AND(Z11=1,$H$3=1),D11*U11,IF($H$3=2,D11,"N/A")))</f>
        <v>315819.142857143</v>
      </c>
      <c r="F11" s="111" t="n">
        <f aca="false">E11*Y11</f>
        <v>228732.915001758</v>
      </c>
      <c r="G11" s="124" t="n">
        <f aca="false">VLOOKUP($A11,Table,MATCH(G$4,Curves,0))</f>
        <v>3</v>
      </c>
      <c r="H11" s="125" t="n">
        <f aca="false">G11+$H$7</f>
        <v>3</v>
      </c>
      <c r="I11" s="124" t="n">
        <f aca="false">H11</f>
        <v>3</v>
      </c>
      <c r="J11" s="124" t="n">
        <f aca="false">VLOOKUP($A11,Table,MATCH(J$4,Curves,0))</f>
        <v>4</v>
      </c>
      <c r="K11" s="125" t="n">
        <f aca="false">J11+$K$7</f>
        <v>4</v>
      </c>
      <c r="L11" s="126" t="n">
        <f aca="false">K11</f>
        <v>4</v>
      </c>
      <c r="M11" s="124" t="n">
        <f aca="false">VLOOKUP($A11,Table,MATCH(M$4,Curves,0))</f>
        <v>4</v>
      </c>
      <c r="N11" s="125" t="n">
        <f aca="false">M11+$N$7</f>
        <v>4</v>
      </c>
      <c r="O11" s="175" t="n">
        <f aca="false">IF(B11&gt;0,(1000/B11*0.25)+((B11-1000)/B11*0.12),0)</f>
        <v>0.132760467790336</v>
      </c>
      <c r="P11" s="114"/>
      <c r="Q11" s="126" t="n">
        <f aca="false">M11+J11+G11</f>
        <v>11</v>
      </c>
      <c r="R11" s="126" t="n">
        <f aca="false">N11+K11+H11</f>
        <v>11</v>
      </c>
      <c r="S11" s="126" t="n">
        <f aca="false">O11+L11+I11</f>
        <v>7.13276046779034</v>
      </c>
      <c r="T11" s="127"/>
      <c r="U11" s="5" t="n">
        <f aca="false">A12-A11</f>
        <v>31</v>
      </c>
      <c r="V11" s="128" t="n">
        <f aca="false">CHOOSE(F$3,A12+24,A11)</f>
        <v>37316</v>
      </c>
      <c r="W11" s="5" t="n">
        <f aca="false">V11-C$3</f>
        <v>85</v>
      </c>
      <c r="X11" s="124" t="n">
        <f aca="false">VLOOKUP($A11,Table,MATCH(X$4,Curves,0))</f>
        <v>2</v>
      </c>
      <c r="Y11" s="129" t="n">
        <f aca="false">1/(1+CHOOSE(F$3,(X12+($K$3/10000))/2,(X11+($K$3/10000))/2))^(2*W11/365.25)</f>
        <v>0.724252852225689</v>
      </c>
      <c r="Z11" s="5" t="n">
        <f aca="false">IF(AND(mthbeg&lt;=A11,mthend&gt;=A11),1,0)</f>
        <v>1</v>
      </c>
      <c r="AA11" s="5" t="n">
        <f aca="false">U11*Z11</f>
        <v>31</v>
      </c>
      <c r="AC11" s="115" t="n">
        <f aca="false">IF(G4=2,F11*(S11-Q11),F11*(Q11-S11))</f>
        <v>884564.971212352</v>
      </c>
      <c r="AE11" s="116" t="n">
        <f aca="false">IF($G$3=1,F11*(R11-Q11),F11*(Q11-R11))</f>
        <v>0</v>
      </c>
      <c r="AG11" s="116" t="n">
        <f aca="false">AC11+AE11</f>
        <v>884564.971212352</v>
      </c>
    </row>
    <row r="12" customFormat="false" ht="12.75" hidden="false" customHeight="false" outlineLevel="0" collapsed="false">
      <c r="A12" s="120" t="n">
        <f aca="false">EDATE(A11,1)</f>
        <v>37347</v>
      </c>
      <c r="B12" s="174" t="n">
        <v>9177.32258064516</v>
      </c>
      <c r="C12" s="122"/>
      <c r="D12" s="123" t="n">
        <f aca="false">B12+C12</f>
        <v>9177.32258064516</v>
      </c>
      <c r="E12" s="111" t="n">
        <f aca="false">IF(Z12=0,0,IF(AND(Z12=1,$H$3=1),D12*U12,IF($H$3=2,D12,"N/A")))</f>
        <v>275319.677419355</v>
      </c>
      <c r="F12" s="111" t="n">
        <f aca="false">E12*Y12</f>
        <v>177267.289091445</v>
      </c>
      <c r="G12" s="124" t="n">
        <f aca="false">VLOOKUP($A12,Table,MATCH(G$4,Curves,0))</f>
        <v>3</v>
      </c>
      <c r="H12" s="125" t="n">
        <f aca="false">G12+$H$7</f>
        <v>3</v>
      </c>
      <c r="I12" s="124" t="n">
        <f aca="false">H12</f>
        <v>3</v>
      </c>
      <c r="J12" s="124" t="n">
        <f aca="false">VLOOKUP($A12,Table,MATCH(J$4,Curves,0))</f>
        <v>4</v>
      </c>
      <c r="K12" s="125" t="n">
        <f aca="false">J12+$K$7</f>
        <v>4</v>
      </c>
      <c r="L12" s="126" t="n">
        <f aca="false">K12</f>
        <v>4</v>
      </c>
      <c r="M12" s="124" t="n">
        <f aca="false">VLOOKUP($A12,Table,MATCH(M$4,Curves,0))</f>
        <v>4</v>
      </c>
      <c r="N12" s="125" t="n">
        <f aca="false">M12+$N$7</f>
        <v>4</v>
      </c>
      <c r="O12" s="175" t="n">
        <f aca="false">IF(B12&gt;0,(1000/B12*0.25)+((B12-1000)/B12*0.12),0)</f>
        <v>0.13416535147998</v>
      </c>
      <c r="P12" s="114"/>
      <c r="Q12" s="126" t="n">
        <f aca="false">M12+J12+G12</f>
        <v>11</v>
      </c>
      <c r="R12" s="126" t="n">
        <f aca="false">N12+K12+H12</f>
        <v>11</v>
      </c>
      <c r="S12" s="126" t="n">
        <f aca="false">O12+L12+I12</f>
        <v>7.13416535147998</v>
      </c>
      <c r="T12" s="127"/>
      <c r="U12" s="5" t="n">
        <f aca="false">A13-A12</f>
        <v>30</v>
      </c>
      <c r="V12" s="128" t="n">
        <f aca="false">CHOOSE(F$3,A13+24,A12)</f>
        <v>37347</v>
      </c>
      <c r="W12" s="5" t="n">
        <f aca="false">V12-C$3</f>
        <v>116</v>
      </c>
      <c r="X12" s="124" t="n">
        <f aca="false">VLOOKUP($A12,Table,MATCH(X$4,Curves,0))</f>
        <v>2</v>
      </c>
      <c r="Y12" s="129" t="n">
        <f aca="false">1/(1+CHOOSE(F$3,(X13+($K$3/10000))/2,(X12+($K$3/10000))/2))^(2*W12/365.25)</f>
        <v>0.64385986048298</v>
      </c>
      <c r="Z12" s="5" t="n">
        <f aca="false">IF(AND(mthbeg&lt;=A12,mthend&gt;=A12),1,0)</f>
        <v>1</v>
      </c>
      <c r="AA12" s="5" t="n">
        <f aca="false">U12*Z12</f>
        <v>30</v>
      </c>
      <c r="AC12" s="115" t="n">
        <f aca="false">IF(G5=2,F12*(S12-Q12),F12*(Q12-S12))</f>
        <v>685286.028218923</v>
      </c>
      <c r="AE12" s="116" t="n">
        <f aca="false">IF($G$3=1,F12*(R12-Q12),F12*(Q12-R12))</f>
        <v>0</v>
      </c>
      <c r="AG12" s="116" t="n">
        <f aca="false">AC12+AE12</f>
        <v>685286.028218923</v>
      </c>
    </row>
    <row r="13" customFormat="false" ht="12.75" hidden="false" customHeight="false" outlineLevel="0" collapsed="false">
      <c r="A13" s="120" t="n">
        <f aca="false">EDATE(A12,1)</f>
        <v>37377</v>
      </c>
      <c r="B13" s="174" t="n">
        <v>5401.86666666667</v>
      </c>
      <c r="C13" s="122"/>
      <c r="D13" s="123" t="n">
        <f aca="false">B13+C13</f>
        <v>5401.86666666667</v>
      </c>
      <c r="E13" s="111" t="n">
        <f aca="false">IF(Z13=0,0,IF(AND(Z13=1,$H$3=1),D13*U13,IF($H$3=2,D13,"N/A")))</f>
        <v>167457.866666667</v>
      </c>
      <c r="F13" s="111" t="n">
        <f aca="false">E13*Y13</f>
        <v>96215.7994465206</v>
      </c>
      <c r="G13" s="124" t="n">
        <f aca="false">VLOOKUP($A13,Table,MATCH(G$4,Curves,0))</f>
        <v>3</v>
      </c>
      <c r="H13" s="125" t="n">
        <f aca="false">G13+$H$7</f>
        <v>3</v>
      </c>
      <c r="I13" s="124" t="n">
        <f aca="false">H13</f>
        <v>3</v>
      </c>
      <c r="J13" s="124" t="n">
        <f aca="false">VLOOKUP($A13,Table,MATCH(J$4,Curves,0))</f>
        <v>4</v>
      </c>
      <c r="K13" s="125" t="n">
        <f aca="false">J13+$K$7</f>
        <v>4</v>
      </c>
      <c r="L13" s="126" t="n">
        <f aca="false">K13</f>
        <v>4</v>
      </c>
      <c r="M13" s="124" t="n">
        <f aca="false">VLOOKUP($A13,Table,MATCH(M$4,Curves,0))</f>
        <v>4</v>
      </c>
      <c r="N13" s="125" t="n">
        <f aca="false">M13+$N$7</f>
        <v>4</v>
      </c>
      <c r="O13" s="175" t="n">
        <f aca="false">IF(B13&gt;0,(1000/B13*0.25)+((B13-1000)/B13*0.12),0)</f>
        <v>0.144065755047638</v>
      </c>
      <c r="P13" s="114"/>
      <c r="Q13" s="126" t="n">
        <f aca="false">M13+J13+G13</f>
        <v>11</v>
      </c>
      <c r="R13" s="126" t="n">
        <f aca="false">N13+K13+H13</f>
        <v>11</v>
      </c>
      <c r="S13" s="126" t="n">
        <f aca="false">O13+L13+I13</f>
        <v>7.14406575504764</v>
      </c>
      <c r="T13" s="127"/>
      <c r="U13" s="5" t="n">
        <f aca="false">A14-A13</f>
        <v>31</v>
      </c>
      <c r="V13" s="128" t="n">
        <f aca="false">CHOOSE(F$3,A14+24,A13)</f>
        <v>37377</v>
      </c>
      <c r="W13" s="5" t="n">
        <f aca="false">V13-C$3</f>
        <v>146</v>
      </c>
      <c r="X13" s="124" t="n">
        <f aca="false">VLOOKUP($A13,Table,MATCH(X$4,Curves,0))</f>
        <v>2</v>
      </c>
      <c r="Y13" s="129" t="n">
        <f aca="false">1/(1+CHOOSE(F$3,(X14+($K$3/10000))/2,(X13+($K$3/10000))/2))^(2*W13/365.25)</f>
        <v>0.574567211214048</v>
      </c>
      <c r="Z13" s="5" t="n">
        <f aca="false">IF(AND(mthbeg&lt;=A13,mthend&gt;=A13),1,0)</f>
        <v>1</v>
      </c>
      <c r="AA13" s="5" t="n">
        <f aca="false">U13*Z13</f>
        <v>31</v>
      </c>
      <c r="AC13" s="115" t="n">
        <f aca="false">IF(G6=2,F13*(S13-Q13),F13*(Q13-S13))</f>
        <v>371001.795991307</v>
      </c>
      <c r="AE13" s="116" t="n">
        <f aca="false">IF($G$3=1,F13*(R13-Q13),F13*(Q13-R13))</f>
        <v>0</v>
      </c>
      <c r="AG13" s="116" t="n">
        <f aca="false">AC13+AE13</f>
        <v>371001.795991307</v>
      </c>
    </row>
    <row r="14" customFormat="false" ht="12.75" hidden="false" customHeight="false" outlineLevel="0" collapsed="false">
      <c r="A14" s="120" t="n">
        <f aca="false">EDATE(A13,1)</f>
        <v>37408</v>
      </c>
      <c r="B14" s="174" t="n">
        <v>4676.1935483871</v>
      </c>
      <c r="C14" s="122"/>
      <c r="D14" s="123" t="n">
        <f aca="false">B14+C14</f>
        <v>4676.1935483871</v>
      </c>
      <c r="E14" s="111" t="n">
        <f aca="false">IF(Z14=0,0,IF(AND(Z14=1,$H$3=1),D14*U14,IF($H$3=2,D14,"N/A")))</f>
        <v>140285.806451613</v>
      </c>
      <c r="F14" s="111" t="n">
        <f aca="false">E14*Y14</f>
        <v>71656.5192953835</v>
      </c>
      <c r="G14" s="124" t="n">
        <f aca="false">VLOOKUP($A14,Table,MATCH(G$4,Curves,0))</f>
        <v>3</v>
      </c>
      <c r="H14" s="125" t="n">
        <f aca="false">G14+$H$7</f>
        <v>3</v>
      </c>
      <c r="I14" s="124" t="n">
        <f aca="false">H14</f>
        <v>3</v>
      </c>
      <c r="J14" s="124" t="n">
        <f aca="false">VLOOKUP($A14,Table,MATCH(J$4,Curves,0))</f>
        <v>4</v>
      </c>
      <c r="K14" s="125" t="n">
        <f aca="false">J14+$K$7</f>
        <v>4</v>
      </c>
      <c r="L14" s="126" t="n">
        <f aca="false">K14</f>
        <v>4</v>
      </c>
      <c r="M14" s="124" t="n">
        <f aca="false">VLOOKUP($A14,Table,MATCH(M$4,Curves,0))</f>
        <v>4</v>
      </c>
      <c r="N14" s="125" t="n">
        <f aca="false">M14+$N$7</f>
        <v>4</v>
      </c>
      <c r="O14" s="175" t="n">
        <f aca="false">IF(B14&gt;0,(1000/B14*0.25)+((B14-1000)/B14*0.12),0)</f>
        <v>0.14780038906748</v>
      </c>
      <c r="P14" s="114"/>
      <c r="Q14" s="126" t="n">
        <f aca="false">M14+J14+G14</f>
        <v>11</v>
      </c>
      <c r="R14" s="126" t="n">
        <f aca="false">N14+K14+H14</f>
        <v>11</v>
      </c>
      <c r="S14" s="126" t="n">
        <f aca="false">O14+L14+I14</f>
        <v>7.14780038906748</v>
      </c>
      <c r="T14" s="127"/>
      <c r="U14" s="5" t="n">
        <f aca="false">A15-A14</f>
        <v>30</v>
      </c>
      <c r="V14" s="128" t="n">
        <f aca="false">CHOOSE(F$3,A15+24,A14)</f>
        <v>37408</v>
      </c>
      <c r="W14" s="5" t="n">
        <f aca="false">V14-C$3</f>
        <v>177</v>
      </c>
      <c r="X14" s="124" t="n">
        <f aca="false">VLOOKUP($A14,Table,MATCH(X$4,Curves,0))</f>
        <v>2</v>
      </c>
      <c r="Y14" s="129" t="n">
        <f aca="false">1/(1+CHOOSE(F$3,(X15+($K$3/10000))/2,(X14+($K$3/10000))/2))^(2*W14/365.25)</f>
        <v>0.510789516828982</v>
      </c>
      <c r="Z14" s="5" t="n">
        <f aca="false">IF(AND(mthbeg&lt;=A14,mthend&gt;=A14),1,0)</f>
        <v>1</v>
      </c>
      <c r="AA14" s="5" t="n">
        <f aca="false">U14*Z14</f>
        <v>30</v>
      </c>
      <c r="AC14" s="115" t="n">
        <f aca="false">IF(G7=2,F14*(S14-Q14),F14*(Q14-S14))</f>
        <v>276035.215750455</v>
      </c>
      <c r="AE14" s="116" t="n">
        <f aca="false">IF($G$3=1,F14*(R14-Q14),F14*(Q14-R14))</f>
        <v>0</v>
      </c>
      <c r="AG14" s="116" t="n">
        <f aca="false">AC14+AE14</f>
        <v>276035.215750455</v>
      </c>
    </row>
    <row r="15" customFormat="false" ht="12.75" hidden="false" customHeight="false" outlineLevel="0" collapsed="false">
      <c r="A15" s="120" t="n">
        <f aca="false">EDATE(A14,1)</f>
        <v>37438</v>
      </c>
      <c r="B15" s="174" t="n">
        <v>3607.43333333333</v>
      </c>
      <c r="C15" s="122"/>
      <c r="D15" s="123" t="n">
        <f aca="false">B15+C15</f>
        <v>3607.43333333333</v>
      </c>
      <c r="E15" s="111" t="n">
        <f aca="false">IF(Z15=0,0,IF(AND(Z15=1,$H$3=1),D15*U15,IF($H$3=2,D15,"N/A")))</f>
        <v>111830.433333333</v>
      </c>
      <c r="F15" s="111" t="n">
        <f aca="false">E15*Y15</f>
        <v>50974.3234739226</v>
      </c>
      <c r="G15" s="124" t="n">
        <f aca="false">VLOOKUP($A15,Table,MATCH(G$4,Curves,0))</f>
        <v>3</v>
      </c>
      <c r="H15" s="125" t="n">
        <f aca="false">G15+$H$7</f>
        <v>3</v>
      </c>
      <c r="I15" s="124" t="n">
        <f aca="false">H15</f>
        <v>3</v>
      </c>
      <c r="J15" s="124" t="n">
        <f aca="false">VLOOKUP($A15,Table,MATCH(J$4,Curves,0))</f>
        <v>4</v>
      </c>
      <c r="K15" s="125" t="n">
        <f aca="false">J15+$K$7</f>
        <v>4</v>
      </c>
      <c r="L15" s="126" t="n">
        <f aca="false">K15</f>
        <v>4</v>
      </c>
      <c r="M15" s="124" t="n">
        <f aca="false">VLOOKUP($A15,Table,MATCH(M$4,Curves,0))</f>
        <v>4</v>
      </c>
      <c r="N15" s="125" t="n">
        <f aca="false">M15+$N$7</f>
        <v>4</v>
      </c>
      <c r="O15" s="175" t="n">
        <f aca="false">IF(B15&gt;0,(1000/B15*0.25)+((B15-1000)/B15*0.12),0)</f>
        <v>0.156036701994955</v>
      </c>
      <c r="P15" s="114"/>
      <c r="Q15" s="126" t="n">
        <f aca="false">M15+J15+G15</f>
        <v>11</v>
      </c>
      <c r="R15" s="126" t="n">
        <f aca="false">N15+K15+H15</f>
        <v>11</v>
      </c>
      <c r="S15" s="126" t="n">
        <f aca="false">O15+L15+I15</f>
        <v>7.15603670199496</v>
      </c>
      <c r="T15" s="127"/>
      <c r="U15" s="5" t="n">
        <f aca="false">A16-A15</f>
        <v>31</v>
      </c>
      <c r="V15" s="128" t="n">
        <f aca="false">CHOOSE(F$3,A16+24,A15)</f>
        <v>37438</v>
      </c>
      <c r="W15" s="5" t="n">
        <f aca="false">V15-C$3</f>
        <v>207</v>
      </c>
      <c r="X15" s="124" t="n">
        <f aca="false">VLOOKUP($A15,Table,MATCH(X$4,Curves,0))</f>
        <v>2</v>
      </c>
      <c r="Y15" s="129" t="n">
        <f aca="false">1/(1+CHOOSE(F$3,(X16+($K$3/10000))/2,(X15+($K$3/10000))/2))^(2*W15/365.25)</f>
        <v>0.455817991172253</v>
      </c>
      <c r="Z15" s="5" t="n">
        <f aca="false">IF(AND(mthbeg&lt;=A15,mthend&gt;=A15),1,0)</f>
        <v>1</v>
      </c>
      <c r="AA15" s="5" t="n">
        <f aca="false">U15*Z15</f>
        <v>31</v>
      </c>
      <c r="AC15" s="115" t="n">
        <f aca="false">IF(G8=2,F15*(S15-Q15),F15*(Q15-S15))</f>
        <v>195943.428574395</v>
      </c>
      <c r="AE15" s="116" t="n">
        <f aca="false">IF($G$3=1,F15*(R15-Q15),F15*(Q15-R15))</f>
        <v>0</v>
      </c>
      <c r="AG15" s="116" t="n">
        <f aca="false">AC15+AE15</f>
        <v>195943.428574395</v>
      </c>
    </row>
    <row r="16" customFormat="false" ht="12.75" hidden="false" customHeight="false" outlineLevel="0" collapsed="false">
      <c r="A16" s="120" t="n">
        <f aca="false">EDATE(A15,1)</f>
        <v>37469</v>
      </c>
      <c r="B16" s="174" t="n">
        <v>4294.22580645161</v>
      </c>
      <c r="C16" s="122"/>
      <c r="D16" s="123" t="n">
        <f aca="false">B16+C16</f>
        <v>4294.22580645161</v>
      </c>
      <c r="E16" s="111" t="n">
        <f aca="false">IF(Z16=0,0,IF(AND(Z16=1,$H$3=1),D16*U16,IF($H$3=2,D16,"N/A")))</f>
        <v>133121</v>
      </c>
      <c r="F16" s="111" t="n">
        <f aca="false">E16*Y16</f>
        <v>53943.5061976908</v>
      </c>
      <c r="G16" s="124" t="n">
        <f aca="false">VLOOKUP($A16,Table,MATCH(G$4,Curves,0))</f>
        <v>3</v>
      </c>
      <c r="H16" s="125" t="n">
        <f aca="false">G16+$H$7</f>
        <v>3</v>
      </c>
      <c r="I16" s="124" t="n">
        <f aca="false">H16</f>
        <v>3</v>
      </c>
      <c r="J16" s="124" t="n">
        <f aca="false">VLOOKUP($A16,Table,MATCH(J$4,Curves,0))</f>
        <v>4</v>
      </c>
      <c r="K16" s="125" t="n">
        <f aca="false">J16+$K$7</f>
        <v>4</v>
      </c>
      <c r="L16" s="126" t="n">
        <f aca="false">K16</f>
        <v>4</v>
      </c>
      <c r="M16" s="124" t="n">
        <f aca="false">VLOOKUP($A16,Table,MATCH(M$4,Curves,0))</f>
        <v>4</v>
      </c>
      <c r="N16" s="125" t="n">
        <f aca="false">M16+$N$7</f>
        <v>4</v>
      </c>
      <c r="O16" s="175" t="n">
        <f aca="false">IF(B16&gt;0,(1000/B16*0.25)+((B16-1000)/B16*0.12),0)</f>
        <v>0.150273210087064</v>
      </c>
      <c r="P16" s="114"/>
      <c r="Q16" s="126" t="n">
        <f aca="false">M16+J16+G16</f>
        <v>11</v>
      </c>
      <c r="R16" s="126" t="n">
        <f aca="false">N16+K16+H16</f>
        <v>11</v>
      </c>
      <c r="S16" s="126" t="n">
        <f aca="false">O16+L16+I16</f>
        <v>7.15027321008706</v>
      </c>
      <c r="T16" s="127"/>
      <c r="U16" s="5" t="n">
        <f aca="false">A17-A16</f>
        <v>31</v>
      </c>
      <c r="V16" s="128" t="n">
        <f aca="false">CHOOSE(F$3,A17+24,A16)</f>
        <v>37469</v>
      </c>
      <c r="W16" s="5" t="n">
        <f aca="false">V16-C$3</f>
        <v>238</v>
      </c>
      <c r="X16" s="124" t="n">
        <f aca="false">VLOOKUP($A16,Table,MATCH(X$4,Curves,0))</f>
        <v>2</v>
      </c>
      <c r="Y16" s="129" t="n">
        <f aca="false">1/(1+CHOOSE(F$3,(X17+($K$3/10000))/2,(X16+($K$3/10000))/2))^(2*W16/365.25)</f>
        <v>0.405221611899631</v>
      </c>
      <c r="Z16" s="5" t="n">
        <f aca="false">IF(AND(mthbeg&lt;=A16,mthend&gt;=A16),1,0)</f>
        <v>1</v>
      </c>
      <c r="AA16" s="5" t="n">
        <f aca="false">U16*Z16</f>
        <v>31</v>
      </c>
      <c r="AC16" s="115" t="n">
        <f aca="false">IF(G9=2,F16*(S16-Q16),F16*(Q16-S16))</f>
        <v>207667.760951085</v>
      </c>
      <c r="AE16" s="116" t="n">
        <f aca="false">IF($G$3=1,F16*(R16-Q16),F16*(Q16-R16))</f>
        <v>0</v>
      </c>
      <c r="AG16" s="116" t="n">
        <f aca="false">AC16+AE16</f>
        <v>207667.760951085</v>
      </c>
    </row>
    <row r="17" customFormat="false" ht="12.75" hidden="false" customHeight="false" outlineLevel="0" collapsed="false">
      <c r="A17" s="120" t="n">
        <f aca="false">EDATE(A16,1)</f>
        <v>37500</v>
      </c>
      <c r="B17" s="174" t="n">
        <v>4582.41935483871</v>
      </c>
      <c r="C17" s="122"/>
      <c r="D17" s="123" t="n">
        <f aca="false">B17+C17</f>
        <v>4582.41935483871</v>
      </c>
      <c r="E17" s="111" t="n">
        <f aca="false">IF(Z17=0,0,IF(AND(Z17=1,$H$3=1),D17*U17,IF($H$3=2,D17,"N/A")))</f>
        <v>137472.580645161</v>
      </c>
      <c r="F17" s="111" t="n">
        <f aca="false">E17*Y17</f>
        <v>49523.3280222044</v>
      </c>
      <c r="G17" s="124" t="n">
        <f aca="false">VLOOKUP($A17,Table,MATCH(G$4,Curves,0))</f>
        <v>3</v>
      </c>
      <c r="H17" s="125" t="n">
        <f aca="false">G17+$H$7</f>
        <v>3</v>
      </c>
      <c r="I17" s="124" t="n">
        <f aca="false">H17</f>
        <v>3</v>
      </c>
      <c r="J17" s="124" t="n">
        <f aca="false">VLOOKUP($A17,Table,MATCH(J$4,Curves,0))</f>
        <v>4</v>
      </c>
      <c r="K17" s="125" t="n">
        <f aca="false">J17+$K$7</f>
        <v>4</v>
      </c>
      <c r="L17" s="126" t="n">
        <f aca="false">K17</f>
        <v>4</v>
      </c>
      <c r="M17" s="124" t="n">
        <f aca="false">VLOOKUP($A17,Table,MATCH(M$4,Curves,0))</f>
        <v>4</v>
      </c>
      <c r="N17" s="125" t="n">
        <f aca="false">M17+$N$7</f>
        <v>4</v>
      </c>
      <c r="O17" s="175" t="n">
        <f aca="false">IF(B17&gt;0,(1000/B17*0.25)+((B17-1000)/B17*0.12),0)</f>
        <v>0.148369293583471</v>
      </c>
      <c r="P17" s="114"/>
      <c r="Q17" s="126" t="n">
        <f aca="false">M17+J17+G17</f>
        <v>11</v>
      </c>
      <c r="R17" s="126" t="n">
        <f aca="false">N17+K17+H17</f>
        <v>11</v>
      </c>
      <c r="S17" s="126" t="n">
        <f aca="false">O17+L17+I17</f>
        <v>7.14836929358347</v>
      </c>
      <c r="T17" s="127"/>
      <c r="U17" s="5" t="n">
        <f aca="false">A18-A17</f>
        <v>30</v>
      </c>
      <c r="V17" s="128" t="n">
        <f aca="false">CHOOSE(F$3,A18+24,A17)</f>
        <v>37500</v>
      </c>
      <c r="W17" s="5" t="n">
        <f aca="false">V17-C$3</f>
        <v>269</v>
      </c>
      <c r="X17" s="124" t="n">
        <f aca="false">VLOOKUP($A17,Table,MATCH(X$4,Curves,0))</f>
        <v>2</v>
      </c>
      <c r="Y17" s="129" t="n">
        <f aca="false">1/(1+CHOOSE(F$3,(X18+($K$3/10000))/2,(X17+($K$3/10000))/2))^(2*W17/365.25)</f>
        <v>0.360241495357042</v>
      </c>
      <c r="Z17" s="5" t="n">
        <f aca="false">IF(AND(mthbeg&lt;=A17,mthend&gt;=A17),1,0)</f>
        <v>1</v>
      </c>
      <c r="AA17" s="5" t="n">
        <f aca="false">U17*Z17</f>
        <v>30</v>
      </c>
      <c r="AC17" s="115" t="n">
        <f aca="false">IF(G10=2,F17*(S17-Q17),F17*(Q17-S17))</f>
        <v>190745.570894261</v>
      </c>
      <c r="AE17" s="116" t="n">
        <f aca="false">IF($G$3=1,F17*(R17-Q17),F17*(Q17-R17))</f>
        <v>0</v>
      </c>
      <c r="AG17" s="116" t="n">
        <f aca="false">AC17+AE17</f>
        <v>190745.570894261</v>
      </c>
    </row>
    <row r="18" customFormat="false" ht="12.75" hidden="false" customHeight="false" outlineLevel="0" collapsed="false">
      <c r="A18" s="120" t="n">
        <f aca="false">EDATE(A17,1)</f>
        <v>37530</v>
      </c>
      <c r="B18" s="174" t="n">
        <v>4743.36666666667</v>
      </c>
      <c r="C18" s="122"/>
      <c r="D18" s="123" t="n">
        <f aca="false">B18+C18</f>
        <v>4743.36666666667</v>
      </c>
      <c r="E18" s="111" t="n">
        <f aca="false">IF(Z18=0,0,IF(AND(Z18=1,$H$3=1),D18*U18,IF($H$3=2,D18,"N/A")))</f>
        <v>147044.366666667</v>
      </c>
      <c r="F18" s="111" t="n">
        <f aca="false">E18*Y18</f>
        <v>47270.6544703003</v>
      </c>
      <c r="G18" s="124" t="n">
        <f aca="false">VLOOKUP($A18,Table,MATCH(G$4,Curves,0))</f>
        <v>3</v>
      </c>
      <c r="H18" s="125" t="n">
        <f aca="false">G18+$H$7</f>
        <v>3</v>
      </c>
      <c r="I18" s="124" t="n">
        <f aca="false">H18</f>
        <v>3</v>
      </c>
      <c r="J18" s="124" t="n">
        <f aca="false">VLOOKUP($A18,Table,MATCH(J$4,Curves,0))</f>
        <v>4</v>
      </c>
      <c r="K18" s="125" t="n">
        <f aca="false">J18+$K$7</f>
        <v>4</v>
      </c>
      <c r="L18" s="126" t="n">
        <f aca="false">K18</f>
        <v>4</v>
      </c>
      <c r="M18" s="124" t="n">
        <f aca="false">VLOOKUP($A18,Table,MATCH(M$4,Curves,0))</f>
        <v>4</v>
      </c>
      <c r="N18" s="125" t="n">
        <f aca="false">M18+$N$7</f>
        <v>4</v>
      </c>
      <c r="O18" s="175" t="n">
        <f aca="false">IF(B18&gt;0,(1000/B18*0.25)+((B18-1000)/B18*0.12),0)</f>
        <v>0.147406694260757</v>
      </c>
      <c r="P18" s="114"/>
      <c r="Q18" s="126" t="n">
        <f aca="false">M18+J18+G18</f>
        <v>11</v>
      </c>
      <c r="R18" s="126" t="n">
        <f aca="false">N18+K18+H18</f>
        <v>11</v>
      </c>
      <c r="S18" s="126" t="n">
        <f aca="false">O18+L18+I18</f>
        <v>7.14740669426076</v>
      </c>
      <c r="T18" s="127"/>
      <c r="U18" s="5" t="n">
        <f aca="false">A19-A18</f>
        <v>31</v>
      </c>
      <c r="V18" s="128" t="n">
        <f aca="false">CHOOSE(F$3,A19+24,A18)</f>
        <v>37530</v>
      </c>
      <c r="W18" s="5" t="n">
        <f aca="false">V18-C$3</f>
        <v>299</v>
      </c>
      <c r="X18" s="124" t="n">
        <f aca="false">VLOOKUP($A18,Table,MATCH(X$4,Curves,0))</f>
        <v>2</v>
      </c>
      <c r="Y18" s="129" t="n">
        <f aca="false">1/(1+CHOOSE(F$3,(X19+($K$3/10000))/2,(X18+($K$3/10000))/2))^(2*W18/365.25)</f>
        <v>0.321472053244023</v>
      </c>
      <c r="Z18" s="5" t="n">
        <f aca="false">IF(AND(mthbeg&lt;=A18,mthend&gt;=A18),1,0)</f>
        <v>1</v>
      </c>
      <c r="AA18" s="5" t="n">
        <f aca="false">U18*Z18</f>
        <v>31</v>
      </c>
      <c r="AC18" s="115" t="n">
        <f aca="false">IF(G11=2,F18*(S18-Q18),F18*(Q18-S18))</f>
        <v>182114.606970192</v>
      </c>
      <c r="AE18" s="116" t="n">
        <f aca="false">IF($G$3=1,F18*(R18-Q18),F18*(Q18-R18))</f>
        <v>0</v>
      </c>
      <c r="AG18" s="116" t="n">
        <f aca="false">AC18+AE18</f>
        <v>182114.606970192</v>
      </c>
    </row>
    <row r="19" customFormat="false" ht="12.75" hidden="false" customHeight="false" outlineLevel="0" collapsed="false">
      <c r="A19" s="120" t="n">
        <f aca="false">EDATE(A18,1)</f>
        <v>37561</v>
      </c>
      <c r="B19" s="176" t="n">
        <v>6118.96774193548</v>
      </c>
      <c r="C19" s="122"/>
      <c r="D19" s="123" t="n">
        <f aca="false">B19+C19</f>
        <v>6118.96774193548</v>
      </c>
      <c r="E19" s="111" t="n">
        <f aca="false">IF(Z19=0,0,IF(AND(Z19=1,$H$3=1),D19*U19,IF($H$3=2,D19,"N/A")))</f>
        <v>0</v>
      </c>
      <c r="F19" s="111" t="n">
        <f aca="false">E19*Y19</f>
        <v>0</v>
      </c>
      <c r="G19" s="124" t="n">
        <f aca="false">VLOOKUP($A19,Table,MATCH(G$4,Curves,0))</f>
        <v>3</v>
      </c>
      <c r="H19" s="125" t="n">
        <f aca="false">G19+$H$7</f>
        <v>3</v>
      </c>
      <c r="I19" s="124" t="n">
        <f aca="false">H19</f>
        <v>3</v>
      </c>
      <c r="J19" s="124" t="n">
        <f aca="false">VLOOKUP($A19,Table,MATCH(J$4,Curves,0))</f>
        <v>4</v>
      </c>
      <c r="K19" s="125" t="n">
        <f aca="false">J19+$K$7</f>
        <v>4</v>
      </c>
      <c r="L19" s="126" t="n">
        <f aca="false">K19</f>
        <v>4</v>
      </c>
      <c r="M19" s="124" t="n">
        <f aca="false">VLOOKUP($A19,Table,MATCH(M$4,Curves,0))</f>
        <v>4</v>
      </c>
      <c r="N19" s="125" t="n">
        <f aca="false">M19+$N$7</f>
        <v>4</v>
      </c>
      <c r="O19" s="177" t="n">
        <f aca="false">IF(B19&gt;0,(1000/B19*0.25)+((B19-1000)/B19*0.12),0)</f>
        <v>0.141245413521151</v>
      </c>
      <c r="P19" s="114"/>
      <c r="Q19" s="126" t="n">
        <f aca="false">M19+J19+G19</f>
        <v>11</v>
      </c>
      <c r="R19" s="126" t="n">
        <f aca="false">N19+K19+H19</f>
        <v>11</v>
      </c>
      <c r="S19" s="126" t="n">
        <f aca="false">O19+L19+I19</f>
        <v>7.14124541352115</v>
      </c>
      <c r="T19" s="127"/>
      <c r="U19" s="5" t="n">
        <f aca="false">A20-A19</f>
        <v>30</v>
      </c>
      <c r="V19" s="128" t="n">
        <f aca="false">CHOOSE(F$3,A20+24,A19)</f>
        <v>37561</v>
      </c>
      <c r="W19" s="5" t="n">
        <f aca="false">V19-C$3</f>
        <v>330</v>
      </c>
      <c r="X19" s="124" t="n">
        <f aca="false">VLOOKUP($A19,Table,MATCH(X$4,Curves,0))</f>
        <v>2</v>
      </c>
      <c r="Y19" s="129" t="n">
        <f aca="false">1/(1+CHOOSE(F$3,(X20+($K$3/10000))/2,(X19+($K$3/10000))/2))^(2*W19/365.25)</f>
        <v>0.285788244692165</v>
      </c>
      <c r="Z19" s="5" t="n">
        <f aca="false">IF(AND(mthbeg&lt;=A19,mthend&gt;=A19),1,0)</f>
        <v>0</v>
      </c>
      <c r="AA19" s="5" t="n">
        <f aca="false">U19*Z19</f>
        <v>0</v>
      </c>
      <c r="AC19" s="115" t="n">
        <f aca="false">IF(G12=2,F19*(S19-Q19),F19*(Q19-S19))</f>
        <v>0</v>
      </c>
      <c r="AE19" s="116" t="n">
        <f aca="false">IF($G$3=1,F19*(R19-Q19),F19*(Q19-R19))</f>
        <v>0</v>
      </c>
      <c r="AG19" s="116" t="n">
        <f aca="false">AC19+AE19</f>
        <v>0</v>
      </c>
    </row>
    <row r="20" customFormat="false" ht="12.75" hidden="false" customHeight="false" outlineLevel="0" collapsed="false">
      <c r="A20" s="120" t="n">
        <f aca="false">EDATE(A19,1)</f>
        <v>37591</v>
      </c>
      <c r="B20" s="121" t="n">
        <v>0</v>
      </c>
      <c r="C20" s="122"/>
      <c r="D20" s="123" t="n">
        <f aca="false">B20+C20</f>
        <v>0</v>
      </c>
      <c r="E20" s="111" t="n">
        <f aca="false">IF(Z20=0,0,IF(AND(Z20=1,$H$3=1),D20*U20,IF($H$3=2,D20,"N/A")))</f>
        <v>0</v>
      </c>
      <c r="F20" s="111" t="n">
        <f aca="false">E20*Y20</f>
        <v>0</v>
      </c>
      <c r="G20" s="124" t="n">
        <f aca="false">VLOOKUP($A20,Table,MATCH(G$4,Curves,0))</f>
        <v>3</v>
      </c>
      <c r="H20" s="125" t="n">
        <f aca="false">G20+$H$7</f>
        <v>3</v>
      </c>
      <c r="I20" s="124" t="n">
        <f aca="false">H20</f>
        <v>3</v>
      </c>
      <c r="J20" s="124" t="n">
        <f aca="false">VLOOKUP($A20,Table,MATCH(J$4,Curves,0))</f>
        <v>4</v>
      </c>
      <c r="K20" s="125" t="n">
        <f aca="false">J20+$K$7</f>
        <v>4</v>
      </c>
      <c r="L20" s="126" t="n">
        <f aca="false">K20</f>
        <v>4</v>
      </c>
      <c r="M20" s="124" t="n">
        <f aca="false">VLOOKUP($A20,Table,MATCH(M$4,Curves,0))</f>
        <v>4</v>
      </c>
      <c r="N20" s="125" t="n">
        <f aca="false">M20+$N$7</f>
        <v>4</v>
      </c>
      <c r="O20" s="126" t="n">
        <f aca="false">IF(B20&gt;0,(1000/B20*0.25)+((B20-1000)/B20*0.12),0)</f>
        <v>0</v>
      </c>
      <c r="P20" s="114"/>
      <c r="Q20" s="126" t="n">
        <f aca="false">M20+J20+G20</f>
        <v>11</v>
      </c>
      <c r="R20" s="126" t="n">
        <f aca="false">N20+K20+H20</f>
        <v>11</v>
      </c>
      <c r="S20" s="126" t="n">
        <f aca="false">O20+L20+I20</f>
        <v>7</v>
      </c>
      <c r="T20" s="127"/>
      <c r="U20" s="5" t="n">
        <f aca="false">A21-A20</f>
        <v>31</v>
      </c>
      <c r="V20" s="128" t="n">
        <f aca="false">CHOOSE(F$3,A21+24,A20)</f>
        <v>37591</v>
      </c>
      <c r="W20" s="5" t="n">
        <f aca="false">V20-C$3</f>
        <v>360</v>
      </c>
      <c r="X20" s="124" t="n">
        <f aca="false">VLOOKUP($A20,Table,MATCH(X$4,Curves,0))</f>
        <v>2</v>
      </c>
      <c r="Y20" s="129" t="n">
        <f aca="false">1/(1+CHOOSE(F$3,(X21+($K$3/10000))/2,(X20+($K$3/10000))/2))^(2*W20/365.25)</f>
        <v>0.255031513577132</v>
      </c>
      <c r="Z20" s="5" t="n">
        <f aca="false">IF(AND(mthbeg&lt;=A20,mthend&gt;=A20),1,0)</f>
        <v>0</v>
      </c>
      <c r="AA20" s="5" t="n">
        <f aca="false">U20*Z20</f>
        <v>0</v>
      </c>
      <c r="AC20" s="115" t="n">
        <f aca="false">IF(G13=2,F20*(S20-Q20),F20*(Q20-S20))</f>
        <v>0</v>
      </c>
      <c r="AE20" s="116" t="n">
        <f aca="false">IF($G$3=1,F20*(R20-Q20),F20*(Q20-R20))</f>
        <v>0</v>
      </c>
      <c r="AG20" s="116" t="n">
        <f aca="false">AC20+AE20</f>
        <v>0</v>
      </c>
    </row>
    <row r="21" customFormat="false" ht="12.75" hidden="false" customHeight="false" outlineLevel="0" collapsed="false">
      <c r="A21" s="120" t="n">
        <f aca="false">EDATE(A20,1)</f>
        <v>37622</v>
      </c>
      <c r="B21" s="121" t="n">
        <v>0</v>
      </c>
      <c r="C21" s="122"/>
      <c r="D21" s="123" t="n">
        <f aca="false">B21+C21</f>
        <v>0</v>
      </c>
      <c r="E21" s="111" t="n">
        <f aca="false">IF(Z21=0,0,IF(AND(Z21=1,$H$3=1),D21*U21,IF($H$3=2,D21,"N/A")))</f>
        <v>0</v>
      </c>
      <c r="F21" s="111" t="n">
        <f aca="false">E21*Y21</f>
        <v>0</v>
      </c>
      <c r="G21" s="124" t="n">
        <f aca="false">VLOOKUP($A21,Table,MATCH(G$4,Curves,0))</f>
        <v>3</v>
      </c>
      <c r="H21" s="125" t="n">
        <f aca="false">G21+$H$7</f>
        <v>3</v>
      </c>
      <c r="I21" s="124" t="n">
        <f aca="false">H21</f>
        <v>3</v>
      </c>
      <c r="J21" s="124" t="n">
        <f aca="false">VLOOKUP($A21,Table,MATCH(J$4,Curves,0))</f>
        <v>4</v>
      </c>
      <c r="K21" s="125" t="n">
        <f aca="false">J21+$K$7</f>
        <v>4</v>
      </c>
      <c r="L21" s="126" t="n">
        <f aca="false">K21</f>
        <v>4</v>
      </c>
      <c r="M21" s="124" t="n">
        <f aca="false">VLOOKUP($A21,Table,MATCH(M$4,Curves,0))</f>
        <v>4</v>
      </c>
      <c r="N21" s="125" t="n">
        <f aca="false">M21+$N$7</f>
        <v>4</v>
      </c>
      <c r="O21" s="126" t="n">
        <f aca="false">IF(B21&gt;0,(1000/B21*0.25)+((B21-1000)/B21*0.12),0)</f>
        <v>0</v>
      </c>
      <c r="P21" s="114"/>
      <c r="Q21" s="126" t="n">
        <f aca="false">M21+J21+G21</f>
        <v>11</v>
      </c>
      <c r="R21" s="126" t="n">
        <f aca="false">N21+K21+H21</f>
        <v>11</v>
      </c>
      <c r="S21" s="126" t="n">
        <f aca="false">O21+L21+I21</f>
        <v>7</v>
      </c>
      <c r="T21" s="127"/>
      <c r="U21" s="5" t="n">
        <f aca="false">A22-A21</f>
        <v>31</v>
      </c>
      <c r="V21" s="128" t="n">
        <f aca="false">CHOOSE(F$3,A22+24,A21)</f>
        <v>37622</v>
      </c>
      <c r="W21" s="5" t="n">
        <f aca="false">V21-C$3</f>
        <v>391</v>
      </c>
      <c r="X21" s="124" t="n">
        <f aca="false">VLOOKUP($A21,Table,MATCH(X$4,Curves,0))</f>
        <v>2</v>
      </c>
      <c r="Y21" s="129" t="n">
        <f aca="false">1/(1+CHOOSE(F$3,(X22+($K$3/10000))/2,(X21+($K$3/10000))/2))^(2*W21/365.25)</f>
        <v>0.226722689798074</v>
      </c>
      <c r="Z21" s="5" t="n">
        <f aca="false">IF(AND(mthbeg&lt;=A21,mthend&gt;=A21),1,0)</f>
        <v>0</v>
      </c>
      <c r="AA21" s="5" t="n">
        <f aca="false">U21*Z21</f>
        <v>0</v>
      </c>
      <c r="AC21" s="115" t="n">
        <f aca="false">IF(G14=2,F21*(S21-Q21),F21*(Q21-S21))</f>
        <v>0</v>
      </c>
      <c r="AE21" s="116" t="n">
        <f aca="false">IF($G$3=1,F21*(R21-Q21),F21*(Q21-R21))</f>
        <v>0</v>
      </c>
      <c r="AG21" s="116" t="n">
        <f aca="false">AC21+AE21</f>
        <v>0</v>
      </c>
    </row>
    <row r="22" customFormat="false" ht="12.75" hidden="false" customHeight="false" outlineLevel="0" collapsed="false">
      <c r="A22" s="120" t="n">
        <f aca="false">EDATE(A21,1)</f>
        <v>37653</v>
      </c>
      <c r="B22" s="121" t="n">
        <v>0</v>
      </c>
      <c r="C22" s="122"/>
      <c r="D22" s="123" t="n">
        <f aca="false">B22+C22</f>
        <v>0</v>
      </c>
      <c r="E22" s="111" t="n">
        <f aca="false">IF(Z22=0,0,IF(AND(Z22=1,$H$3=1),D22*U22,IF($H$3=2,D22,"N/A")))</f>
        <v>0</v>
      </c>
      <c r="F22" s="111" t="n">
        <f aca="false">E22*Y22</f>
        <v>0</v>
      </c>
      <c r="G22" s="124" t="n">
        <f aca="false">VLOOKUP($A22,Table,MATCH(G$4,Curves,0))</f>
        <v>3</v>
      </c>
      <c r="H22" s="125" t="n">
        <f aca="false">G22+$H$7</f>
        <v>3</v>
      </c>
      <c r="I22" s="124" t="n">
        <f aca="false">H22</f>
        <v>3</v>
      </c>
      <c r="J22" s="124" t="n">
        <f aca="false">VLOOKUP($A22,Table,MATCH(J$4,Curves,0))</f>
        <v>4</v>
      </c>
      <c r="K22" s="125" t="n">
        <f aca="false">J22+$K$7</f>
        <v>4</v>
      </c>
      <c r="L22" s="126" t="n">
        <f aca="false">K22</f>
        <v>4</v>
      </c>
      <c r="M22" s="124" t="n">
        <f aca="false">VLOOKUP($A22,Table,MATCH(M$4,Curves,0))</f>
        <v>4</v>
      </c>
      <c r="N22" s="125" t="n">
        <f aca="false">M22+$N$7</f>
        <v>4</v>
      </c>
      <c r="O22" s="126" t="n">
        <f aca="false">IF(B22&gt;0,(1000/B22*0.25)+((B22-1000)/B22*0.12),0)</f>
        <v>0</v>
      </c>
      <c r="P22" s="114"/>
      <c r="Q22" s="126" t="n">
        <f aca="false">M22+J22+G22</f>
        <v>11</v>
      </c>
      <c r="R22" s="126" t="n">
        <f aca="false">N22+K22+H22</f>
        <v>11</v>
      </c>
      <c r="S22" s="126" t="n">
        <f aca="false">O22+L22+I22</f>
        <v>7</v>
      </c>
      <c r="T22" s="127"/>
      <c r="U22" s="5" t="n">
        <f aca="false">A23-A22</f>
        <v>28</v>
      </c>
      <c r="V22" s="128" t="n">
        <f aca="false">CHOOSE(F$3,A23+24,A22)</f>
        <v>37653</v>
      </c>
      <c r="W22" s="5" t="n">
        <f aca="false">V22-C$3</f>
        <v>422</v>
      </c>
      <c r="X22" s="124" t="n">
        <f aca="false">VLOOKUP($A22,Table,MATCH(X$4,Curves,0))</f>
        <v>2</v>
      </c>
      <c r="Y22" s="129" t="n">
        <f aca="false">1/(1+CHOOSE(F$3,(X23+($K$3/10000))/2,(X22+($K$3/10000))/2))^(2*W22/365.25)</f>
        <v>0.2015561816196</v>
      </c>
      <c r="Z22" s="5" t="n">
        <f aca="false">IF(AND(mthbeg&lt;=A22,mthend&gt;=A22),1,0)</f>
        <v>0</v>
      </c>
      <c r="AA22" s="5" t="n">
        <f aca="false">U22*Z22</f>
        <v>0</v>
      </c>
      <c r="AC22" s="115" t="n">
        <f aca="false">IF(G15=2,F22*(S22-Q22),F22*(Q22-S22))</f>
        <v>0</v>
      </c>
      <c r="AE22" s="116" t="n">
        <f aca="false">IF($G$3=1,F22*(R22-Q22),F22*(Q22-R22))</f>
        <v>0</v>
      </c>
      <c r="AG22" s="116" t="n">
        <f aca="false">AC22+AE22</f>
        <v>0</v>
      </c>
    </row>
    <row r="23" customFormat="false" ht="12.75" hidden="false" customHeight="false" outlineLevel="0" collapsed="false">
      <c r="A23" s="120" t="n">
        <f aca="false">EDATE(A22,1)</f>
        <v>37681</v>
      </c>
      <c r="B23" s="121" t="n">
        <v>0</v>
      </c>
      <c r="C23" s="122"/>
      <c r="D23" s="123" t="n">
        <f aca="false">B23+C23</f>
        <v>0</v>
      </c>
      <c r="E23" s="111" t="n">
        <f aca="false">IF(Z23=0,0,IF(AND(Z23=1,$H$3=1),D23*U23,IF($H$3=2,D23,"N/A")))</f>
        <v>0</v>
      </c>
      <c r="F23" s="111" t="n">
        <f aca="false">E23*Y23</f>
        <v>0</v>
      </c>
      <c r="G23" s="124" t="n">
        <f aca="false">VLOOKUP($A23,Table,MATCH(G$4,Curves,0))</f>
        <v>3</v>
      </c>
      <c r="H23" s="125" t="n">
        <f aca="false">G23+$H$7</f>
        <v>3</v>
      </c>
      <c r="I23" s="124" t="n">
        <f aca="false">H23</f>
        <v>3</v>
      </c>
      <c r="J23" s="124" t="n">
        <f aca="false">VLOOKUP($A23,Table,MATCH(J$4,Curves,0))</f>
        <v>4</v>
      </c>
      <c r="K23" s="125" t="n">
        <f aca="false">J23+$K$7</f>
        <v>4</v>
      </c>
      <c r="L23" s="126" t="n">
        <f aca="false">K23</f>
        <v>4</v>
      </c>
      <c r="M23" s="124" t="n">
        <f aca="false">VLOOKUP($A23,Table,MATCH(M$4,Curves,0))</f>
        <v>4</v>
      </c>
      <c r="N23" s="125" t="n">
        <f aca="false">M23+$N$7</f>
        <v>4</v>
      </c>
      <c r="O23" s="126" t="n">
        <f aca="false">IF(B23&gt;0,(1000/B23*0.25)+((B23-1000)/B23*0.12),0)</f>
        <v>0</v>
      </c>
      <c r="P23" s="114"/>
      <c r="Q23" s="126" t="n">
        <f aca="false">M23+J23+G23</f>
        <v>11</v>
      </c>
      <c r="R23" s="126" t="n">
        <f aca="false">N23+K23+H23</f>
        <v>11</v>
      </c>
      <c r="S23" s="126" t="n">
        <f aca="false">O23+L23+I23</f>
        <v>7</v>
      </c>
      <c r="T23" s="127"/>
      <c r="U23" s="5" t="n">
        <f aca="false">A24-A23</f>
        <v>31</v>
      </c>
      <c r="V23" s="128" t="n">
        <f aca="false">CHOOSE(F$3,A24+24,A23)</f>
        <v>37681</v>
      </c>
      <c r="W23" s="5" t="n">
        <f aca="false">V23-C$3</f>
        <v>450</v>
      </c>
      <c r="X23" s="124" t="n">
        <f aca="false">VLOOKUP($A23,Table,MATCH(X$4,Curves,0))</f>
        <v>2</v>
      </c>
      <c r="Y23" s="129" t="n">
        <f aca="false">1/(1+CHOOSE(F$3,(X24+($K$3/10000))/2,(X23+($K$3/10000))/2))^(2*W23/365.25)</f>
        <v>0.181235099459571</v>
      </c>
      <c r="Z23" s="5" t="n">
        <f aca="false">IF(AND(mthbeg&lt;=A23,mthend&gt;=A23),1,0)</f>
        <v>0</v>
      </c>
      <c r="AA23" s="5" t="n">
        <f aca="false">U23*Z23</f>
        <v>0</v>
      </c>
      <c r="AC23" s="115" t="n">
        <f aca="false">IF(G16=2,F23*(S23-Q23),F23*(Q23-S23))</f>
        <v>0</v>
      </c>
      <c r="AE23" s="116" t="n">
        <f aca="false">IF($G$3=1,F23*(R23-Q23),F23*(Q23-R23))</f>
        <v>0</v>
      </c>
      <c r="AG23" s="116" t="n">
        <f aca="false">AC23+AE23</f>
        <v>0</v>
      </c>
    </row>
    <row r="24" customFormat="false" ht="12.75" hidden="false" customHeight="false" outlineLevel="0" collapsed="false">
      <c r="A24" s="120" t="n">
        <f aca="false">EDATE(A23,1)</f>
        <v>37712</v>
      </c>
      <c r="B24" s="121" t="n">
        <v>0</v>
      </c>
      <c r="C24" s="122"/>
      <c r="D24" s="123" t="n">
        <f aca="false">B24+C24</f>
        <v>0</v>
      </c>
      <c r="E24" s="111" t="n">
        <f aca="false">IF(Z24=0,0,IF(AND(Z24=1,$H$3=1),D24*U24,IF($H$3=2,D24,"N/A")))</f>
        <v>0</v>
      </c>
      <c r="F24" s="111" t="n">
        <f aca="false">E24*Y24</f>
        <v>0</v>
      </c>
      <c r="G24" s="124" t="n">
        <f aca="false">VLOOKUP($A24,Table,MATCH(G$4,Curves,0))</f>
        <v>3</v>
      </c>
      <c r="H24" s="125" t="n">
        <f aca="false">G24+$H$7</f>
        <v>3</v>
      </c>
      <c r="I24" s="124" t="n">
        <f aca="false">H24</f>
        <v>3</v>
      </c>
      <c r="J24" s="124" t="n">
        <f aca="false">VLOOKUP($A24,Table,MATCH(J$4,Curves,0))</f>
        <v>4</v>
      </c>
      <c r="K24" s="125" t="n">
        <f aca="false">J24+$K$7</f>
        <v>4</v>
      </c>
      <c r="L24" s="126" t="n">
        <f aca="false">K24</f>
        <v>4</v>
      </c>
      <c r="M24" s="124" t="n">
        <f aca="false">VLOOKUP($A24,Table,MATCH(M$4,Curves,0))</f>
        <v>4</v>
      </c>
      <c r="N24" s="125" t="n">
        <f aca="false">M24+$N$7</f>
        <v>4</v>
      </c>
      <c r="O24" s="126" t="n">
        <f aca="false">IF(B24&gt;0,(1000/B24*0.25)+((B24-1000)/B24*0.12),0)</f>
        <v>0</v>
      </c>
      <c r="P24" s="114"/>
      <c r="Q24" s="126" t="n">
        <f aca="false">M24+J24+G24</f>
        <v>11</v>
      </c>
      <c r="R24" s="126" t="n">
        <f aca="false">N24+K24+H24</f>
        <v>11</v>
      </c>
      <c r="S24" s="126" t="n">
        <f aca="false">O24+L24+I24</f>
        <v>7</v>
      </c>
      <c r="T24" s="127"/>
      <c r="U24" s="5" t="n">
        <f aca="false">A25-A24</f>
        <v>30</v>
      </c>
      <c r="V24" s="128" t="n">
        <f aca="false">CHOOSE(F$3,A25+24,A24)</f>
        <v>37712</v>
      </c>
      <c r="W24" s="5" t="n">
        <f aca="false">V24-C$3</f>
        <v>481</v>
      </c>
      <c r="X24" s="124" t="n">
        <f aca="false">VLOOKUP($A24,Table,MATCH(X$4,Curves,0))</f>
        <v>2</v>
      </c>
      <c r="Y24" s="129" t="n">
        <f aca="false">1/(1+CHOOSE(F$3,(X25+($K$3/10000))/2,(X24+($K$3/10000))/2))^(2*W24/365.25)</f>
        <v>0.16111777191358</v>
      </c>
      <c r="Z24" s="5" t="n">
        <f aca="false">IF(AND(mthbeg&lt;=A24,mthend&gt;=A24),1,0)</f>
        <v>0</v>
      </c>
      <c r="AA24" s="5" t="n">
        <f aca="false">U24*Z24</f>
        <v>0</v>
      </c>
      <c r="AC24" s="115" t="n">
        <f aca="false">IF(G17=2,F24*(S24-Q24),F24*(Q24-S24))</f>
        <v>0</v>
      </c>
      <c r="AE24" s="116" t="n">
        <f aca="false">IF($G$3=1,F24*(R24-Q24),F24*(Q24-R24))</f>
        <v>0</v>
      </c>
      <c r="AG24" s="116" t="n">
        <f aca="false">AC24+AE24</f>
        <v>0</v>
      </c>
    </row>
    <row r="25" customFormat="false" ht="12.75" hidden="false" customHeight="false" outlineLevel="0" collapsed="false">
      <c r="A25" s="120" t="n">
        <f aca="false">EDATE(A24,1)</f>
        <v>37742</v>
      </c>
      <c r="B25" s="121" t="n">
        <v>0</v>
      </c>
      <c r="C25" s="122"/>
      <c r="D25" s="123" t="n">
        <f aca="false">B25+C25</f>
        <v>0</v>
      </c>
      <c r="E25" s="111" t="n">
        <f aca="false">IF(Z25=0,0,IF(AND(Z25=1,$H$3=1),D25*U25,IF($H$3=2,D25,"N/A")))</f>
        <v>0</v>
      </c>
      <c r="F25" s="111" t="n">
        <f aca="false">E25*Y25</f>
        <v>0</v>
      </c>
      <c r="G25" s="124" t="n">
        <f aca="false">VLOOKUP($A25,Table,MATCH(G$4,Curves,0))</f>
        <v>3</v>
      </c>
      <c r="H25" s="125" t="n">
        <f aca="false">G25+$H$7</f>
        <v>3</v>
      </c>
      <c r="I25" s="124" t="n">
        <f aca="false">H25</f>
        <v>3</v>
      </c>
      <c r="J25" s="124" t="n">
        <f aca="false">VLOOKUP($A25,Table,MATCH(J$4,Curves,0))</f>
        <v>4</v>
      </c>
      <c r="K25" s="125" t="n">
        <f aca="false">J25+$K$7</f>
        <v>4</v>
      </c>
      <c r="L25" s="126" t="n">
        <f aca="false">K25</f>
        <v>4</v>
      </c>
      <c r="M25" s="124" t="n">
        <f aca="false">VLOOKUP($A25,Table,MATCH(M$4,Curves,0))</f>
        <v>4</v>
      </c>
      <c r="N25" s="125" t="n">
        <f aca="false">M25+$N$7</f>
        <v>4</v>
      </c>
      <c r="O25" s="126" t="n">
        <f aca="false">IF(B25&gt;0,(1000/B25*0.25)+((B25-1000)/B25*0.12),0)</f>
        <v>0</v>
      </c>
      <c r="P25" s="114"/>
      <c r="Q25" s="126" t="n">
        <f aca="false">M25+J25+G25</f>
        <v>11</v>
      </c>
      <c r="R25" s="126" t="n">
        <f aca="false">N25+K25+H25</f>
        <v>11</v>
      </c>
      <c r="S25" s="126" t="n">
        <f aca="false">O25+L25+I25</f>
        <v>7</v>
      </c>
      <c r="T25" s="127"/>
      <c r="U25" s="5" t="n">
        <f aca="false">A26-A25</f>
        <v>31</v>
      </c>
      <c r="V25" s="128" t="n">
        <f aca="false">CHOOSE(F$3,A26+24,A25)</f>
        <v>37742</v>
      </c>
      <c r="W25" s="5" t="n">
        <f aca="false">V25-C$3</f>
        <v>511</v>
      </c>
      <c r="X25" s="124" t="n">
        <f aca="false">VLOOKUP($A25,Table,MATCH(X$4,Curves,0))</f>
        <v>2</v>
      </c>
      <c r="Y25" s="129" t="n">
        <f aca="false">1/(1+CHOOSE(F$3,(X26+($K$3/10000))/2,(X25+($K$3/10000))/2))^(2*W25/365.25)</f>
        <v>0.143778164422247</v>
      </c>
      <c r="Z25" s="5" t="n">
        <f aca="false">IF(AND(mthbeg&lt;=A25,mthend&gt;=A25),1,0)</f>
        <v>0</v>
      </c>
      <c r="AA25" s="5" t="n">
        <f aca="false">U25*Z25</f>
        <v>0</v>
      </c>
      <c r="AC25" s="115" t="n">
        <f aca="false">IF(G18=2,F25*(S25-Q25),F25*(Q25-S25))</f>
        <v>0</v>
      </c>
      <c r="AE25" s="116" t="n">
        <f aca="false">IF($G$3=1,F25*(R25-Q25),F25*(Q25-R25))</f>
        <v>0</v>
      </c>
      <c r="AG25" s="116" t="n">
        <f aca="false">AC25+AE25</f>
        <v>0</v>
      </c>
    </row>
    <row r="26" customFormat="false" ht="12.75" hidden="false" customHeight="false" outlineLevel="0" collapsed="false">
      <c r="A26" s="120" t="n">
        <f aca="false">EDATE(A25,1)</f>
        <v>37773</v>
      </c>
      <c r="B26" s="121" t="n">
        <v>0</v>
      </c>
      <c r="C26" s="122"/>
      <c r="D26" s="123" t="n">
        <f aca="false">B26+C26</f>
        <v>0</v>
      </c>
      <c r="E26" s="111" t="n">
        <f aca="false">IF(Z26=0,0,IF(AND(Z26=1,$H$3=1),D26*U26,IF($H$3=2,D26,"N/A")))</f>
        <v>0</v>
      </c>
      <c r="F26" s="111" t="n">
        <f aca="false">E26*Y26</f>
        <v>0</v>
      </c>
      <c r="G26" s="124" t="n">
        <f aca="false">VLOOKUP($A26,Table,MATCH(G$4,Curves,0))</f>
        <v>3</v>
      </c>
      <c r="H26" s="125" t="n">
        <f aca="false">G26+$H$7</f>
        <v>3</v>
      </c>
      <c r="I26" s="124" t="n">
        <f aca="false">H26</f>
        <v>3</v>
      </c>
      <c r="J26" s="124" t="n">
        <f aca="false">VLOOKUP($A26,Table,MATCH(J$4,Curves,0))</f>
        <v>4</v>
      </c>
      <c r="K26" s="125" t="n">
        <f aca="false">J26+$K$7</f>
        <v>4</v>
      </c>
      <c r="L26" s="126" t="n">
        <f aca="false">K26</f>
        <v>4</v>
      </c>
      <c r="M26" s="124" t="n">
        <f aca="false">VLOOKUP($A26,Table,MATCH(M$4,Curves,0))</f>
        <v>4</v>
      </c>
      <c r="N26" s="125" t="n">
        <f aca="false">M26+$N$7</f>
        <v>4</v>
      </c>
      <c r="O26" s="126" t="n">
        <f aca="false">IF(B26&gt;0,(1000/B26*0.25)+((B26-1000)/B26*0.12),0)</f>
        <v>0</v>
      </c>
      <c r="P26" s="114"/>
      <c r="Q26" s="126" t="n">
        <f aca="false">M26+J26+G26</f>
        <v>11</v>
      </c>
      <c r="R26" s="126" t="n">
        <f aca="false">N26+K26+H26</f>
        <v>11</v>
      </c>
      <c r="S26" s="126" t="n">
        <f aca="false">O26+L26+I26</f>
        <v>7</v>
      </c>
      <c r="T26" s="127"/>
      <c r="U26" s="5" t="n">
        <f aca="false">A27-A26</f>
        <v>30</v>
      </c>
      <c r="V26" s="128" t="n">
        <f aca="false">CHOOSE(F$3,A27+24,A26)</f>
        <v>37773</v>
      </c>
      <c r="W26" s="5" t="n">
        <f aca="false">V26-C$3</f>
        <v>542</v>
      </c>
      <c r="X26" s="124" t="n">
        <f aca="false">VLOOKUP($A26,Table,MATCH(X$4,Curves,0))</f>
        <v>2</v>
      </c>
      <c r="Y26" s="129" t="n">
        <f aca="false">1/(1+CHOOSE(F$3,(X27+($K$3/10000))/2,(X26+($K$3/10000))/2))^(2*W26/365.25)</f>
        <v>0.127818604512115</v>
      </c>
      <c r="Z26" s="5" t="n">
        <f aca="false">IF(AND(mthbeg&lt;=A26,mthend&gt;=A26),1,0)</f>
        <v>0</v>
      </c>
      <c r="AA26" s="5" t="n">
        <f aca="false">U26*Z26</f>
        <v>0</v>
      </c>
      <c r="AC26" s="115" t="n">
        <f aca="false">IF(G19=2,F26*(S26-Q26),F26*(Q26-S26))</f>
        <v>0</v>
      </c>
      <c r="AE26" s="116" t="n">
        <f aca="false">IF($G$3=1,F26*(R26-Q26),F26*(Q26-R26))</f>
        <v>0</v>
      </c>
      <c r="AG26" s="116" t="n">
        <f aca="false">AC26+AE26</f>
        <v>0</v>
      </c>
    </row>
    <row r="27" customFormat="false" ht="12.75" hidden="false" customHeight="false" outlineLevel="0" collapsed="false">
      <c r="A27" s="120" t="n">
        <f aca="false">EDATE(A26,1)</f>
        <v>37803</v>
      </c>
      <c r="B27" s="121" t="n">
        <v>0</v>
      </c>
      <c r="C27" s="122"/>
      <c r="D27" s="123" t="n">
        <f aca="false">B27+C27</f>
        <v>0</v>
      </c>
      <c r="E27" s="111" t="n">
        <f aca="false">IF(Z27=0,0,IF(AND(Z27=1,$H$3=1),D27*U27,IF($H$3=2,D27,"N/A")))</f>
        <v>0</v>
      </c>
      <c r="F27" s="111" t="n">
        <f aca="false">E27*Y27</f>
        <v>0</v>
      </c>
      <c r="G27" s="124" t="n">
        <f aca="false">VLOOKUP($A27,Table,MATCH(G$4,Curves,0))</f>
        <v>3</v>
      </c>
      <c r="H27" s="125" t="n">
        <f aca="false">G27+$H$7</f>
        <v>3</v>
      </c>
      <c r="I27" s="124" t="n">
        <f aca="false">H27</f>
        <v>3</v>
      </c>
      <c r="J27" s="124" t="n">
        <f aca="false">VLOOKUP($A27,Table,MATCH(J$4,Curves,0))</f>
        <v>4</v>
      </c>
      <c r="K27" s="125" t="n">
        <f aca="false">J27+$K$7</f>
        <v>4</v>
      </c>
      <c r="L27" s="126" t="n">
        <f aca="false">K27</f>
        <v>4</v>
      </c>
      <c r="M27" s="124" t="n">
        <f aca="false">VLOOKUP($A27,Table,MATCH(M$4,Curves,0))</f>
        <v>4</v>
      </c>
      <c r="N27" s="125" t="n">
        <f aca="false">M27+$N$7</f>
        <v>4</v>
      </c>
      <c r="O27" s="126" t="n">
        <f aca="false">IF(B27&gt;0,(1000/B27*0.25)+((B27-1000)/B27*0.12),0)</f>
        <v>0</v>
      </c>
      <c r="P27" s="114"/>
      <c r="Q27" s="126" t="n">
        <f aca="false">M27+J27+G27</f>
        <v>11</v>
      </c>
      <c r="R27" s="126" t="n">
        <f aca="false">N27+K27+H27</f>
        <v>11</v>
      </c>
      <c r="S27" s="126" t="n">
        <f aca="false">O27+L27+I27</f>
        <v>7</v>
      </c>
      <c r="T27" s="127"/>
      <c r="U27" s="5" t="n">
        <f aca="false">A28-A27</f>
        <v>31</v>
      </c>
      <c r="V27" s="128" t="n">
        <f aca="false">CHOOSE(F$3,A28+24,A27)</f>
        <v>37803</v>
      </c>
      <c r="W27" s="5" t="n">
        <f aca="false">V27-C$3</f>
        <v>572</v>
      </c>
      <c r="X27" s="124" t="n">
        <f aca="false">VLOOKUP($A27,Table,MATCH(X$4,Curves,0))</f>
        <v>2</v>
      </c>
      <c r="Y27" s="129" t="n">
        <f aca="false">1/(1+CHOOSE(F$3,(X28+($K$3/10000))/2,(X27+($K$3/10000))/2))^(2*W27/365.25)</f>
        <v>0.114062676745693</v>
      </c>
      <c r="Z27" s="5" t="n">
        <f aca="false">IF(AND(mthbeg&lt;=A27,mthend&gt;=A27),1,0)</f>
        <v>0</v>
      </c>
      <c r="AA27" s="5" t="n">
        <f aca="false">U27*Z27</f>
        <v>0</v>
      </c>
      <c r="AC27" s="115" t="n">
        <f aca="false">IF(G20=2,F27*(S27-Q27),F27*(Q27-S27))</f>
        <v>0</v>
      </c>
      <c r="AE27" s="116" t="n">
        <f aca="false">IF($G$3=1,F27*(R27-Q27),F27*(Q27-R27))</f>
        <v>0</v>
      </c>
      <c r="AG27" s="116" t="n">
        <f aca="false">AC27+AE27</f>
        <v>0</v>
      </c>
    </row>
    <row r="28" customFormat="false" ht="12.75" hidden="false" customHeight="false" outlineLevel="0" collapsed="false">
      <c r="A28" s="120" t="n">
        <f aca="false">EDATE(A27,1)</f>
        <v>37834</v>
      </c>
      <c r="B28" s="121" t="n">
        <v>0</v>
      </c>
      <c r="C28" s="122"/>
      <c r="D28" s="123" t="n">
        <f aca="false">B28+C28</f>
        <v>0</v>
      </c>
      <c r="E28" s="111" t="n">
        <f aca="false">IF(Z28=0,0,IF(AND(Z28=1,$H$3=1),D28*U28,IF($H$3=2,D28,"N/A")))</f>
        <v>0</v>
      </c>
      <c r="F28" s="111" t="n">
        <f aca="false">E28*Y28</f>
        <v>0</v>
      </c>
      <c r="G28" s="124" t="n">
        <f aca="false">VLOOKUP($A28,Table,MATCH(G$4,Curves,0))</f>
        <v>3</v>
      </c>
      <c r="H28" s="125" t="n">
        <f aca="false">G28+$H$7</f>
        <v>3</v>
      </c>
      <c r="I28" s="124" t="n">
        <f aca="false">H28</f>
        <v>3</v>
      </c>
      <c r="J28" s="124" t="n">
        <f aca="false">VLOOKUP($A28,Table,MATCH(J$4,Curves,0))</f>
        <v>4</v>
      </c>
      <c r="K28" s="125" t="n">
        <f aca="false">J28+$K$7</f>
        <v>4</v>
      </c>
      <c r="L28" s="126" t="n">
        <f aca="false">K28</f>
        <v>4</v>
      </c>
      <c r="M28" s="124" t="n">
        <f aca="false">VLOOKUP($A28,Table,MATCH(M$4,Curves,0))</f>
        <v>4</v>
      </c>
      <c r="N28" s="125" t="n">
        <f aca="false">M28+$N$7</f>
        <v>4</v>
      </c>
      <c r="O28" s="126" t="n">
        <f aca="false">IF(B28&gt;0,(1000/B28*0.25)+((B28-1000)/B28*0.12),0)</f>
        <v>0</v>
      </c>
      <c r="P28" s="114"/>
      <c r="Q28" s="126" t="n">
        <f aca="false">M28+J28+G28</f>
        <v>11</v>
      </c>
      <c r="R28" s="126" t="n">
        <f aca="false">N28+K28+H28</f>
        <v>11</v>
      </c>
      <c r="S28" s="126" t="n">
        <f aca="false">O28+L28+I28</f>
        <v>7</v>
      </c>
      <c r="T28" s="127"/>
      <c r="U28" s="5" t="n">
        <f aca="false">A29-A28</f>
        <v>31</v>
      </c>
      <c r="V28" s="128" t="n">
        <f aca="false">CHOOSE(F$3,A29+24,A28)</f>
        <v>37834</v>
      </c>
      <c r="W28" s="5" t="n">
        <f aca="false">V28-C$3</f>
        <v>603</v>
      </c>
      <c r="X28" s="124" t="n">
        <f aca="false">VLOOKUP($A28,Table,MATCH(X$4,Curves,0))</f>
        <v>2</v>
      </c>
      <c r="Y28" s="129" t="n">
        <f aca="false">1/(1+CHOOSE(F$3,(X29+($K$3/10000))/2,(X28+($K$3/10000))/2))^(2*W28/365.25)</f>
        <v>0.10140157392561</v>
      </c>
      <c r="Z28" s="5" t="n">
        <f aca="false">IF(AND(mthbeg&lt;=A28,mthend&gt;=A28),1,0)</f>
        <v>0</v>
      </c>
      <c r="AA28" s="5" t="n">
        <f aca="false">U28*Z28</f>
        <v>0</v>
      </c>
      <c r="AC28" s="115" t="n">
        <f aca="false">IF(G21=2,F28*(S28-Q28),F28*(Q28-S28))</f>
        <v>0</v>
      </c>
      <c r="AE28" s="116" t="n">
        <f aca="false">IF($G$3=1,F28*(R28-Q28),F28*(Q28-R28))</f>
        <v>0</v>
      </c>
      <c r="AG28" s="116" t="n">
        <f aca="false">AC28+AE28</f>
        <v>0</v>
      </c>
    </row>
    <row r="29" customFormat="false" ht="12.75" hidden="false" customHeight="false" outlineLevel="0" collapsed="false">
      <c r="A29" s="120" t="n">
        <f aca="false">EDATE(A28,1)</f>
        <v>37865</v>
      </c>
      <c r="B29" s="121" t="n">
        <v>0</v>
      </c>
      <c r="C29" s="122"/>
      <c r="D29" s="123" t="n">
        <f aca="false">B29+C29</f>
        <v>0</v>
      </c>
      <c r="E29" s="111" t="n">
        <f aca="false">IF(Z29=0,0,IF(AND(Z29=1,$H$3=1),D29*U29,IF($H$3=2,D29,"N/A")))</f>
        <v>0</v>
      </c>
      <c r="F29" s="111" t="n">
        <f aca="false">E29*Y29</f>
        <v>0</v>
      </c>
      <c r="G29" s="124" t="n">
        <f aca="false">VLOOKUP($A29,Table,MATCH(G$4,Curves,0))</f>
        <v>3</v>
      </c>
      <c r="H29" s="125" t="n">
        <f aca="false">G29+$H$7</f>
        <v>3</v>
      </c>
      <c r="I29" s="124" t="n">
        <f aca="false">H29</f>
        <v>3</v>
      </c>
      <c r="J29" s="124" t="n">
        <f aca="false">VLOOKUP($A29,Table,MATCH(J$4,Curves,0))</f>
        <v>4</v>
      </c>
      <c r="K29" s="125" t="n">
        <f aca="false">J29+$K$7</f>
        <v>4</v>
      </c>
      <c r="L29" s="126" t="n">
        <f aca="false">K29</f>
        <v>4</v>
      </c>
      <c r="M29" s="124" t="n">
        <f aca="false">VLOOKUP($A29,Table,MATCH(M$4,Curves,0))</f>
        <v>4</v>
      </c>
      <c r="N29" s="125" t="n">
        <f aca="false">M29+$N$7</f>
        <v>4</v>
      </c>
      <c r="O29" s="126" t="n">
        <f aca="false">IF(B29&gt;0,(1000/B29*0.25)+((B29-1000)/B29*0.12),0)</f>
        <v>0</v>
      </c>
      <c r="P29" s="114"/>
      <c r="Q29" s="126" t="n">
        <f aca="false">M29+J29+G29</f>
        <v>11</v>
      </c>
      <c r="R29" s="126" t="n">
        <f aca="false">N29+K29+H29</f>
        <v>11</v>
      </c>
      <c r="S29" s="126" t="n">
        <f aca="false">O29+L29+I29</f>
        <v>7</v>
      </c>
      <c r="T29" s="127"/>
      <c r="U29" s="5" t="n">
        <f aca="false">A30-A29</f>
        <v>30</v>
      </c>
      <c r="V29" s="128" t="n">
        <f aca="false">CHOOSE(F$3,A30+24,A29)</f>
        <v>37865</v>
      </c>
      <c r="W29" s="5" t="n">
        <f aca="false">V29-C$3</f>
        <v>634</v>
      </c>
      <c r="X29" s="124" t="n">
        <f aca="false">VLOOKUP($A29,Table,MATCH(X$4,Curves,0))</f>
        <v>2</v>
      </c>
      <c r="Y29" s="129" t="n">
        <f aca="false">1/(1+CHOOSE(F$3,(X30+($K$3/10000))/2,(X29+($K$3/10000))/2))^(2*W29/365.25)</f>
        <v>0.0901458696915883</v>
      </c>
      <c r="Z29" s="5" t="n">
        <f aca="false">IF(AND(mthbeg&lt;=A29,mthend&gt;=A29),1,0)</f>
        <v>0</v>
      </c>
      <c r="AA29" s="5" t="n">
        <f aca="false">U29*Z29</f>
        <v>0</v>
      </c>
      <c r="AC29" s="115" t="n">
        <f aca="false">IF(G22=2,F29*(S29-Q29),F29*(Q29-S29))</f>
        <v>0</v>
      </c>
      <c r="AE29" s="116" t="n">
        <f aca="false">IF($G$3=1,F29*(R29-Q29),F29*(Q29-R29))</f>
        <v>0</v>
      </c>
      <c r="AG29" s="116" t="n">
        <f aca="false">AC29+AE29</f>
        <v>0</v>
      </c>
    </row>
    <row r="30" customFormat="false" ht="12.75" hidden="false" customHeight="false" outlineLevel="0" collapsed="false">
      <c r="A30" s="120" t="n">
        <f aca="false">EDATE(A29,1)</f>
        <v>37895</v>
      </c>
      <c r="B30" s="121" t="n">
        <v>0</v>
      </c>
      <c r="C30" s="122"/>
      <c r="D30" s="123" t="n">
        <f aca="false">B30+C30</f>
        <v>0</v>
      </c>
      <c r="E30" s="111" t="n">
        <f aca="false">IF(Z30=0,0,IF(AND(Z30=1,$H$3=1),D30*U30,IF($H$3=2,D30,"N/A")))</f>
        <v>0</v>
      </c>
      <c r="F30" s="111" t="n">
        <f aca="false">E30*Y30</f>
        <v>0</v>
      </c>
      <c r="G30" s="124" t="n">
        <f aca="false">VLOOKUP($A30,Table,MATCH(G$4,Curves,0))</f>
        <v>3</v>
      </c>
      <c r="H30" s="125" t="n">
        <f aca="false">G30+$H$7</f>
        <v>3</v>
      </c>
      <c r="I30" s="124" t="n">
        <f aca="false">H30</f>
        <v>3</v>
      </c>
      <c r="J30" s="124" t="n">
        <f aca="false">VLOOKUP($A30,Table,MATCH(J$4,Curves,0))</f>
        <v>4</v>
      </c>
      <c r="K30" s="125" t="n">
        <f aca="false">J30+$K$7</f>
        <v>4</v>
      </c>
      <c r="L30" s="126" t="n">
        <f aca="false">K30</f>
        <v>4</v>
      </c>
      <c r="M30" s="124" t="n">
        <f aca="false">VLOOKUP($A30,Table,MATCH(M$4,Curves,0))</f>
        <v>4</v>
      </c>
      <c r="N30" s="125" t="n">
        <f aca="false">M30+$N$7</f>
        <v>4</v>
      </c>
      <c r="O30" s="126" t="n">
        <f aca="false">IF(B30&gt;0,(1000/B30*0.25)+((B30-1000)/B30*0.12),0)</f>
        <v>0</v>
      </c>
      <c r="P30" s="114"/>
      <c r="Q30" s="126" t="n">
        <f aca="false">M30+J30+G30</f>
        <v>11</v>
      </c>
      <c r="R30" s="126" t="n">
        <f aca="false">N30+K30+H30</f>
        <v>11</v>
      </c>
      <c r="S30" s="126" t="n">
        <f aca="false">O30+L30+I30</f>
        <v>7</v>
      </c>
      <c r="T30" s="127"/>
      <c r="U30" s="5" t="n">
        <f aca="false">A31-A30</f>
        <v>31</v>
      </c>
      <c r="V30" s="128" t="n">
        <f aca="false">CHOOSE(F$3,A31+24,A30)</f>
        <v>37895</v>
      </c>
      <c r="W30" s="5" t="n">
        <f aca="false">V30-C$3</f>
        <v>664</v>
      </c>
      <c r="X30" s="124" t="n">
        <f aca="false">VLOOKUP($A30,Table,MATCH(X$4,Curves,0))</f>
        <v>2</v>
      </c>
      <c r="Y30" s="129" t="n">
        <f aca="false">1/(1+CHOOSE(F$3,(X31+($K$3/10000))/2,(X30+($K$3/10000))/2))^(2*W30/365.25)</f>
        <v>0.0804443080398083</v>
      </c>
      <c r="Z30" s="5" t="n">
        <f aca="false">IF(AND(mthbeg&lt;=A30,mthend&gt;=A30),1,0)</f>
        <v>0</v>
      </c>
      <c r="AA30" s="5" t="n">
        <f aca="false">U30*Z30</f>
        <v>0</v>
      </c>
      <c r="AC30" s="115" t="n">
        <f aca="false">IF(G23=2,F30*(S30-Q30),F30*(Q30-S30))</f>
        <v>0</v>
      </c>
      <c r="AE30" s="116" t="n">
        <f aca="false">IF($G$3=1,F30*(R30-Q30),F30*(Q30-R30))</f>
        <v>0</v>
      </c>
      <c r="AG30" s="116" t="n">
        <f aca="false">AC30+AE30</f>
        <v>0</v>
      </c>
    </row>
    <row r="31" customFormat="false" ht="12.75" hidden="false" customHeight="false" outlineLevel="0" collapsed="false">
      <c r="A31" s="120" t="n">
        <f aca="false">EDATE(A30,1)</f>
        <v>37926</v>
      </c>
      <c r="B31" s="121" t="n">
        <v>0</v>
      </c>
      <c r="C31" s="122"/>
      <c r="D31" s="123" t="n">
        <f aca="false">B31+C31</f>
        <v>0</v>
      </c>
      <c r="E31" s="111" t="n">
        <f aca="false">IF(Z31=0,0,IF(AND(Z31=1,$H$3=1),D31*U31,IF($H$3=2,D31,"N/A")))</f>
        <v>0</v>
      </c>
      <c r="F31" s="111" t="n">
        <f aca="false">E31*Y31</f>
        <v>0</v>
      </c>
      <c r="G31" s="124" t="n">
        <f aca="false">VLOOKUP($A31,Table,MATCH(G$4,Curves,0))</f>
        <v>3</v>
      </c>
      <c r="H31" s="125" t="n">
        <f aca="false">G31+$H$7</f>
        <v>3</v>
      </c>
      <c r="I31" s="124" t="n">
        <f aca="false">H31</f>
        <v>3</v>
      </c>
      <c r="J31" s="124" t="n">
        <f aca="false">VLOOKUP($A31,Table,MATCH(J$4,Curves,0))</f>
        <v>4</v>
      </c>
      <c r="K31" s="125" t="n">
        <f aca="false">J31+$K$7</f>
        <v>4</v>
      </c>
      <c r="L31" s="126" t="n">
        <f aca="false">K31</f>
        <v>4</v>
      </c>
      <c r="M31" s="124" t="n">
        <f aca="false">VLOOKUP($A31,Table,MATCH(M$4,Curves,0))</f>
        <v>4</v>
      </c>
      <c r="N31" s="125" t="n">
        <f aca="false">M31+$N$7</f>
        <v>4</v>
      </c>
      <c r="O31" s="126" t="n">
        <f aca="false">IF(B31&gt;0,(1000/B31*0.25)+((B31-1000)/B31*0.12),0)</f>
        <v>0</v>
      </c>
      <c r="P31" s="114"/>
      <c r="Q31" s="126" t="n">
        <f aca="false">M31+J31+G31</f>
        <v>11</v>
      </c>
      <c r="R31" s="126" t="n">
        <f aca="false">N31+K31+H31</f>
        <v>11</v>
      </c>
      <c r="S31" s="126" t="n">
        <f aca="false">O31+L31+I31</f>
        <v>7</v>
      </c>
      <c r="T31" s="127"/>
      <c r="U31" s="5" t="n">
        <f aca="false">A32-A31</f>
        <v>30</v>
      </c>
      <c r="V31" s="128" t="n">
        <f aca="false">CHOOSE(F$3,A32+24,A31)</f>
        <v>37926</v>
      </c>
      <c r="W31" s="5" t="n">
        <f aca="false">V31-C$3</f>
        <v>695</v>
      </c>
      <c r="X31" s="124" t="n">
        <f aca="false">VLOOKUP($A31,Table,MATCH(X$4,Curves,0))</f>
        <v>2</v>
      </c>
      <c r="Y31" s="129" t="n">
        <f aca="false">1/(1+CHOOSE(F$3,(X32+($K$3/10000))/2,(X31+($K$3/10000))/2))^(2*W31/365.25)</f>
        <v>0.0715148870894894</v>
      </c>
      <c r="Z31" s="5" t="n">
        <f aca="false">IF(AND(mthbeg&lt;=A31,mthend&gt;=A31),1,0)</f>
        <v>0</v>
      </c>
      <c r="AA31" s="5" t="n">
        <f aca="false">U31*Z31</f>
        <v>0</v>
      </c>
      <c r="AC31" s="115" t="n">
        <f aca="false">IF(G24=2,F31*(S31-Q31),F31*(Q31-S31))</f>
        <v>0</v>
      </c>
      <c r="AE31" s="116" t="n">
        <f aca="false">IF($G$3=1,F31*(R31-Q31),F31*(Q31-R31))</f>
        <v>0</v>
      </c>
      <c r="AG31" s="116" t="n">
        <f aca="false">AC31+AE31</f>
        <v>0</v>
      </c>
    </row>
    <row r="32" customFormat="false" ht="12.75" hidden="false" customHeight="false" outlineLevel="0" collapsed="false">
      <c r="A32" s="120" t="n">
        <f aca="false">EDATE(A31,1)</f>
        <v>37956</v>
      </c>
      <c r="B32" s="121" t="n">
        <v>0</v>
      </c>
      <c r="C32" s="122"/>
      <c r="D32" s="123" t="n">
        <f aca="false">B32+C32</f>
        <v>0</v>
      </c>
      <c r="E32" s="111" t="n">
        <f aca="false">IF(Z32=0,0,IF(AND(Z32=1,$H$3=1),D32*U32,IF($H$3=2,D32,"N/A")))</f>
        <v>0</v>
      </c>
      <c r="F32" s="111" t="n">
        <f aca="false">E32*Y32</f>
        <v>0</v>
      </c>
      <c r="G32" s="124" t="n">
        <f aca="false">VLOOKUP($A32,Table,MATCH(G$4,Curves,0))</f>
        <v>3</v>
      </c>
      <c r="H32" s="125" t="n">
        <f aca="false">G32+$H$7</f>
        <v>3</v>
      </c>
      <c r="I32" s="124" t="n">
        <f aca="false">H32</f>
        <v>3</v>
      </c>
      <c r="J32" s="124" t="n">
        <f aca="false">VLOOKUP($A32,Table,MATCH(J$4,Curves,0))</f>
        <v>4</v>
      </c>
      <c r="K32" s="125" t="n">
        <f aca="false">J32+$K$7</f>
        <v>4</v>
      </c>
      <c r="L32" s="126" t="n">
        <f aca="false">K32</f>
        <v>4</v>
      </c>
      <c r="M32" s="124" t="n">
        <f aca="false">VLOOKUP($A32,Table,MATCH(M$4,Curves,0))</f>
        <v>4</v>
      </c>
      <c r="N32" s="125" t="n">
        <f aca="false">M32+$N$7</f>
        <v>4</v>
      </c>
      <c r="O32" s="126" t="n">
        <f aca="false">IF(B32&gt;0,(1000/B32*0.25)+((B32-1000)/B32*0.12),0)</f>
        <v>0</v>
      </c>
      <c r="P32" s="114"/>
      <c r="Q32" s="126" t="n">
        <f aca="false">M32+J32+G32</f>
        <v>11</v>
      </c>
      <c r="R32" s="126" t="n">
        <f aca="false">N32+K32+H32</f>
        <v>11</v>
      </c>
      <c r="S32" s="126" t="n">
        <f aca="false">O32+L32+I32</f>
        <v>7</v>
      </c>
      <c r="T32" s="127"/>
      <c r="U32" s="5" t="n">
        <f aca="false">A33-A32</f>
        <v>31</v>
      </c>
      <c r="V32" s="128" t="n">
        <f aca="false">CHOOSE(F$3,A33+24,A32)</f>
        <v>37956</v>
      </c>
      <c r="W32" s="5" t="n">
        <f aca="false">V32-C$3</f>
        <v>725</v>
      </c>
      <c r="X32" s="124" t="n">
        <f aca="false">VLOOKUP($A32,Table,MATCH(X$4,Curves,0))</f>
        <v>2</v>
      </c>
      <c r="Y32" s="129" t="n">
        <f aca="false">1/(1+CHOOSE(F$3,(X33+($K$3/10000))/2,(X32+($K$3/10000))/2))^(2*W32/365.25)</f>
        <v>0.0638184048380845</v>
      </c>
      <c r="Z32" s="5" t="n">
        <f aca="false">IF(AND(mthbeg&lt;=A32,mthend&gt;=A32),1,0)</f>
        <v>0</v>
      </c>
      <c r="AA32" s="5" t="n">
        <f aca="false">U32*Z32</f>
        <v>0</v>
      </c>
      <c r="AC32" s="115" t="n">
        <f aca="false">IF(G25=2,F32*(S32-Q32),F32*(Q32-S32))</f>
        <v>0</v>
      </c>
      <c r="AE32" s="116" t="n">
        <f aca="false">IF($G$3=1,F32*(R32-Q32),F32*(Q32-R32))</f>
        <v>0</v>
      </c>
      <c r="AG32" s="116" t="n">
        <f aca="false">AC32+AE32</f>
        <v>0</v>
      </c>
    </row>
    <row r="33" customFormat="false" ht="12.75" hidden="false" customHeight="false" outlineLevel="0" collapsed="false">
      <c r="A33" s="120" t="n">
        <f aca="false">EDATE(A32,1)</f>
        <v>37987</v>
      </c>
      <c r="B33" s="121" t="n">
        <v>0</v>
      </c>
      <c r="C33" s="122"/>
      <c r="D33" s="123" t="n">
        <f aca="false">B33+C33</f>
        <v>0</v>
      </c>
      <c r="E33" s="111" t="n">
        <f aca="false">IF(Z33=0,0,IF(AND(Z33=1,$H$3=1),D33*U33,IF($H$3=2,D33,"N/A")))</f>
        <v>0</v>
      </c>
      <c r="F33" s="111" t="n">
        <f aca="false">E33*Y33</f>
        <v>0</v>
      </c>
      <c r="G33" s="124" t="n">
        <f aca="false">VLOOKUP($A33,Table,MATCH(G$4,Curves,0))</f>
        <v>3</v>
      </c>
      <c r="H33" s="125" t="n">
        <f aca="false">G33+$H$7</f>
        <v>3</v>
      </c>
      <c r="I33" s="124" t="n">
        <f aca="false">H33</f>
        <v>3</v>
      </c>
      <c r="J33" s="124" t="n">
        <f aca="false">VLOOKUP($A33,Table,MATCH(J$4,Curves,0))</f>
        <v>4</v>
      </c>
      <c r="K33" s="125" t="n">
        <f aca="false">J33+$K$7</f>
        <v>4</v>
      </c>
      <c r="L33" s="126" t="n">
        <f aca="false">K33</f>
        <v>4</v>
      </c>
      <c r="M33" s="124" t="n">
        <f aca="false">VLOOKUP($A33,Table,MATCH(M$4,Curves,0))</f>
        <v>4</v>
      </c>
      <c r="N33" s="125" t="n">
        <f aca="false">M33+$N$7</f>
        <v>4</v>
      </c>
      <c r="O33" s="126" t="n">
        <f aca="false">IF(B33&gt;0,(1000/B33*0.25)+((B33-1000)/B33*0.12),0)</f>
        <v>0</v>
      </c>
      <c r="P33" s="114"/>
      <c r="Q33" s="126" t="n">
        <f aca="false">M33+J33+G33</f>
        <v>11</v>
      </c>
      <c r="R33" s="126" t="n">
        <f aca="false">N33+K33+H33</f>
        <v>11</v>
      </c>
      <c r="S33" s="126" t="n">
        <f aca="false">O33+L33+I33</f>
        <v>7</v>
      </c>
      <c r="T33" s="127"/>
      <c r="U33" s="5" t="n">
        <f aca="false">A34-A33</f>
        <v>31</v>
      </c>
      <c r="V33" s="128" t="n">
        <f aca="false">CHOOSE(F$3,A34+24,A33)</f>
        <v>37987</v>
      </c>
      <c r="W33" s="5" t="n">
        <f aca="false">V33-C$3</f>
        <v>756</v>
      </c>
      <c r="X33" s="124" t="n">
        <f aca="false">VLOOKUP($A33,Table,MATCH(X$4,Curves,0))</f>
        <v>2</v>
      </c>
      <c r="Y33" s="129" t="n">
        <f aca="false">1/(1+CHOOSE(F$3,(X34+($K$3/10000))/2,(X33+($K$3/10000))/2))^(2*W33/365.25)</f>
        <v>0.0567344803807429</v>
      </c>
      <c r="Z33" s="5" t="n">
        <f aca="false">IF(AND(mthbeg&lt;=A33,mthend&gt;=A33),1,0)</f>
        <v>0</v>
      </c>
      <c r="AA33" s="5" t="n">
        <f aca="false">U33*Z33</f>
        <v>0</v>
      </c>
      <c r="AC33" s="115" t="n">
        <f aca="false">IF(G26=2,F33*(S33-Q33),F33*(Q33-S33))</f>
        <v>0</v>
      </c>
      <c r="AE33" s="116" t="n">
        <f aca="false">IF($G$3=1,F33*(R33-Q33),F33*(Q33-R33))</f>
        <v>0</v>
      </c>
      <c r="AG33" s="116" t="n">
        <f aca="false">AC33+AE33</f>
        <v>0</v>
      </c>
    </row>
    <row r="34" customFormat="false" ht="12.75" hidden="false" customHeight="false" outlineLevel="0" collapsed="false">
      <c r="A34" s="120" t="n">
        <f aca="false">EDATE(A33,1)</f>
        <v>38018</v>
      </c>
      <c r="B34" s="121" t="n">
        <v>0</v>
      </c>
      <c r="C34" s="122"/>
      <c r="D34" s="123" t="n">
        <f aca="false">B34+C34</f>
        <v>0</v>
      </c>
      <c r="E34" s="111" t="n">
        <f aca="false">IF(Z34=0,0,IF(AND(Z34=1,$H$3=1),D34*U34,IF($H$3=2,D34,"N/A")))</f>
        <v>0</v>
      </c>
      <c r="F34" s="111" t="n">
        <f aca="false">E34*Y34</f>
        <v>0</v>
      </c>
      <c r="G34" s="124" t="n">
        <f aca="false">VLOOKUP($A34,Table,MATCH(G$4,Curves,0))</f>
        <v>3</v>
      </c>
      <c r="H34" s="125" t="n">
        <f aca="false">G34+$H$7</f>
        <v>3</v>
      </c>
      <c r="I34" s="124" t="n">
        <f aca="false">H34</f>
        <v>3</v>
      </c>
      <c r="J34" s="124" t="n">
        <f aca="false">VLOOKUP($A34,Table,MATCH(J$4,Curves,0))</f>
        <v>4</v>
      </c>
      <c r="K34" s="125" t="n">
        <f aca="false">J34+$K$7</f>
        <v>4</v>
      </c>
      <c r="L34" s="126" t="n">
        <f aca="false">K34</f>
        <v>4</v>
      </c>
      <c r="M34" s="124" t="n">
        <f aca="false">VLOOKUP($A34,Table,MATCH(M$4,Curves,0))</f>
        <v>4</v>
      </c>
      <c r="N34" s="125" t="n">
        <f aca="false">M34+$N$7</f>
        <v>4</v>
      </c>
      <c r="O34" s="126" t="n">
        <f aca="false">IF(B34&gt;0,(1000/B34*0.25)+((B34-1000)/B34*0.12),0)</f>
        <v>0</v>
      </c>
      <c r="P34" s="114"/>
      <c r="Q34" s="126" t="n">
        <f aca="false">M34+J34+G34</f>
        <v>11</v>
      </c>
      <c r="R34" s="126" t="n">
        <f aca="false">N34+K34+H34</f>
        <v>11</v>
      </c>
      <c r="S34" s="126" t="n">
        <f aca="false">O34+L34+I34</f>
        <v>7</v>
      </c>
      <c r="T34" s="127"/>
      <c r="U34" s="5" t="n">
        <f aca="false">A35-A34</f>
        <v>29</v>
      </c>
      <c r="V34" s="128" t="n">
        <f aca="false">CHOOSE(F$3,A35+24,A34)</f>
        <v>38018</v>
      </c>
      <c r="W34" s="5" t="n">
        <f aca="false">V34-C$3</f>
        <v>787</v>
      </c>
      <c r="X34" s="124" t="n">
        <f aca="false">VLOOKUP($A34,Table,MATCH(X$4,Curves,0))</f>
        <v>2</v>
      </c>
      <c r="Y34" s="129" t="n">
        <f aca="false">1/(1+CHOOSE(F$3,(X35+($K$3/10000))/2,(X34+($K$3/10000))/2))^(2*W34/365.25)</f>
        <v>0.0504368805870252</v>
      </c>
      <c r="Z34" s="5" t="n">
        <f aca="false">IF(AND(mthbeg&lt;=A34,mthend&gt;=A34),1,0)</f>
        <v>0</v>
      </c>
      <c r="AA34" s="5" t="n">
        <f aca="false">U34*Z34</f>
        <v>0</v>
      </c>
      <c r="AC34" s="115" t="n">
        <f aca="false">IF(G27=2,F34*(S34-Q34),F34*(Q34-S34))</f>
        <v>0</v>
      </c>
      <c r="AE34" s="116" t="n">
        <f aca="false">IF($G$3=1,F34*(R34-Q34),F34*(Q34-R34))</f>
        <v>0</v>
      </c>
      <c r="AG34" s="116" t="n">
        <f aca="false">AC34+AE34</f>
        <v>0</v>
      </c>
    </row>
    <row r="35" customFormat="false" ht="12.75" hidden="false" customHeight="false" outlineLevel="0" collapsed="false">
      <c r="A35" s="120" t="n">
        <f aca="false">EDATE(A34,1)</f>
        <v>38047</v>
      </c>
      <c r="B35" s="121" t="n">
        <v>0</v>
      </c>
      <c r="C35" s="122"/>
      <c r="D35" s="123" t="n">
        <f aca="false">B35+C35</f>
        <v>0</v>
      </c>
      <c r="E35" s="111" t="n">
        <f aca="false">IF(Z35=0,0,IF(AND(Z35=1,$H$3=1),D35*U35,IF($H$3=2,D35,"N/A")))</f>
        <v>0</v>
      </c>
      <c r="F35" s="111" t="n">
        <f aca="false">E35*Y35</f>
        <v>0</v>
      </c>
      <c r="G35" s="124" t="n">
        <f aca="false">VLOOKUP($A35,Table,MATCH(G$4,Curves,0))</f>
        <v>3</v>
      </c>
      <c r="H35" s="125" t="n">
        <f aca="false">G35+$H$7</f>
        <v>3</v>
      </c>
      <c r="I35" s="124" t="n">
        <f aca="false">H35</f>
        <v>3</v>
      </c>
      <c r="J35" s="124" t="n">
        <f aca="false">VLOOKUP($A35,Table,MATCH(J$4,Curves,0))</f>
        <v>4</v>
      </c>
      <c r="K35" s="125" t="n">
        <f aca="false">J35+$K$7</f>
        <v>4</v>
      </c>
      <c r="L35" s="126" t="n">
        <f aca="false">K35</f>
        <v>4</v>
      </c>
      <c r="M35" s="124" t="n">
        <f aca="false">VLOOKUP($A35,Table,MATCH(M$4,Curves,0))</f>
        <v>4</v>
      </c>
      <c r="N35" s="125" t="n">
        <f aca="false">M35+$N$7</f>
        <v>4</v>
      </c>
      <c r="O35" s="126" t="n">
        <f aca="false">IF(B35&gt;0,(1000/B35*0.25)+((B35-1000)/B35*0.12),0)</f>
        <v>0</v>
      </c>
      <c r="P35" s="114"/>
      <c r="Q35" s="126" t="n">
        <f aca="false">M35+J35+G35</f>
        <v>11</v>
      </c>
      <c r="R35" s="126" t="n">
        <f aca="false">N35+K35+H35</f>
        <v>11</v>
      </c>
      <c r="S35" s="126" t="n">
        <f aca="false">O35+L35+I35</f>
        <v>7</v>
      </c>
      <c r="T35" s="127"/>
      <c r="U35" s="5" t="n">
        <f aca="false">A36-A35</f>
        <v>31</v>
      </c>
      <c r="V35" s="128" t="n">
        <f aca="false">CHOOSE(F$3,A36+24,A35)</f>
        <v>38047</v>
      </c>
      <c r="W35" s="5" t="n">
        <f aca="false">V35-C$3</f>
        <v>816</v>
      </c>
      <c r="X35" s="124" t="n">
        <f aca="false">VLOOKUP($A35,Table,MATCH(X$4,Curves,0))</f>
        <v>2</v>
      </c>
      <c r="Y35" s="129" t="n">
        <f aca="false">1/(1+CHOOSE(F$3,(X36+($K$3/10000))/2,(X35+($K$3/10000))/2))^(2*W35/365.25)</f>
        <v>0.0451799822888358</v>
      </c>
      <c r="Z35" s="5" t="n">
        <f aca="false">IF(AND(mthbeg&lt;=A35,mthend&gt;=A35),1,0)</f>
        <v>0</v>
      </c>
      <c r="AA35" s="5" t="n">
        <f aca="false">U35*Z35</f>
        <v>0</v>
      </c>
      <c r="AC35" s="115" t="n">
        <f aca="false">IF(G28=2,F35*(S35-Q35),F35*(Q35-S35))</f>
        <v>0</v>
      </c>
      <c r="AE35" s="116" t="n">
        <f aca="false">IF($G$3=1,F35*(R35-Q35),F35*(Q35-R35))</f>
        <v>0</v>
      </c>
      <c r="AG35" s="116" t="n">
        <f aca="false">AC35+AE35</f>
        <v>0</v>
      </c>
    </row>
    <row r="36" customFormat="false" ht="12.75" hidden="false" customHeight="false" outlineLevel="0" collapsed="false">
      <c r="A36" s="120" t="n">
        <f aca="false">EDATE(A35,1)</f>
        <v>38078</v>
      </c>
      <c r="B36" s="121" t="n">
        <v>0</v>
      </c>
      <c r="C36" s="122"/>
      <c r="D36" s="123" t="n">
        <f aca="false">B36+C36</f>
        <v>0</v>
      </c>
      <c r="E36" s="111" t="n">
        <f aca="false">IF(Z36=0,0,IF(AND(Z36=1,$H$3=1),D36*U36,IF($H$3=2,D36,"N/A")))</f>
        <v>0</v>
      </c>
      <c r="F36" s="111" t="n">
        <f aca="false">E36*Y36</f>
        <v>0</v>
      </c>
      <c r="G36" s="124" t="n">
        <f aca="false">VLOOKUP($A36,Table,MATCH(G$4,Curves,0))</f>
        <v>3</v>
      </c>
      <c r="H36" s="125" t="n">
        <f aca="false">G36+$H$7</f>
        <v>3</v>
      </c>
      <c r="I36" s="124" t="n">
        <f aca="false">H36</f>
        <v>3</v>
      </c>
      <c r="J36" s="124" t="n">
        <f aca="false">VLOOKUP($A36,Table,MATCH(J$4,Curves,0))</f>
        <v>4</v>
      </c>
      <c r="K36" s="125" t="n">
        <f aca="false">J36+$K$7</f>
        <v>4</v>
      </c>
      <c r="L36" s="126" t="n">
        <f aca="false">K36</f>
        <v>4</v>
      </c>
      <c r="M36" s="124" t="n">
        <f aca="false">VLOOKUP($A36,Table,MATCH(M$4,Curves,0))</f>
        <v>4</v>
      </c>
      <c r="N36" s="125" t="n">
        <f aca="false">M36+$N$7</f>
        <v>4</v>
      </c>
      <c r="O36" s="126" t="n">
        <f aca="false">IF(B36&gt;0,(1000/B36*0.25)+((B36-1000)/B36*0.12),0)</f>
        <v>0</v>
      </c>
      <c r="P36" s="114"/>
      <c r="Q36" s="126" t="n">
        <f aca="false">M36+J36+G36</f>
        <v>11</v>
      </c>
      <c r="R36" s="126" t="n">
        <f aca="false">N36+K36+H36</f>
        <v>11</v>
      </c>
      <c r="S36" s="126" t="n">
        <f aca="false">O36+L36+I36</f>
        <v>7</v>
      </c>
      <c r="T36" s="127"/>
      <c r="U36" s="5" t="n">
        <f aca="false">A37-A36</f>
        <v>30</v>
      </c>
      <c r="V36" s="128" t="n">
        <f aca="false">CHOOSE(F$3,A37+24,A36)</f>
        <v>38078</v>
      </c>
      <c r="W36" s="5" t="n">
        <f aca="false">V36-C$3</f>
        <v>847</v>
      </c>
      <c r="X36" s="124" t="n">
        <f aca="false">VLOOKUP($A36,Table,MATCH(X$4,Curves,0))</f>
        <v>2</v>
      </c>
      <c r="Y36" s="129" t="n">
        <f aca="false">1/(1+CHOOSE(F$3,(X37+($K$3/10000))/2,(X36+($K$3/10000))/2))^(2*W36/365.25)</f>
        <v>0.0401649465427973</v>
      </c>
      <c r="Z36" s="5" t="n">
        <f aca="false">IF(AND(mthbeg&lt;=A36,mthend&gt;=A36),1,0)</f>
        <v>0</v>
      </c>
      <c r="AA36" s="5" t="n">
        <f aca="false">U36*Z36</f>
        <v>0</v>
      </c>
      <c r="AC36" s="115" t="n">
        <f aca="false">IF(G29=2,F36*(S36-Q36),F36*(Q36-S36))</f>
        <v>0</v>
      </c>
      <c r="AE36" s="116" t="n">
        <f aca="false">IF($G$3=1,F36*(R36-Q36),F36*(Q36-R36))</f>
        <v>0</v>
      </c>
      <c r="AG36" s="116" t="n">
        <f aca="false">AC36+AE36</f>
        <v>0</v>
      </c>
    </row>
    <row r="37" customFormat="false" ht="12.75" hidden="false" customHeight="false" outlineLevel="0" collapsed="false">
      <c r="A37" s="120" t="n">
        <f aca="false">EDATE(A36,1)</f>
        <v>38108</v>
      </c>
      <c r="B37" s="121" t="n">
        <v>0</v>
      </c>
      <c r="C37" s="122"/>
      <c r="D37" s="123" t="n">
        <f aca="false">B37+C37</f>
        <v>0</v>
      </c>
      <c r="E37" s="111" t="n">
        <f aca="false">IF(Z37=0,0,IF(AND(Z37=1,$H$3=1),D37*U37,IF($H$3=2,D37,"N/A")))</f>
        <v>0</v>
      </c>
      <c r="F37" s="111" t="n">
        <f aca="false">E37*Y37</f>
        <v>0</v>
      </c>
      <c r="G37" s="124" t="n">
        <f aca="false">VLOOKUP($A37,Table,MATCH(G$4,Curves,0))</f>
        <v>3</v>
      </c>
      <c r="H37" s="125" t="n">
        <f aca="false">G37+$H$7</f>
        <v>3</v>
      </c>
      <c r="I37" s="124" t="n">
        <f aca="false">H37</f>
        <v>3</v>
      </c>
      <c r="J37" s="124" t="n">
        <f aca="false">VLOOKUP($A37,Table,MATCH(J$4,Curves,0))</f>
        <v>4</v>
      </c>
      <c r="K37" s="125" t="n">
        <f aca="false">J37+$K$7</f>
        <v>4</v>
      </c>
      <c r="L37" s="126" t="n">
        <f aca="false">K37</f>
        <v>4</v>
      </c>
      <c r="M37" s="124" t="n">
        <f aca="false">VLOOKUP($A37,Table,MATCH(M$4,Curves,0))</f>
        <v>4</v>
      </c>
      <c r="N37" s="125" t="n">
        <f aca="false">M37+$N$7</f>
        <v>4</v>
      </c>
      <c r="O37" s="126" t="n">
        <f aca="false">IF(B37&gt;0,(1000/B37*0.25)+((B37-1000)/B37*0.12),0)</f>
        <v>0</v>
      </c>
      <c r="P37" s="114"/>
      <c r="Q37" s="126" t="n">
        <f aca="false">M37+J37+G37</f>
        <v>11</v>
      </c>
      <c r="R37" s="126" t="n">
        <f aca="false">N37+K37+H37</f>
        <v>11</v>
      </c>
      <c r="S37" s="126" t="n">
        <f aca="false">O37+L37+I37</f>
        <v>7</v>
      </c>
      <c r="T37" s="127"/>
      <c r="U37" s="5" t="n">
        <f aca="false">A38-A37</f>
        <v>31</v>
      </c>
      <c r="V37" s="128" t="n">
        <f aca="false">CHOOSE(F$3,A38+24,A37)</f>
        <v>38108</v>
      </c>
      <c r="W37" s="5" t="n">
        <f aca="false">V37-C$3</f>
        <v>877</v>
      </c>
      <c r="X37" s="124" t="n">
        <f aca="false">VLOOKUP($A37,Table,MATCH(X$4,Curves,0))</f>
        <v>2</v>
      </c>
      <c r="Y37" s="129" t="n">
        <f aca="false">1/(1+CHOOSE(F$3,(X38+($K$3/10000))/2,(X37+($K$3/10000))/2))^(2*W37/365.25)</f>
        <v>0.0358423668565784</v>
      </c>
      <c r="Z37" s="5" t="n">
        <f aca="false">IF(AND(mthbeg&lt;=A37,mthend&gt;=A37),1,0)</f>
        <v>0</v>
      </c>
      <c r="AA37" s="5" t="n">
        <f aca="false">U37*Z37</f>
        <v>0</v>
      </c>
      <c r="AC37" s="115" t="n">
        <f aca="false">IF(G30=2,F37*(S37-Q37),F37*(Q37-S37))</f>
        <v>0</v>
      </c>
      <c r="AE37" s="116" t="n">
        <f aca="false">IF($G$3=1,F37*(R37-Q37),F37*(Q37-R37))</f>
        <v>0</v>
      </c>
      <c r="AG37" s="116" t="n">
        <f aca="false">AC37+AE37</f>
        <v>0</v>
      </c>
    </row>
    <row r="38" customFormat="false" ht="12.75" hidden="false" customHeight="false" outlineLevel="0" collapsed="false">
      <c r="A38" s="120" t="n">
        <f aca="false">EDATE(A37,1)</f>
        <v>38139</v>
      </c>
      <c r="B38" s="121" t="n">
        <v>0</v>
      </c>
      <c r="C38" s="122"/>
      <c r="D38" s="123" t="n">
        <f aca="false">B38+C38</f>
        <v>0</v>
      </c>
      <c r="E38" s="111" t="n">
        <f aca="false">IF(Z38=0,0,IF(AND(Z38=1,$H$3=1),D38*U38,IF($H$3=2,D38,"N/A")))</f>
        <v>0</v>
      </c>
      <c r="F38" s="111" t="n">
        <f aca="false">E38*Y38</f>
        <v>0</v>
      </c>
      <c r="G38" s="124" t="n">
        <f aca="false">VLOOKUP($A38,Table,MATCH(G$4,Curves,0))</f>
        <v>3</v>
      </c>
      <c r="H38" s="125" t="n">
        <f aca="false">G38+$H$7</f>
        <v>3</v>
      </c>
      <c r="I38" s="124" t="n">
        <f aca="false">H38</f>
        <v>3</v>
      </c>
      <c r="J38" s="124" t="n">
        <f aca="false">VLOOKUP($A38,Table,MATCH(J$4,Curves,0))</f>
        <v>4</v>
      </c>
      <c r="K38" s="125" t="n">
        <f aca="false">J38+$K$7</f>
        <v>4</v>
      </c>
      <c r="L38" s="126" t="n">
        <f aca="false">K38</f>
        <v>4</v>
      </c>
      <c r="M38" s="124" t="n">
        <f aca="false">VLOOKUP($A38,Table,MATCH(M$4,Curves,0))</f>
        <v>4</v>
      </c>
      <c r="N38" s="125" t="n">
        <f aca="false">M38+$N$7</f>
        <v>4</v>
      </c>
      <c r="O38" s="126" t="n">
        <f aca="false">IF(B38&gt;0,(1000/B38*0.25)+((B38-1000)/B38*0.12),0)</f>
        <v>0</v>
      </c>
      <c r="P38" s="114"/>
      <c r="Q38" s="126" t="n">
        <f aca="false">M38+J38+G38</f>
        <v>11</v>
      </c>
      <c r="R38" s="126" t="n">
        <f aca="false">N38+K38+H38</f>
        <v>11</v>
      </c>
      <c r="S38" s="126" t="n">
        <f aca="false">O38+L38+I38</f>
        <v>7</v>
      </c>
      <c r="T38" s="127"/>
      <c r="U38" s="5" t="n">
        <f aca="false">A39-A38</f>
        <v>30</v>
      </c>
      <c r="V38" s="128" t="n">
        <f aca="false">CHOOSE(F$3,A39+24,A38)</f>
        <v>38139</v>
      </c>
      <c r="W38" s="5" t="n">
        <f aca="false">V38-C$3</f>
        <v>908</v>
      </c>
      <c r="X38" s="124" t="n">
        <f aca="false">VLOOKUP($A38,Table,MATCH(X$4,Curves,0))</f>
        <v>2</v>
      </c>
      <c r="Y38" s="129" t="n">
        <f aca="false">1/(1+CHOOSE(F$3,(X39+($K$3/10000))/2,(X38+($K$3/10000))/2))^(2*W38/365.25)</f>
        <v>0.031863818351198</v>
      </c>
      <c r="Z38" s="5" t="n">
        <f aca="false">IF(AND(mthbeg&lt;=A38,mthend&gt;=A38),1,0)</f>
        <v>0</v>
      </c>
      <c r="AA38" s="5" t="n">
        <f aca="false">U38*Z38</f>
        <v>0</v>
      </c>
      <c r="AC38" s="115" t="n">
        <f aca="false">IF(G31=2,F38*(S38-Q38),F38*(Q38-S38))</f>
        <v>0</v>
      </c>
      <c r="AE38" s="116" t="n">
        <f aca="false">IF($G$3=1,F38*(R38-Q38),F38*(Q38-R38))</f>
        <v>0</v>
      </c>
      <c r="AG38" s="116" t="n">
        <f aca="false">AC38+AE38</f>
        <v>0</v>
      </c>
    </row>
    <row r="39" customFormat="false" ht="12.75" hidden="false" customHeight="false" outlineLevel="0" collapsed="false">
      <c r="A39" s="120" t="n">
        <f aca="false">EDATE(A38,1)</f>
        <v>38169</v>
      </c>
      <c r="B39" s="121" t="n">
        <v>0</v>
      </c>
      <c r="C39" s="122"/>
      <c r="D39" s="123" t="n">
        <f aca="false">B39+C39</f>
        <v>0</v>
      </c>
      <c r="E39" s="111" t="n">
        <f aca="false">IF(Z39=0,0,IF(AND(Z39=1,$H$3=1),D39*U39,IF($H$3=2,D39,"N/A")))</f>
        <v>0</v>
      </c>
      <c r="F39" s="111" t="n">
        <f aca="false">E39*Y39</f>
        <v>0</v>
      </c>
      <c r="G39" s="124" t="n">
        <f aca="false">VLOOKUP($A39,Table,MATCH(G$4,Curves,0))</f>
        <v>3</v>
      </c>
      <c r="H39" s="125" t="n">
        <f aca="false">G39+$H$7</f>
        <v>3</v>
      </c>
      <c r="I39" s="124" t="n">
        <f aca="false">H39</f>
        <v>3</v>
      </c>
      <c r="J39" s="124" t="n">
        <f aca="false">VLOOKUP($A39,Table,MATCH(J$4,Curves,0))</f>
        <v>4</v>
      </c>
      <c r="K39" s="125" t="n">
        <f aca="false">J39+$K$7</f>
        <v>4</v>
      </c>
      <c r="L39" s="126" t="n">
        <f aca="false">K39</f>
        <v>4</v>
      </c>
      <c r="M39" s="124" t="n">
        <f aca="false">VLOOKUP($A39,Table,MATCH(M$4,Curves,0))</f>
        <v>4</v>
      </c>
      <c r="N39" s="125" t="n">
        <f aca="false">M39+$N$7</f>
        <v>4</v>
      </c>
      <c r="O39" s="126" t="n">
        <f aca="false">IF(B39&gt;0,(1000/B39*0.25)+((B39-1000)/B39*0.12),0)</f>
        <v>0</v>
      </c>
      <c r="P39" s="114"/>
      <c r="Q39" s="126" t="n">
        <f aca="false">M39+J39+G39</f>
        <v>11</v>
      </c>
      <c r="R39" s="126" t="n">
        <f aca="false">N39+K39+H39</f>
        <v>11</v>
      </c>
      <c r="S39" s="126" t="n">
        <f aca="false">O39+L39+I39</f>
        <v>7</v>
      </c>
      <c r="T39" s="127"/>
      <c r="U39" s="5" t="n">
        <f aca="false">A40-A39</f>
        <v>31</v>
      </c>
      <c r="V39" s="128" t="n">
        <f aca="false">CHOOSE(F$3,A40+24,A39)</f>
        <v>38169</v>
      </c>
      <c r="W39" s="5" t="n">
        <f aca="false">V39-C$3</f>
        <v>938</v>
      </c>
      <c r="X39" s="124" t="n">
        <f aca="false">VLOOKUP($A39,Table,MATCH(X$4,Curves,0))</f>
        <v>2</v>
      </c>
      <c r="Y39" s="129" t="n">
        <f aca="false">1/(1+CHOOSE(F$3,(X40+($K$3/10000))/2,(X39+($K$3/10000))/2))^(2*W39/365.25)</f>
        <v>0.0284346118966718</v>
      </c>
      <c r="Z39" s="5" t="n">
        <f aca="false">IF(AND(mthbeg&lt;=A39,mthend&gt;=A39),1,0)</f>
        <v>0</v>
      </c>
      <c r="AA39" s="5" t="n">
        <f aca="false">U39*Z39</f>
        <v>0</v>
      </c>
      <c r="AC39" s="115" t="n">
        <f aca="false">IF(G32=2,F39*(S39-Q39),F39*(Q39-S39))</f>
        <v>0</v>
      </c>
      <c r="AE39" s="116" t="n">
        <f aca="false">IF($G$3=1,F39*(R39-Q39),F39*(Q39-R39))</f>
        <v>0</v>
      </c>
      <c r="AG39" s="116" t="n">
        <f aca="false">AC39+AE39</f>
        <v>0</v>
      </c>
    </row>
    <row r="40" customFormat="false" ht="12.75" hidden="false" customHeight="false" outlineLevel="0" collapsed="false">
      <c r="A40" s="120" t="n">
        <f aca="false">EDATE(A39,1)</f>
        <v>38200</v>
      </c>
      <c r="B40" s="121" t="n">
        <v>0</v>
      </c>
      <c r="C40" s="122"/>
      <c r="D40" s="123" t="n">
        <f aca="false">B40+C40</f>
        <v>0</v>
      </c>
      <c r="E40" s="111" t="n">
        <f aca="false">IF(Z40=0,0,IF(AND(Z40=1,$H$3=1),D40*U40,IF($H$3=2,D40,"N/A")))</f>
        <v>0</v>
      </c>
      <c r="F40" s="111" t="n">
        <f aca="false">E40*Y40</f>
        <v>0</v>
      </c>
      <c r="G40" s="124" t="n">
        <f aca="false">VLOOKUP($A40,Table,MATCH(G$4,Curves,0))</f>
        <v>3</v>
      </c>
      <c r="H40" s="125" t="n">
        <f aca="false">G40+$H$7</f>
        <v>3</v>
      </c>
      <c r="I40" s="124" t="n">
        <f aca="false">H40</f>
        <v>3</v>
      </c>
      <c r="J40" s="124" t="n">
        <f aca="false">VLOOKUP($A40,Table,MATCH(J$4,Curves,0))</f>
        <v>4</v>
      </c>
      <c r="K40" s="125" t="n">
        <f aca="false">J40+$K$7</f>
        <v>4</v>
      </c>
      <c r="L40" s="126" t="n">
        <f aca="false">K40</f>
        <v>4</v>
      </c>
      <c r="M40" s="124" t="n">
        <f aca="false">VLOOKUP($A40,Table,MATCH(M$4,Curves,0))</f>
        <v>4</v>
      </c>
      <c r="N40" s="125" t="n">
        <f aca="false">M40+$N$7</f>
        <v>4</v>
      </c>
      <c r="O40" s="126" t="n">
        <f aca="false">IF(B40&gt;0,(1000/B40*0.25)+((B40-1000)/B40*0.12),0)</f>
        <v>0</v>
      </c>
      <c r="P40" s="114"/>
      <c r="Q40" s="126" t="n">
        <f aca="false">M40+J40+G40</f>
        <v>11</v>
      </c>
      <c r="R40" s="126" t="n">
        <f aca="false">N40+K40+H40</f>
        <v>11</v>
      </c>
      <c r="S40" s="126" t="n">
        <f aca="false">O40+L40+I40</f>
        <v>7</v>
      </c>
      <c r="T40" s="127"/>
      <c r="U40" s="5" t="n">
        <f aca="false">A41-A40</f>
        <v>31</v>
      </c>
      <c r="V40" s="128" t="n">
        <f aca="false">CHOOSE(F$3,A41+24,A40)</f>
        <v>38200</v>
      </c>
      <c r="W40" s="5" t="n">
        <f aca="false">V40-C$3</f>
        <v>969</v>
      </c>
      <c r="X40" s="124" t="n">
        <f aca="false">VLOOKUP($A40,Table,MATCH(X$4,Curves,0))</f>
        <v>2</v>
      </c>
      <c r="Y40" s="129" t="n">
        <f aca="false">1/(1+CHOOSE(F$3,(X41+($K$3/10000))/2,(X40+($K$3/10000))/2))^(2*W40/365.25)</f>
        <v>0.0252783336543544</v>
      </c>
      <c r="Z40" s="5" t="n">
        <f aca="false">IF(AND(mthbeg&lt;=A40,mthend&gt;=A40),1,0)</f>
        <v>0</v>
      </c>
      <c r="AA40" s="5" t="n">
        <f aca="false">U40*Z40</f>
        <v>0</v>
      </c>
      <c r="AC40" s="115" t="n">
        <f aca="false">IF(G33=2,F40*(S40-Q40),F40*(Q40-S40))</f>
        <v>0</v>
      </c>
      <c r="AE40" s="116" t="n">
        <f aca="false">IF($G$3=1,F40*(R40-Q40),F40*(Q40-R40))</f>
        <v>0</v>
      </c>
      <c r="AG40" s="116" t="n">
        <f aca="false">AC40+AE40</f>
        <v>0</v>
      </c>
    </row>
    <row r="41" customFormat="false" ht="12.75" hidden="false" customHeight="false" outlineLevel="0" collapsed="false">
      <c r="A41" s="120" t="n">
        <f aca="false">EDATE(A40,1)</f>
        <v>38231</v>
      </c>
      <c r="B41" s="121" t="n">
        <v>0</v>
      </c>
      <c r="C41" s="122"/>
      <c r="D41" s="123" t="n">
        <f aca="false">B41+C41</f>
        <v>0</v>
      </c>
      <c r="E41" s="111" t="n">
        <f aca="false">IF(Z41=0,0,IF(AND(Z41=1,$H$3=1),D41*U41,IF($H$3=2,D41,"N/A")))</f>
        <v>0</v>
      </c>
      <c r="F41" s="111" t="n">
        <f aca="false">E41*Y41</f>
        <v>0</v>
      </c>
      <c r="G41" s="124" t="n">
        <f aca="false">VLOOKUP($A41,Table,MATCH(G$4,Curves,0))</f>
        <v>3</v>
      </c>
      <c r="H41" s="125" t="n">
        <f aca="false">G41+$H$7</f>
        <v>3</v>
      </c>
      <c r="I41" s="124" t="n">
        <f aca="false">H41</f>
        <v>3</v>
      </c>
      <c r="J41" s="124" t="n">
        <f aca="false">VLOOKUP($A41,Table,MATCH(J$4,Curves,0))</f>
        <v>4</v>
      </c>
      <c r="K41" s="125" t="n">
        <f aca="false">J41+$K$7</f>
        <v>4</v>
      </c>
      <c r="L41" s="126" t="n">
        <f aca="false">K41</f>
        <v>4</v>
      </c>
      <c r="M41" s="124" t="n">
        <f aca="false">VLOOKUP($A41,Table,MATCH(M$4,Curves,0))</f>
        <v>4</v>
      </c>
      <c r="N41" s="125" t="n">
        <f aca="false">M41+$N$7</f>
        <v>4</v>
      </c>
      <c r="O41" s="126" t="n">
        <f aca="false">IF(B41&gt;0,(1000/B41*0.25)+((B41-1000)/B41*0.12),0)</f>
        <v>0</v>
      </c>
      <c r="P41" s="114"/>
      <c r="Q41" s="126" t="n">
        <f aca="false">M41+J41+G41</f>
        <v>11</v>
      </c>
      <c r="R41" s="126" t="n">
        <f aca="false">N41+K41+H41</f>
        <v>11</v>
      </c>
      <c r="S41" s="126" t="n">
        <f aca="false">O41+L41+I41</f>
        <v>7</v>
      </c>
      <c r="T41" s="127"/>
      <c r="U41" s="5" t="n">
        <f aca="false">A42-A41</f>
        <v>30</v>
      </c>
      <c r="V41" s="128" t="n">
        <f aca="false">CHOOSE(F$3,A42+24,A41)</f>
        <v>38231</v>
      </c>
      <c r="W41" s="5" t="n">
        <f aca="false">V41-C$3</f>
        <v>1000</v>
      </c>
      <c r="X41" s="124" t="n">
        <f aca="false">VLOOKUP($A41,Table,MATCH(X$4,Curves,0))</f>
        <v>2</v>
      </c>
      <c r="Y41" s="129" t="n">
        <f aca="false">1/(1+CHOOSE(F$3,(X42+($K$3/10000))/2,(X41+($K$3/10000))/2))^(2*W41/365.25)</f>
        <v>0.022472406328699</v>
      </c>
      <c r="Z41" s="5" t="n">
        <f aca="false">IF(AND(mthbeg&lt;=A41,mthend&gt;=A41),1,0)</f>
        <v>0</v>
      </c>
      <c r="AA41" s="5" t="n">
        <f aca="false">U41*Z41</f>
        <v>0</v>
      </c>
      <c r="AC41" s="115" t="n">
        <f aca="false">IF(G34=2,F41*(S41-Q41),F41*(Q41-S41))</f>
        <v>0</v>
      </c>
      <c r="AE41" s="116" t="n">
        <f aca="false">IF($G$3=1,F41*(R41-Q41),F41*(Q41-R41))</f>
        <v>0</v>
      </c>
      <c r="AG41" s="116" t="n">
        <f aca="false">AC41+AE41</f>
        <v>0</v>
      </c>
    </row>
    <row r="42" customFormat="false" ht="12.75" hidden="false" customHeight="false" outlineLevel="0" collapsed="false">
      <c r="A42" s="120" t="n">
        <f aca="false">EDATE(A41,1)</f>
        <v>38261</v>
      </c>
      <c r="B42" s="121" t="n">
        <v>0</v>
      </c>
      <c r="C42" s="122"/>
      <c r="D42" s="123" t="n">
        <f aca="false">B42+C42</f>
        <v>0</v>
      </c>
      <c r="E42" s="111" t="n">
        <f aca="false">IF(Z42=0,0,IF(AND(Z42=1,$H$3=1),D42*U42,IF($H$3=2,D42,"N/A")))</f>
        <v>0</v>
      </c>
      <c r="F42" s="111" t="n">
        <f aca="false">E42*Y42</f>
        <v>0</v>
      </c>
      <c r="G42" s="124" t="n">
        <f aca="false">VLOOKUP($A42,Table,MATCH(G$4,Curves,0))</f>
        <v>3</v>
      </c>
      <c r="H42" s="125" t="n">
        <f aca="false">G42+$H$7</f>
        <v>3</v>
      </c>
      <c r="I42" s="124" t="n">
        <f aca="false">H42</f>
        <v>3</v>
      </c>
      <c r="J42" s="124" t="n">
        <f aca="false">VLOOKUP($A42,Table,MATCH(J$4,Curves,0))</f>
        <v>4</v>
      </c>
      <c r="K42" s="125" t="n">
        <f aca="false">J42+$K$7</f>
        <v>4</v>
      </c>
      <c r="L42" s="126" t="n">
        <f aca="false">K42</f>
        <v>4</v>
      </c>
      <c r="M42" s="124" t="n">
        <f aca="false">VLOOKUP($A42,Table,MATCH(M$4,Curves,0))</f>
        <v>4</v>
      </c>
      <c r="N42" s="125" t="n">
        <f aca="false">M42+$N$7</f>
        <v>4</v>
      </c>
      <c r="O42" s="126" t="n">
        <f aca="false">IF(B42&gt;0,(1000/B42*0.25)+((B42-1000)/B42*0.12),0)</f>
        <v>0</v>
      </c>
      <c r="P42" s="114"/>
      <c r="Q42" s="126" t="n">
        <f aca="false">M42+J42+G42</f>
        <v>11</v>
      </c>
      <c r="R42" s="126" t="n">
        <f aca="false">N42+K42+H42</f>
        <v>11</v>
      </c>
      <c r="S42" s="126" t="n">
        <f aca="false">O42+L42+I42</f>
        <v>7</v>
      </c>
      <c r="T42" s="127"/>
      <c r="U42" s="5" t="n">
        <f aca="false">A43-A42</f>
        <v>31</v>
      </c>
      <c r="V42" s="128" t="n">
        <f aca="false">CHOOSE(F$3,A43+24,A42)</f>
        <v>38261</v>
      </c>
      <c r="W42" s="5" t="n">
        <f aca="false">V42-C$3</f>
        <v>1030</v>
      </c>
      <c r="X42" s="124" t="n">
        <f aca="false">VLOOKUP($A42,Table,MATCH(X$4,Curves,0))</f>
        <v>2</v>
      </c>
      <c r="Y42" s="129" t="n">
        <f aca="false">1/(1+CHOOSE(F$3,(X43+($K$3/10000))/2,(X42+($K$3/10000))/2))^(2*W42/365.25)</f>
        <v>0.0200539102155923</v>
      </c>
      <c r="Z42" s="5" t="n">
        <f aca="false">IF(AND(mthbeg&lt;=A42,mthend&gt;=A42),1,0)</f>
        <v>0</v>
      </c>
      <c r="AA42" s="5" t="n">
        <f aca="false">U42*Z42</f>
        <v>0</v>
      </c>
      <c r="AC42" s="115" t="n">
        <f aca="false">IF(G35=2,F42*(S42-Q42),F42*(Q42-S42))</f>
        <v>0</v>
      </c>
      <c r="AE42" s="116" t="n">
        <f aca="false">IF($G$3=1,F42*(R42-Q42),F42*(Q42-R42))</f>
        <v>0</v>
      </c>
      <c r="AG42" s="116" t="n">
        <f aca="false">AC42+AE42</f>
        <v>0</v>
      </c>
    </row>
    <row r="43" customFormat="false" ht="12.75" hidden="false" customHeight="false" outlineLevel="0" collapsed="false">
      <c r="A43" s="120" t="n">
        <f aca="false">EDATE(A42,1)</f>
        <v>38292</v>
      </c>
      <c r="B43" s="121" t="n">
        <v>0</v>
      </c>
      <c r="C43" s="122"/>
      <c r="D43" s="123" t="n">
        <f aca="false">B43+C43</f>
        <v>0</v>
      </c>
      <c r="E43" s="111" t="n">
        <f aca="false">IF(Z43=0,0,IF(AND(Z43=1,$H$3=1),D43*U43,IF($H$3=2,D43,"N/A")))</f>
        <v>0</v>
      </c>
      <c r="F43" s="111" t="n">
        <f aca="false">E43*Y43</f>
        <v>0</v>
      </c>
      <c r="G43" s="124" t="n">
        <f aca="false">VLOOKUP($A43,Table,MATCH(G$4,Curves,0))</f>
        <v>3</v>
      </c>
      <c r="H43" s="125" t="n">
        <f aca="false">G43+$H$7</f>
        <v>3</v>
      </c>
      <c r="I43" s="124" t="n">
        <f aca="false">H43</f>
        <v>3</v>
      </c>
      <c r="J43" s="124" t="n">
        <f aca="false">VLOOKUP($A43,Table,MATCH(J$4,Curves,0))</f>
        <v>4</v>
      </c>
      <c r="K43" s="125" t="n">
        <f aca="false">J43+$K$7</f>
        <v>4</v>
      </c>
      <c r="L43" s="126" t="n">
        <f aca="false">K43</f>
        <v>4</v>
      </c>
      <c r="M43" s="124" t="n">
        <f aca="false">VLOOKUP($A43,Table,MATCH(M$4,Curves,0))</f>
        <v>4</v>
      </c>
      <c r="N43" s="125" t="n">
        <f aca="false">M43+$N$7</f>
        <v>4</v>
      </c>
      <c r="O43" s="126" t="n">
        <f aca="false">IF(B43&gt;0,(1000/B43*0.25)+((B43-1000)/B43*0.12),0)</f>
        <v>0</v>
      </c>
      <c r="P43" s="114"/>
      <c r="Q43" s="126" t="n">
        <f aca="false">M43+J43+G43</f>
        <v>11</v>
      </c>
      <c r="R43" s="126" t="n">
        <f aca="false">N43+K43+H43</f>
        <v>11</v>
      </c>
      <c r="S43" s="126" t="n">
        <f aca="false">O43+L43+I43</f>
        <v>7</v>
      </c>
      <c r="T43" s="127"/>
      <c r="U43" s="5" t="n">
        <f aca="false">A44-A43</f>
        <v>30</v>
      </c>
      <c r="V43" s="128" t="n">
        <f aca="false">CHOOSE(F$3,A44+24,A43)</f>
        <v>38292</v>
      </c>
      <c r="W43" s="5" t="n">
        <f aca="false">V43-C$3</f>
        <v>1061</v>
      </c>
      <c r="X43" s="124" t="n">
        <f aca="false">VLOOKUP($A43,Table,MATCH(X$4,Curves,0))</f>
        <v>2</v>
      </c>
      <c r="Y43" s="129" t="n">
        <f aca="false">1/(1+CHOOSE(F$3,(X44+($K$3/10000))/2,(X43+($K$3/10000))/2))^(2*W43/365.25)</f>
        <v>0.0178279005652102</v>
      </c>
      <c r="Z43" s="5" t="n">
        <f aca="false">IF(AND(mthbeg&lt;=A43,mthend&gt;=A43),1,0)</f>
        <v>0</v>
      </c>
      <c r="AA43" s="5" t="n">
        <f aca="false">U43*Z43</f>
        <v>0</v>
      </c>
      <c r="AC43" s="115" t="n">
        <f aca="false">IF(G36=2,F43*(S43-Q43),F43*(Q43-S43))</f>
        <v>0</v>
      </c>
      <c r="AE43" s="116" t="n">
        <f aca="false">IF($G$3=1,F43*(R43-Q43),F43*(Q43-R43))</f>
        <v>0</v>
      </c>
      <c r="AG43" s="116" t="n">
        <f aca="false">AC43+AE43</f>
        <v>0</v>
      </c>
    </row>
    <row r="44" customFormat="false" ht="12.75" hidden="false" customHeight="false" outlineLevel="0" collapsed="false">
      <c r="A44" s="120" t="n">
        <f aca="false">EDATE(A43,1)</f>
        <v>38322</v>
      </c>
      <c r="B44" s="121" t="n">
        <v>0</v>
      </c>
      <c r="C44" s="122"/>
      <c r="D44" s="123" t="n">
        <f aca="false">B44+C44</f>
        <v>0</v>
      </c>
      <c r="E44" s="111" t="n">
        <f aca="false">IF(Z44=0,0,IF(AND(Z44=1,$H$3=1),D44*U44,IF($H$3=2,D44,"N/A")))</f>
        <v>0</v>
      </c>
      <c r="F44" s="111" t="n">
        <f aca="false">E44*Y44</f>
        <v>0</v>
      </c>
      <c r="G44" s="124" t="n">
        <f aca="false">VLOOKUP($A44,Table,MATCH(G$4,Curves,0))</f>
        <v>3</v>
      </c>
      <c r="H44" s="125" t="n">
        <f aca="false">G44+$H$7</f>
        <v>3</v>
      </c>
      <c r="I44" s="124" t="n">
        <f aca="false">H44</f>
        <v>3</v>
      </c>
      <c r="J44" s="124" t="n">
        <f aca="false">VLOOKUP($A44,Table,MATCH(J$4,Curves,0))</f>
        <v>4</v>
      </c>
      <c r="K44" s="125" t="n">
        <f aca="false">J44+$K$7</f>
        <v>4</v>
      </c>
      <c r="L44" s="126" t="n">
        <f aca="false">K44</f>
        <v>4</v>
      </c>
      <c r="M44" s="124" t="n">
        <f aca="false">VLOOKUP($A44,Table,MATCH(M$4,Curves,0))</f>
        <v>4</v>
      </c>
      <c r="N44" s="125" t="n">
        <f aca="false">M44+$N$7</f>
        <v>4</v>
      </c>
      <c r="O44" s="126" t="n">
        <f aca="false">IF(B44&gt;0,(1000/B44*0.25)+((B44-1000)/B44*0.12),0)</f>
        <v>0</v>
      </c>
      <c r="P44" s="114"/>
      <c r="Q44" s="126" t="n">
        <f aca="false">M44+J44+G44</f>
        <v>11</v>
      </c>
      <c r="R44" s="126" t="n">
        <f aca="false">N44+K44+H44</f>
        <v>11</v>
      </c>
      <c r="S44" s="126" t="n">
        <f aca="false">O44+L44+I44</f>
        <v>7</v>
      </c>
      <c r="T44" s="127"/>
      <c r="U44" s="5" t="n">
        <f aca="false">A45-A44</f>
        <v>31</v>
      </c>
      <c r="V44" s="128" t="n">
        <f aca="false">CHOOSE(F$3,A45+24,A44)</f>
        <v>38322</v>
      </c>
      <c r="W44" s="5" t="n">
        <f aca="false">V44-C$3</f>
        <v>1091</v>
      </c>
      <c r="X44" s="124" t="n">
        <f aca="false">VLOOKUP($A44,Table,MATCH(X$4,Curves,0))</f>
        <v>2</v>
      </c>
      <c r="Y44" s="129" t="n">
        <f aca="false">1/(1+CHOOSE(F$3,(X45+($K$3/10000))/2,(X44+($K$3/10000))/2))^(2*W44/365.25)</f>
        <v>0.0159092494162788</v>
      </c>
      <c r="Z44" s="5" t="n">
        <f aca="false">IF(AND(mthbeg&lt;=A44,mthend&gt;=A44),1,0)</f>
        <v>0</v>
      </c>
      <c r="AA44" s="5" t="n">
        <f aca="false">U44*Z44</f>
        <v>0</v>
      </c>
      <c r="AC44" s="115" t="n">
        <f aca="false">IF(G37=2,F44*(S44-Q44),F44*(Q44-S44))</f>
        <v>0</v>
      </c>
      <c r="AE44" s="116" t="n">
        <f aca="false">IF($G$3=1,F44*(R44-Q44),F44*(Q44-R44))</f>
        <v>0</v>
      </c>
      <c r="AG44" s="116" t="n">
        <f aca="false">AC44+AE44</f>
        <v>0</v>
      </c>
    </row>
    <row r="45" customFormat="false" ht="12.75" hidden="false" customHeight="false" outlineLevel="0" collapsed="false">
      <c r="A45" s="120" t="n">
        <f aca="false">EDATE(A44,1)</f>
        <v>38353</v>
      </c>
      <c r="B45" s="121" t="n">
        <v>0</v>
      </c>
      <c r="C45" s="122"/>
      <c r="D45" s="123" t="n">
        <f aca="false">B45+C45</f>
        <v>0</v>
      </c>
      <c r="E45" s="111" t="n">
        <f aca="false">IF(Z45=0,0,IF(AND(Z45=1,$H$3=1),D45*U45,IF($H$3=2,D45,"N/A")))</f>
        <v>0</v>
      </c>
      <c r="F45" s="111" t="n">
        <f aca="false">E45*Y45</f>
        <v>0</v>
      </c>
      <c r="G45" s="124" t="n">
        <f aca="false">VLOOKUP($A45,Table,MATCH(G$4,Curves,0))</f>
        <v>3</v>
      </c>
      <c r="H45" s="125" t="n">
        <f aca="false">G45+$H$7</f>
        <v>3</v>
      </c>
      <c r="I45" s="124" t="n">
        <f aca="false">H45</f>
        <v>3</v>
      </c>
      <c r="J45" s="124" t="n">
        <f aca="false">VLOOKUP($A45,Table,MATCH(J$4,Curves,0))</f>
        <v>4</v>
      </c>
      <c r="K45" s="125" t="n">
        <f aca="false">J45+$K$7</f>
        <v>4</v>
      </c>
      <c r="L45" s="126" t="n">
        <f aca="false">K45</f>
        <v>4</v>
      </c>
      <c r="M45" s="124" t="n">
        <f aca="false">VLOOKUP($A45,Table,MATCH(M$4,Curves,0))</f>
        <v>4</v>
      </c>
      <c r="N45" s="125" t="n">
        <f aca="false">M45+$N$7</f>
        <v>4</v>
      </c>
      <c r="O45" s="126" t="n">
        <f aca="false">IF(B45&gt;0,(1000/B45*0.25)+((B45-1000)/B45*0.12),0)</f>
        <v>0</v>
      </c>
      <c r="P45" s="114"/>
      <c r="Q45" s="126" t="n">
        <f aca="false">M45+J45+G45</f>
        <v>11</v>
      </c>
      <c r="R45" s="126" t="n">
        <f aca="false">N45+K45+H45</f>
        <v>11</v>
      </c>
      <c r="S45" s="126" t="n">
        <f aca="false">O45+L45+I45</f>
        <v>7</v>
      </c>
      <c r="T45" s="127"/>
      <c r="U45" s="5" t="n">
        <f aca="false">A46-A45</f>
        <v>31</v>
      </c>
      <c r="V45" s="128" t="n">
        <f aca="false">CHOOSE(F$3,A46+24,A45)</f>
        <v>38353</v>
      </c>
      <c r="W45" s="5" t="n">
        <f aca="false">V45-C$3</f>
        <v>1122</v>
      </c>
      <c r="X45" s="124" t="n">
        <f aca="false">VLOOKUP($A45,Table,MATCH(X$4,Curves,0))</f>
        <v>2</v>
      </c>
      <c r="Y45" s="129" t="n">
        <f aca="false">1/(1+CHOOSE(F$3,(X46+($K$3/10000))/2,(X45+($K$3/10000))/2))^(2*W45/365.25)</f>
        <v>0.0141433024089247</v>
      </c>
      <c r="Z45" s="5" t="n">
        <f aca="false">IF(AND(mthbeg&lt;=A45,mthend&gt;=A45),1,0)</f>
        <v>0</v>
      </c>
      <c r="AA45" s="5" t="n">
        <f aca="false">U45*Z45</f>
        <v>0</v>
      </c>
      <c r="AC45" s="115" t="n">
        <f aca="false">IF(G38=2,F45*(S45-Q45),F45*(Q45-S45))</f>
        <v>0</v>
      </c>
      <c r="AE45" s="116" t="n">
        <f aca="false">IF($G$3=1,F45*(R45-Q45),F45*(Q45-R45))</f>
        <v>0</v>
      </c>
      <c r="AG45" s="116" t="n">
        <f aca="false">AC45+AE45</f>
        <v>0</v>
      </c>
    </row>
    <row r="46" customFormat="false" ht="12.75" hidden="false" customHeight="false" outlineLevel="0" collapsed="false">
      <c r="A46" s="120" t="n">
        <f aca="false">EDATE(A45,1)</f>
        <v>38384</v>
      </c>
      <c r="B46" s="121" t="n">
        <v>0</v>
      </c>
      <c r="C46" s="122"/>
      <c r="D46" s="123" t="n">
        <f aca="false">B46+C46</f>
        <v>0</v>
      </c>
      <c r="E46" s="111" t="n">
        <f aca="false">IF(Z46=0,0,IF(AND(Z46=1,$H$3=1),D46*U46,IF($H$3=2,D46,"N/A")))</f>
        <v>0</v>
      </c>
      <c r="F46" s="111" t="n">
        <f aca="false">E46*Y46</f>
        <v>0</v>
      </c>
      <c r="G46" s="124" t="n">
        <f aca="false">VLOOKUP($A46,Table,MATCH(G$4,Curves,0))</f>
        <v>3</v>
      </c>
      <c r="H46" s="125" t="n">
        <f aca="false">G46+$H$7</f>
        <v>3</v>
      </c>
      <c r="I46" s="124" t="n">
        <f aca="false">H46</f>
        <v>3</v>
      </c>
      <c r="J46" s="124" t="n">
        <f aca="false">VLOOKUP($A46,Table,MATCH(J$4,Curves,0))</f>
        <v>4</v>
      </c>
      <c r="K46" s="125" t="n">
        <f aca="false">J46+$K$7</f>
        <v>4</v>
      </c>
      <c r="L46" s="126" t="n">
        <f aca="false">K46</f>
        <v>4</v>
      </c>
      <c r="M46" s="124" t="n">
        <f aca="false">VLOOKUP($A46,Table,MATCH(M$4,Curves,0))</f>
        <v>4</v>
      </c>
      <c r="N46" s="125" t="n">
        <f aca="false">M46+$N$7</f>
        <v>4</v>
      </c>
      <c r="O46" s="126" t="n">
        <f aca="false">IF(B46&gt;0,(1000/B46*0.25)+((B46-1000)/B46*0.12),0)</f>
        <v>0</v>
      </c>
      <c r="P46" s="114"/>
      <c r="Q46" s="126" t="n">
        <f aca="false">M46+J46+G46</f>
        <v>11</v>
      </c>
      <c r="R46" s="126" t="n">
        <f aca="false">N46+K46+H46</f>
        <v>11</v>
      </c>
      <c r="S46" s="126" t="n">
        <f aca="false">O46+L46+I46</f>
        <v>7</v>
      </c>
      <c r="T46" s="127"/>
      <c r="U46" s="5" t="n">
        <f aca="false">A47-A46</f>
        <v>28</v>
      </c>
      <c r="V46" s="128" t="n">
        <f aca="false">CHOOSE(F$3,A47+24,A46)</f>
        <v>38384</v>
      </c>
      <c r="W46" s="5" t="n">
        <f aca="false">V46-C$3</f>
        <v>1153</v>
      </c>
      <c r="X46" s="124" t="n">
        <f aca="false">VLOOKUP($A46,Table,MATCH(X$4,Curves,0))</f>
        <v>2</v>
      </c>
      <c r="Y46" s="129" t="n">
        <f aca="false">1/(1+CHOOSE(F$3,(X47+($K$3/10000))/2,(X46+($K$3/10000))/2))^(2*W46/365.25)</f>
        <v>0.0125733777751713</v>
      </c>
      <c r="Z46" s="5" t="n">
        <f aca="false">IF(AND(mthbeg&lt;=A46,mthend&gt;=A46),1,0)</f>
        <v>0</v>
      </c>
      <c r="AA46" s="5" t="n">
        <f aca="false">U46*Z46</f>
        <v>0</v>
      </c>
      <c r="AC46" s="115" t="n">
        <f aca="false">IF(G39=2,F46*(S46-Q46),F46*(Q46-S46))</f>
        <v>0</v>
      </c>
      <c r="AE46" s="116" t="n">
        <f aca="false">IF($G$3=1,F46*(R46-Q46),F46*(Q46-R46))</f>
        <v>0</v>
      </c>
      <c r="AG46" s="116" t="n">
        <f aca="false">AC46+AE46</f>
        <v>0</v>
      </c>
    </row>
    <row r="47" customFormat="false" ht="12.75" hidden="false" customHeight="false" outlineLevel="0" collapsed="false">
      <c r="A47" s="120" t="n">
        <f aca="false">EDATE(A46,1)</f>
        <v>38412</v>
      </c>
      <c r="B47" s="121" t="n">
        <v>0</v>
      </c>
      <c r="C47" s="122"/>
      <c r="D47" s="123" t="n">
        <f aca="false">B47+C47</f>
        <v>0</v>
      </c>
      <c r="E47" s="111" t="n">
        <f aca="false">IF(Z47=0,0,IF(AND(Z47=1,$H$3=1),D47*U47,IF($H$3=2,D47,"N/A")))</f>
        <v>0</v>
      </c>
      <c r="F47" s="111" t="n">
        <f aca="false">E47*Y47</f>
        <v>0</v>
      </c>
      <c r="G47" s="124" t="n">
        <f aca="false">VLOOKUP($A47,Table,MATCH(G$4,Curves,0))</f>
        <v>3</v>
      </c>
      <c r="H47" s="125" t="n">
        <f aca="false">G47+$H$7</f>
        <v>3</v>
      </c>
      <c r="I47" s="124" t="n">
        <f aca="false">H47</f>
        <v>3</v>
      </c>
      <c r="J47" s="124" t="n">
        <f aca="false">VLOOKUP($A47,Table,MATCH(J$4,Curves,0))</f>
        <v>4</v>
      </c>
      <c r="K47" s="125" t="n">
        <f aca="false">J47+$K$7</f>
        <v>4</v>
      </c>
      <c r="L47" s="126" t="n">
        <f aca="false">K47</f>
        <v>4</v>
      </c>
      <c r="M47" s="124" t="n">
        <f aca="false">VLOOKUP($A47,Table,MATCH(M$4,Curves,0))</f>
        <v>4</v>
      </c>
      <c r="N47" s="125" t="n">
        <f aca="false">M47+$N$7</f>
        <v>4</v>
      </c>
      <c r="O47" s="126" t="n">
        <f aca="false">IF(B47&gt;0,(1000/B47*0.25)+((B47-1000)/B47*0.12),0)</f>
        <v>0</v>
      </c>
      <c r="P47" s="114"/>
      <c r="Q47" s="126" t="n">
        <f aca="false">M47+J47+G47</f>
        <v>11</v>
      </c>
      <c r="R47" s="126" t="n">
        <f aca="false">N47+K47+H47</f>
        <v>11</v>
      </c>
      <c r="S47" s="126" t="n">
        <f aca="false">O47+L47+I47</f>
        <v>7</v>
      </c>
      <c r="T47" s="127"/>
      <c r="U47" s="5" t="n">
        <f aca="false">A48-A47</f>
        <v>31</v>
      </c>
      <c r="V47" s="128" t="n">
        <f aca="false">CHOOSE(F$3,A48+24,A47)</f>
        <v>38412</v>
      </c>
      <c r="W47" s="5" t="n">
        <f aca="false">V47-C$3</f>
        <v>1181</v>
      </c>
      <c r="X47" s="124" t="n">
        <f aca="false">VLOOKUP($A47,Table,MATCH(X$4,Curves,0))</f>
        <v>2</v>
      </c>
      <c r="Y47" s="129" t="n">
        <f aca="false">1/(1+CHOOSE(F$3,(X48+($K$3/10000))/2,(X47+($K$3/10000))/2))^(2*W47/365.25)</f>
        <v>0.011305718104576</v>
      </c>
      <c r="Z47" s="5" t="n">
        <f aca="false">IF(AND(mthbeg&lt;=A47,mthend&gt;=A47),1,0)</f>
        <v>0</v>
      </c>
      <c r="AA47" s="5" t="n">
        <f aca="false">U47*Z47</f>
        <v>0</v>
      </c>
      <c r="AC47" s="115" t="n">
        <f aca="false">IF(G40=2,F47*(S47-Q47),F47*(Q47-S47))</f>
        <v>0</v>
      </c>
      <c r="AE47" s="116" t="n">
        <f aca="false">IF($G$3=1,F47*(R47-Q47),F47*(Q47-R47))</f>
        <v>0</v>
      </c>
      <c r="AG47" s="116" t="n">
        <f aca="false">AC47+AE47</f>
        <v>0</v>
      </c>
    </row>
    <row r="48" customFormat="false" ht="12.75" hidden="false" customHeight="false" outlineLevel="0" collapsed="false">
      <c r="A48" s="120" t="n">
        <f aca="false">EDATE(A47,1)</f>
        <v>38443</v>
      </c>
      <c r="B48" s="121" t="n">
        <v>0</v>
      </c>
      <c r="C48" s="122"/>
      <c r="D48" s="123" t="n">
        <f aca="false">B48+C48</f>
        <v>0</v>
      </c>
      <c r="E48" s="111" t="n">
        <f aca="false">IF(Z48=0,0,IF(AND(Z48=1,$H$3=1),D48*U48,IF($H$3=2,D48,"N/A")))</f>
        <v>0</v>
      </c>
      <c r="F48" s="111" t="n">
        <f aca="false">E48*Y48</f>
        <v>0</v>
      </c>
      <c r="G48" s="124" t="n">
        <f aca="false">VLOOKUP($A48,Table,MATCH(G$4,Curves,0))</f>
        <v>3</v>
      </c>
      <c r="H48" s="125" t="n">
        <f aca="false">G48+$H$7</f>
        <v>3</v>
      </c>
      <c r="I48" s="124" t="n">
        <f aca="false">H48</f>
        <v>3</v>
      </c>
      <c r="J48" s="124" t="n">
        <f aca="false">VLOOKUP($A48,Table,MATCH(J$4,Curves,0))</f>
        <v>4</v>
      </c>
      <c r="K48" s="125" t="n">
        <f aca="false">J48+$K$7</f>
        <v>4</v>
      </c>
      <c r="L48" s="126" t="n">
        <f aca="false">K48</f>
        <v>4</v>
      </c>
      <c r="M48" s="124" t="n">
        <f aca="false">VLOOKUP($A48,Table,MATCH(M$4,Curves,0))</f>
        <v>4</v>
      </c>
      <c r="N48" s="125" t="n">
        <f aca="false">M48+$N$7</f>
        <v>4</v>
      </c>
      <c r="O48" s="126" t="n">
        <f aca="false">IF(B48&gt;0,(1000/B48*0.25)+((B48-1000)/B48*0.12),0)</f>
        <v>0</v>
      </c>
      <c r="P48" s="114"/>
      <c r="Q48" s="126" t="n">
        <f aca="false">M48+J48+G48</f>
        <v>11</v>
      </c>
      <c r="R48" s="126" t="n">
        <f aca="false">N48+K48+H48</f>
        <v>11</v>
      </c>
      <c r="S48" s="126" t="n">
        <f aca="false">O48+L48+I48</f>
        <v>7</v>
      </c>
      <c r="T48" s="127"/>
      <c r="U48" s="5" t="n">
        <f aca="false">A49-A48</f>
        <v>30</v>
      </c>
      <c r="V48" s="128" t="n">
        <f aca="false">CHOOSE(F$3,A49+24,A48)</f>
        <v>38443</v>
      </c>
      <c r="W48" s="5" t="n">
        <f aca="false">V48-C$3</f>
        <v>1212</v>
      </c>
      <c r="X48" s="124" t="n">
        <f aca="false">VLOOKUP($A48,Table,MATCH(X$4,Curves,0))</f>
        <v>2</v>
      </c>
      <c r="Y48" s="129" t="n">
        <f aca="false">1/(1+CHOOSE(F$3,(X49+($K$3/10000))/2,(X48+($K$3/10000))/2))^(2*W48/365.25)</f>
        <v>0.0100507689532769</v>
      </c>
      <c r="Z48" s="5" t="n">
        <f aca="false">IF(AND(mthbeg&lt;=A48,mthend&gt;=A48),1,0)</f>
        <v>0</v>
      </c>
      <c r="AA48" s="5" t="n">
        <f aca="false">U48*Z48</f>
        <v>0</v>
      </c>
      <c r="AC48" s="115" t="n">
        <f aca="false">IF(G41=2,F48*(S48-Q48),F48*(Q48-S48))</f>
        <v>0</v>
      </c>
      <c r="AE48" s="116" t="n">
        <f aca="false">IF($G$3=1,F48*(R48-Q48),F48*(Q48-R48))</f>
        <v>0</v>
      </c>
      <c r="AG48" s="116" t="n">
        <f aca="false">AC48+AE48</f>
        <v>0</v>
      </c>
    </row>
    <row r="49" customFormat="false" ht="12.75" hidden="false" customHeight="false" outlineLevel="0" collapsed="false">
      <c r="A49" s="120" t="n">
        <f aca="false">EDATE(A48,1)</f>
        <v>38473</v>
      </c>
      <c r="B49" s="121" t="n">
        <v>0</v>
      </c>
      <c r="C49" s="122"/>
      <c r="D49" s="123" t="n">
        <f aca="false">B49+C49</f>
        <v>0</v>
      </c>
      <c r="E49" s="111" t="n">
        <f aca="false">IF(Z49=0,0,IF(AND(Z49=1,$H$3=1),D49*U49,IF($H$3=2,D49,"N/A")))</f>
        <v>0</v>
      </c>
      <c r="F49" s="111" t="n">
        <f aca="false">E49*Y49</f>
        <v>0</v>
      </c>
      <c r="G49" s="124" t="n">
        <f aca="false">VLOOKUP($A49,Table,MATCH(G$4,Curves,0))</f>
        <v>3</v>
      </c>
      <c r="H49" s="125" t="n">
        <f aca="false">G49+$H$7</f>
        <v>3</v>
      </c>
      <c r="I49" s="124" t="n">
        <f aca="false">H49</f>
        <v>3</v>
      </c>
      <c r="J49" s="124" t="n">
        <f aca="false">VLOOKUP($A49,Table,MATCH(J$4,Curves,0))</f>
        <v>4</v>
      </c>
      <c r="K49" s="125" t="n">
        <f aca="false">J49+$K$7</f>
        <v>4</v>
      </c>
      <c r="L49" s="126" t="n">
        <f aca="false">K49</f>
        <v>4</v>
      </c>
      <c r="M49" s="124" t="n">
        <f aca="false">VLOOKUP($A49,Table,MATCH(M$4,Curves,0))</f>
        <v>4</v>
      </c>
      <c r="N49" s="125" t="n">
        <f aca="false">M49+$N$7</f>
        <v>4</v>
      </c>
      <c r="O49" s="126" t="n">
        <f aca="false">IF(B49&gt;0,(1000/B49*0.25)+((B49-1000)/B49*0.12),0)</f>
        <v>0</v>
      </c>
      <c r="P49" s="114"/>
      <c r="Q49" s="126" t="n">
        <f aca="false">M49+J49+G49</f>
        <v>11</v>
      </c>
      <c r="R49" s="126" t="n">
        <f aca="false">N49+K49+H49</f>
        <v>11</v>
      </c>
      <c r="S49" s="126" t="n">
        <f aca="false">O49+L49+I49</f>
        <v>7</v>
      </c>
      <c r="T49" s="127"/>
      <c r="U49" s="5" t="n">
        <f aca="false">A50-A49</f>
        <v>31</v>
      </c>
      <c r="V49" s="128" t="n">
        <f aca="false">CHOOSE(F$3,A50+24,A49)</f>
        <v>38473</v>
      </c>
      <c r="W49" s="5" t="n">
        <f aca="false">V49-C$3</f>
        <v>1242</v>
      </c>
      <c r="X49" s="124" t="n">
        <f aca="false">VLOOKUP($A49,Table,MATCH(X$4,Curves,0))</f>
        <v>2</v>
      </c>
      <c r="Y49" s="129" t="n">
        <f aca="false">1/(1+CHOOSE(F$3,(X50+($K$3/10000))/2,(X49+($K$3/10000))/2))^(2*W49/365.25)</f>
        <v>0.00896909815702623</v>
      </c>
      <c r="Z49" s="5" t="n">
        <f aca="false">IF(AND(mthbeg&lt;=A49,mthend&gt;=A49),1,0)</f>
        <v>0</v>
      </c>
      <c r="AA49" s="5" t="n">
        <f aca="false">U49*Z49</f>
        <v>0</v>
      </c>
      <c r="AC49" s="115" t="n">
        <f aca="false">IF(G42=2,F49*(S49-Q49),F49*(Q49-S49))</f>
        <v>0</v>
      </c>
      <c r="AE49" s="116" t="n">
        <f aca="false">IF($G$3=1,F49*(R49-Q49),F49*(Q49-R49))</f>
        <v>0</v>
      </c>
      <c r="AG49" s="116" t="n">
        <f aca="false">AC49+AE49</f>
        <v>0</v>
      </c>
    </row>
    <row r="50" customFormat="false" ht="12.75" hidden="false" customHeight="false" outlineLevel="0" collapsed="false">
      <c r="A50" s="120" t="n">
        <f aca="false">EDATE(A49,1)</f>
        <v>38504</v>
      </c>
      <c r="B50" s="121" t="n">
        <v>0</v>
      </c>
      <c r="C50" s="122"/>
      <c r="D50" s="123" t="n">
        <f aca="false">B50+C50</f>
        <v>0</v>
      </c>
      <c r="E50" s="111" t="n">
        <f aca="false">IF(Z50=0,0,IF(AND(Z50=1,$H$3=1),D50*U50,IF($H$3=2,D50,"N/A")))</f>
        <v>0</v>
      </c>
      <c r="F50" s="111" t="n">
        <f aca="false">E50*Y50</f>
        <v>0</v>
      </c>
      <c r="G50" s="124" t="n">
        <f aca="false">VLOOKUP($A50,Table,MATCH(G$4,Curves,0))</f>
        <v>3</v>
      </c>
      <c r="H50" s="125" t="n">
        <f aca="false">G50+$H$7</f>
        <v>3</v>
      </c>
      <c r="I50" s="124" t="n">
        <f aca="false">H50</f>
        <v>3</v>
      </c>
      <c r="J50" s="124" t="n">
        <f aca="false">VLOOKUP($A50,Table,MATCH(J$4,Curves,0))</f>
        <v>4</v>
      </c>
      <c r="K50" s="125" t="n">
        <f aca="false">J50+$K$7</f>
        <v>4</v>
      </c>
      <c r="L50" s="126" t="n">
        <f aca="false">K50</f>
        <v>4</v>
      </c>
      <c r="M50" s="124" t="n">
        <f aca="false">VLOOKUP($A50,Table,MATCH(M$4,Curves,0))</f>
        <v>4</v>
      </c>
      <c r="N50" s="125" t="n">
        <f aca="false">M50+$N$7</f>
        <v>4</v>
      </c>
      <c r="O50" s="126" t="n">
        <f aca="false">IF(B50&gt;0,(1000/B50*0.25)+((B50-1000)/B50*0.12),0)</f>
        <v>0</v>
      </c>
      <c r="P50" s="114"/>
      <c r="Q50" s="126" t="n">
        <f aca="false">M50+J50+G50</f>
        <v>11</v>
      </c>
      <c r="R50" s="126" t="n">
        <f aca="false">N50+K50+H50</f>
        <v>11</v>
      </c>
      <c r="S50" s="126" t="n">
        <f aca="false">O50+L50+I50</f>
        <v>7</v>
      </c>
      <c r="T50" s="127"/>
      <c r="U50" s="5" t="n">
        <f aca="false">A51-A50</f>
        <v>30</v>
      </c>
      <c r="V50" s="128" t="n">
        <f aca="false">CHOOSE(F$3,A51+24,A50)</f>
        <v>38504</v>
      </c>
      <c r="W50" s="5" t="n">
        <f aca="false">V50-C$3</f>
        <v>1273</v>
      </c>
      <c r="X50" s="124" t="n">
        <f aca="false">VLOOKUP($A50,Table,MATCH(X$4,Curves,0))</f>
        <v>2</v>
      </c>
      <c r="Y50" s="129" t="n">
        <f aca="false">1/(1+CHOOSE(F$3,(X51+($K$3/10000))/2,(X50+($K$3/10000))/2))^(2*W50/365.25)</f>
        <v>0.0079735168046553</v>
      </c>
      <c r="Z50" s="5" t="n">
        <f aca="false">IF(AND(mthbeg&lt;=A50,mthend&gt;=A50),1,0)</f>
        <v>0</v>
      </c>
      <c r="AA50" s="5" t="n">
        <f aca="false">U50*Z50</f>
        <v>0</v>
      </c>
      <c r="AC50" s="115" t="n">
        <f aca="false">IF(G43=2,F50*(S50-Q50),F50*(Q50-S50))</f>
        <v>0</v>
      </c>
      <c r="AE50" s="116" t="n">
        <f aca="false">IF($G$3=1,F50*(R50-Q50),F50*(Q50-R50))</f>
        <v>0</v>
      </c>
      <c r="AG50" s="116" t="n">
        <f aca="false">AC50+AE50</f>
        <v>0</v>
      </c>
    </row>
    <row r="51" customFormat="false" ht="12.75" hidden="false" customHeight="false" outlineLevel="0" collapsed="false">
      <c r="A51" s="120" t="n">
        <f aca="false">EDATE(A50,1)</f>
        <v>38534</v>
      </c>
      <c r="B51" s="121" t="n">
        <v>0</v>
      </c>
      <c r="C51" s="122"/>
      <c r="D51" s="123" t="n">
        <f aca="false">B51+C51</f>
        <v>0</v>
      </c>
      <c r="E51" s="111" t="n">
        <f aca="false">IF(Z51=0,0,IF(AND(Z51=1,$H$3=1),D51*U51,IF($H$3=2,D51,"N/A")))</f>
        <v>0</v>
      </c>
      <c r="F51" s="111" t="n">
        <f aca="false">E51*Y51</f>
        <v>0</v>
      </c>
      <c r="G51" s="124" t="n">
        <f aca="false">VLOOKUP($A51,Table,MATCH(G$4,Curves,0))</f>
        <v>3</v>
      </c>
      <c r="H51" s="125" t="n">
        <f aca="false">G51+$H$7</f>
        <v>3</v>
      </c>
      <c r="I51" s="124" t="n">
        <f aca="false">H51</f>
        <v>3</v>
      </c>
      <c r="J51" s="124" t="n">
        <f aca="false">VLOOKUP($A51,Table,MATCH(J$4,Curves,0))</f>
        <v>4</v>
      </c>
      <c r="K51" s="125" t="n">
        <f aca="false">J51+$K$7</f>
        <v>4</v>
      </c>
      <c r="L51" s="126" t="n">
        <f aca="false">K51</f>
        <v>4</v>
      </c>
      <c r="M51" s="124" t="n">
        <f aca="false">VLOOKUP($A51,Table,MATCH(M$4,Curves,0))</f>
        <v>4</v>
      </c>
      <c r="N51" s="125" t="n">
        <f aca="false">M51+$N$7</f>
        <v>4</v>
      </c>
      <c r="O51" s="126" t="n">
        <f aca="false">IF(B51&gt;0,(1000/B51*0.25)+((B51-1000)/B51*0.12),0)</f>
        <v>0</v>
      </c>
      <c r="P51" s="114"/>
      <c r="Q51" s="126" t="n">
        <f aca="false">M51+J51+G51</f>
        <v>11</v>
      </c>
      <c r="R51" s="126" t="n">
        <f aca="false">N51+K51+H51</f>
        <v>11</v>
      </c>
      <c r="S51" s="126" t="n">
        <f aca="false">O51+L51+I51</f>
        <v>7</v>
      </c>
      <c r="T51" s="127"/>
      <c r="U51" s="5" t="n">
        <f aca="false">A52-A51</f>
        <v>31</v>
      </c>
      <c r="V51" s="128" t="n">
        <f aca="false">CHOOSE(F$3,A52+24,A51)</f>
        <v>38534</v>
      </c>
      <c r="W51" s="5" t="n">
        <f aca="false">V51-C$3</f>
        <v>1303</v>
      </c>
      <c r="X51" s="124" t="n">
        <f aca="false">VLOOKUP($A51,Table,MATCH(X$4,Curves,0))</f>
        <v>2</v>
      </c>
      <c r="Y51" s="129" t="n">
        <f aca="false">1/(1+CHOOSE(F$3,(X52+($K$3/10000))/2,(X51+($K$3/10000))/2))^(2*W51/365.25)</f>
        <v>0.00711540133994771</v>
      </c>
      <c r="Z51" s="5" t="n">
        <f aca="false">IF(AND(mthbeg&lt;=A51,mthend&gt;=A51),1,0)</f>
        <v>0</v>
      </c>
      <c r="AA51" s="5" t="n">
        <f aca="false">U51*Z51</f>
        <v>0</v>
      </c>
      <c r="AC51" s="115" t="n">
        <f aca="false">IF(G44=2,F51*(S51-Q51),F51*(Q51-S51))</f>
        <v>0</v>
      </c>
      <c r="AE51" s="116" t="n">
        <f aca="false">IF($G$3=1,F51*(R51-Q51),F51*(Q51-R51))</f>
        <v>0</v>
      </c>
      <c r="AG51" s="116" t="n">
        <f aca="false">AC51+AE51</f>
        <v>0</v>
      </c>
    </row>
    <row r="52" customFormat="false" ht="12.75" hidden="false" customHeight="false" outlineLevel="0" collapsed="false">
      <c r="A52" s="120" t="n">
        <f aca="false">EDATE(A51,1)</f>
        <v>38565</v>
      </c>
      <c r="B52" s="121" t="n">
        <v>0</v>
      </c>
      <c r="C52" s="122"/>
      <c r="D52" s="123" t="n">
        <f aca="false">B52+C52</f>
        <v>0</v>
      </c>
      <c r="E52" s="111" t="n">
        <f aca="false">IF(Z52=0,0,IF(AND(Z52=1,$H$3=1),D52*U52,IF($H$3=2,D52,"N/A")))</f>
        <v>0</v>
      </c>
      <c r="F52" s="111" t="n">
        <f aca="false">E52*Y52</f>
        <v>0</v>
      </c>
      <c r="G52" s="124" t="n">
        <f aca="false">VLOOKUP($A52,Table,MATCH(G$4,Curves,0))</f>
        <v>3</v>
      </c>
      <c r="H52" s="125" t="n">
        <f aca="false">G52+$H$7</f>
        <v>3</v>
      </c>
      <c r="I52" s="124" t="n">
        <f aca="false">H52</f>
        <v>3</v>
      </c>
      <c r="J52" s="124" t="n">
        <f aca="false">VLOOKUP($A52,Table,MATCH(J$4,Curves,0))</f>
        <v>4</v>
      </c>
      <c r="K52" s="125" t="n">
        <f aca="false">J52+$K$7</f>
        <v>4</v>
      </c>
      <c r="L52" s="126" t="n">
        <f aca="false">K52</f>
        <v>4</v>
      </c>
      <c r="M52" s="124" t="n">
        <f aca="false">VLOOKUP($A52,Table,MATCH(M$4,Curves,0))</f>
        <v>4</v>
      </c>
      <c r="N52" s="125" t="n">
        <f aca="false">M52+$N$7</f>
        <v>4</v>
      </c>
      <c r="O52" s="126" t="n">
        <f aca="false">IF(B52&gt;0,(1000/B52*0.25)+((B52-1000)/B52*0.12),0)</f>
        <v>0</v>
      </c>
      <c r="P52" s="114"/>
      <c r="Q52" s="126" t="n">
        <f aca="false">M52+J52+G52</f>
        <v>11</v>
      </c>
      <c r="R52" s="126" t="n">
        <f aca="false">N52+K52+H52</f>
        <v>11</v>
      </c>
      <c r="S52" s="126" t="n">
        <f aca="false">O52+L52+I52</f>
        <v>7</v>
      </c>
      <c r="T52" s="127"/>
      <c r="U52" s="5" t="n">
        <f aca="false">A53-A52</f>
        <v>31</v>
      </c>
      <c r="V52" s="128" t="n">
        <f aca="false">CHOOSE(F$3,A53+24,A52)</f>
        <v>38565</v>
      </c>
      <c r="W52" s="5" t="n">
        <f aca="false">V52-C$3</f>
        <v>1334</v>
      </c>
      <c r="X52" s="124" t="n">
        <f aca="false">VLOOKUP($A52,Table,MATCH(X$4,Curves,0))</f>
        <v>2</v>
      </c>
      <c r="Y52" s="129" t="n">
        <f aca="false">1/(1+CHOOSE(F$3,(X53+($K$3/10000))/2,(X52+($K$3/10000))/2))^(2*W52/365.25)</f>
        <v>0.00632558270214659</v>
      </c>
      <c r="Z52" s="5" t="n">
        <f aca="false">IF(AND(mthbeg&lt;=A52,mthend&gt;=A52),1,0)</f>
        <v>0</v>
      </c>
      <c r="AA52" s="5" t="n">
        <f aca="false">U52*Z52</f>
        <v>0</v>
      </c>
      <c r="AC52" s="115" t="n">
        <f aca="false">IF(G45=2,F52*(S52-Q52),F52*(Q52-S52))</f>
        <v>0</v>
      </c>
      <c r="AE52" s="116" t="n">
        <f aca="false">IF($G$3=1,F52*(R52-Q52),F52*(Q52-R52))</f>
        <v>0</v>
      </c>
      <c r="AG52" s="116" t="n">
        <f aca="false">AC52+AE52</f>
        <v>0</v>
      </c>
    </row>
    <row r="53" customFormat="false" ht="12.75" hidden="false" customHeight="false" outlineLevel="0" collapsed="false">
      <c r="A53" s="120" t="n">
        <f aca="false">EDATE(A52,1)</f>
        <v>38596</v>
      </c>
      <c r="B53" s="121" t="n">
        <v>0</v>
      </c>
      <c r="C53" s="122"/>
      <c r="D53" s="123" t="n">
        <f aca="false">B53+C53</f>
        <v>0</v>
      </c>
      <c r="E53" s="111" t="n">
        <f aca="false">IF(Z53=0,0,IF(AND(Z53=1,$H$3=1),D53*U53,IF($H$3=2,D53,"N/A")))</f>
        <v>0</v>
      </c>
      <c r="F53" s="111" t="n">
        <f aca="false">E53*Y53</f>
        <v>0</v>
      </c>
      <c r="G53" s="124" t="n">
        <f aca="false">VLOOKUP($A53,Table,MATCH(G$4,Curves,0))</f>
        <v>3</v>
      </c>
      <c r="H53" s="125" t="n">
        <f aca="false">G53+$H$7</f>
        <v>3</v>
      </c>
      <c r="I53" s="124" t="n">
        <f aca="false">H53</f>
        <v>3</v>
      </c>
      <c r="J53" s="124" t="n">
        <f aca="false">VLOOKUP($A53,Table,MATCH(J$4,Curves,0))</f>
        <v>4</v>
      </c>
      <c r="K53" s="125" t="n">
        <f aca="false">J53+$K$7</f>
        <v>4</v>
      </c>
      <c r="L53" s="126" t="n">
        <f aca="false">K53</f>
        <v>4</v>
      </c>
      <c r="M53" s="124" t="n">
        <f aca="false">VLOOKUP($A53,Table,MATCH(M$4,Curves,0))</f>
        <v>4</v>
      </c>
      <c r="N53" s="125" t="n">
        <f aca="false">M53+$N$7</f>
        <v>4</v>
      </c>
      <c r="O53" s="126" t="n">
        <f aca="false">IF(B53&gt;0,(1000/B53*0.25)+((B53-1000)/B53*0.12),0)</f>
        <v>0</v>
      </c>
      <c r="P53" s="114"/>
      <c r="Q53" s="126" t="n">
        <f aca="false">M53+J53+G53</f>
        <v>11</v>
      </c>
      <c r="R53" s="126" t="n">
        <f aca="false">N53+K53+H53</f>
        <v>11</v>
      </c>
      <c r="S53" s="126" t="n">
        <f aca="false">O53+L53+I53</f>
        <v>7</v>
      </c>
      <c r="T53" s="127"/>
      <c r="U53" s="5" t="n">
        <f aca="false">A54-A53</f>
        <v>30</v>
      </c>
      <c r="V53" s="128" t="n">
        <f aca="false">CHOOSE(F$3,A54+24,A53)</f>
        <v>38596</v>
      </c>
      <c r="W53" s="5" t="n">
        <f aca="false">V53-C$3</f>
        <v>1365</v>
      </c>
      <c r="X53" s="124" t="n">
        <f aca="false">VLOOKUP($A53,Table,MATCH(X$4,Curves,0))</f>
        <v>2</v>
      </c>
      <c r="Y53" s="129" t="n">
        <f aca="false">1/(1+CHOOSE(F$3,(X54+($K$3/10000))/2,(X53+($K$3/10000))/2))^(2*W53/365.25)</f>
        <v>0.00562343494203942</v>
      </c>
      <c r="Z53" s="5" t="n">
        <f aca="false">IF(AND(mthbeg&lt;=A53,mthend&gt;=A53),1,0)</f>
        <v>0</v>
      </c>
      <c r="AA53" s="5" t="n">
        <f aca="false">U53*Z53</f>
        <v>0</v>
      </c>
      <c r="AC53" s="115" t="n">
        <f aca="false">IF(G46=2,F53*(S53-Q53),F53*(Q53-S53))</f>
        <v>0</v>
      </c>
      <c r="AE53" s="116" t="n">
        <f aca="false">IF($G$3=1,F53*(R53-Q53),F53*(Q53-R53))</f>
        <v>0</v>
      </c>
      <c r="AG53" s="116" t="n">
        <f aca="false">AC53+AE53</f>
        <v>0</v>
      </c>
    </row>
    <row r="54" customFormat="false" ht="12.75" hidden="false" customHeight="false" outlineLevel="0" collapsed="false">
      <c r="A54" s="120" t="n">
        <f aca="false">EDATE(A53,1)</f>
        <v>38626</v>
      </c>
      <c r="B54" s="121" t="n">
        <v>0</v>
      </c>
      <c r="C54" s="122"/>
      <c r="D54" s="123" t="n">
        <f aca="false">B54+C54</f>
        <v>0</v>
      </c>
      <c r="E54" s="111" t="n">
        <f aca="false">IF(Z54=0,0,IF(AND(Z54=1,$H$3=1),D54*U54,IF($H$3=2,D54,"N/A")))</f>
        <v>0</v>
      </c>
      <c r="F54" s="111" t="n">
        <f aca="false">E54*Y54</f>
        <v>0</v>
      </c>
      <c r="G54" s="124" t="n">
        <f aca="false">VLOOKUP($A54,Table,MATCH(G$4,Curves,0))</f>
        <v>3</v>
      </c>
      <c r="H54" s="125" t="n">
        <f aca="false">G54+$H$7</f>
        <v>3</v>
      </c>
      <c r="I54" s="124" t="n">
        <f aca="false">H54</f>
        <v>3</v>
      </c>
      <c r="J54" s="124" t="n">
        <f aca="false">VLOOKUP($A54,Table,MATCH(J$4,Curves,0))</f>
        <v>4</v>
      </c>
      <c r="K54" s="125" t="n">
        <f aca="false">J54+$K$7</f>
        <v>4</v>
      </c>
      <c r="L54" s="126" t="n">
        <f aca="false">K54</f>
        <v>4</v>
      </c>
      <c r="M54" s="124" t="n">
        <f aca="false">VLOOKUP($A54,Table,MATCH(M$4,Curves,0))</f>
        <v>4</v>
      </c>
      <c r="N54" s="125" t="n">
        <f aca="false">M54+$N$7</f>
        <v>4</v>
      </c>
      <c r="O54" s="126" t="n">
        <f aca="false">IF(B54&gt;0,(1000/B54*0.25)+((B54-1000)/B54*0.12),0)</f>
        <v>0</v>
      </c>
      <c r="P54" s="114"/>
      <c r="Q54" s="126" t="n">
        <f aca="false">M54+J54+G54</f>
        <v>11</v>
      </c>
      <c r="R54" s="126" t="n">
        <f aca="false">N54+K54+H54</f>
        <v>11</v>
      </c>
      <c r="S54" s="126" t="n">
        <f aca="false">O54+L54+I54</f>
        <v>7</v>
      </c>
      <c r="T54" s="127"/>
      <c r="U54" s="5" t="n">
        <f aca="false">A55-A54</f>
        <v>31</v>
      </c>
      <c r="V54" s="128" t="n">
        <f aca="false">CHOOSE(F$3,A55+24,A54)</f>
        <v>38626</v>
      </c>
      <c r="W54" s="5" t="n">
        <f aca="false">V54-C$3</f>
        <v>1395</v>
      </c>
      <c r="X54" s="124" t="n">
        <f aca="false">VLOOKUP($A54,Table,MATCH(X$4,Curves,0))</f>
        <v>2</v>
      </c>
      <c r="Y54" s="129" t="n">
        <f aca="false">1/(1+CHOOSE(F$3,(X55+($K$3/10000))/2,(X54+($K$3/10000))/2))^(2*W54/365.25)</f>
        <v>0.00501823693383761</v>
      </c>
      <c r="Z54" s="5" t="n">
        <f aca="false">IF(AND(mthbeg&lt;=A54,mthend&gt;=A54),1,0)</f>
        <v>0</v>
      </c>
      <c r="AA54" s="5" t="n">
        <f aca="false">U54*Z54</f>
        <v>0</v>
      </c>
      <c r="AC54" s="115" t="n">
        <f aca="false">IF(G47=2,F54*(S54-Q54),F54*(Q54-S54))</f>
        <v>0</v>
      </c>
      <c r="AE54" s="116" t="n">
        <f aca="false">IF($G$3=1,F54*(R54-Q54),F54*(Q54-R54))</f>
        <v>0</v>
      </c>
      <c r="AG54" s="116" t="n">
        <f aca="false">AC54+AE54</f>
        <v>0</v>
      </c>
    </row>
    <row r="55" customFormat="false" ht="12.75" hidden="false" customHeight="false" outlineLevel="0" collapsed="false">
      <c r="A55" s="120" t="n">
        <f aca="false">EDATE(A54,1)</f>
        <v>38657</v>
      </c>
      <c r="B55" s="121" t="n">
        <v>0</v>
      </c>
      <c r="C55" s="122"/>
      <c r="D55" s="123" t="n">
        <f aca="false">B55+C55</f>
        <v>0</v>
      </c>
      <c r="E55" s="111" t="n">
        <f aca="false">IF(Z55=0,0,IF(AND(Z55=1,$H$3=1),D55*U55,IF($H$3=2,D55,"N/A")))</f>
        <v>0</v>
      </c>
      <c r="F55" s="111" t="n">
        <f aca="false">E55*Y55</f>
        <v>0</v>
      </c>
      <c r="G55" s="124" t="n">
        <f aca="false">VLOOKUP($A55,Table,MATCH(G$4,Curves,0))</f>
        <v>3</v>
      </c>
      <c r="H55" s="125" t="n">
        <f aca="false">G55+$H$7</f>
        <v>3</v>
      </c>
      <c r="I55" s="124" t="n">
        <f aca="false">H55</f>
        <v>3</v>
      </c>
      <c r="J55" s="124" t="n">
        <f aca="false">VLOOKUP($A55,Table,MATCH(J$4,Curves,0))</f>
        <v>4</v>
      </c>
      <c r="K55" s="125" t="n">
        <f aca="false">J55+$K$7</f>
        <v>4</v>
      </c>
      <c r="L55" s="126" t="n">
        <f aca="false">K55</f>
        <v>4</v>
      </c>
      <c r="M55" s="124" t="n">
        <f aca="false">VLOOKUP($A55,Table,MATCH(M$4,Curves,0))</f>
        <v>4</v>
      </c>
      <c r="N55" s="125" t="n">
        <f aca="false">M55+$N$7</f>
        <v>4</v>
      </c>
      <c r="O55" s="126" t="n">
        <f aca="false">IF(B55&gt;0,(1000/B55*0.25)+((B55-1000)/B55*0.12),0)</f>
        <v>0</v>
      </c>
      <c r="P55" s="114"/>
      <c r="Q55" s="126" t="n">
        <f aca="false">M55+J55+G55</f>
        <v>11</v>
      </c>
      <c r="R55" s="126" t="n">
        <f aca="false">N55+K55+H55</f>
        <v>11</v>
      </c>
      <c r="S55" s="126" t="n">
        <f aca="false">O55+L55+I55</f>
        <v>7</v>
      </c>
      <c r="T55" s="127"/>
      <c r="U55" s="5" t="n">
        <f aca="false">A56-A55</f>
        <v>30</v>
      </c>
      <c r="V55" s="128" t="n">
        <f aca="false">CHOOSE(F$3,A56+24,A55)</f>
        <v>38657</v>
      </c>
      <c r="W55" s="5" t="n">
        <f aca="false">V55-C$3</f>
        <v>1426</v>
      </c>
      <c r="X55" s="124" t="n">
        <f aca="false">VLOOKUP($A55,Table,MATCH(X$4,Curves,0))</f>
        <v>2</v>
      </c>
      <c r="Y55" s="129" t="n">
        <f aca="false">1/(1+CHOOSE(F$3,(X56+($K$3/10000))/2,(X55+($K$3/10000))/2))^(2*W55/365.25)</f>
        <v>0.00446120622398926</v>
      </c>
      <c r="Z55" s="5" t="n">
        <f aca="false">IF(AND(mthbeg&lt;=A55,mthend&gt;=A55),1,0)</f>
        <v>0</v>
      </c>
      <c r="AA55" s="5" t="n">
        <f aca="false">U55*Z55</f>
        <v>0</v>
      </c>
      <c r="AC55" s="115" t="n">
        <f aca="false">IF(G48=2,F55*(S55-Q55),F55*(Q55-S55))</f>
        <v>0</v>
      </c>
      <c r="AE55" s="116" t="n">
        <f aca="false">IF($G$3=1,F55*(R55-Q55),F55*(Q55-R55))</f>
        <v>0</v>
      </c>
      <c r="AG55" s="116" t="n">
        <f aca="false">AC55+AE55</f>
        <v>0</v>
      </c>
    </row>
    <row r="56" customFormat="false" ht="12.75" hidden="false" customHeight="false" outlineLevel="0" collapsed="false">
      <c r="A56" s="120" t="n">
        <f aca="false">EDATE(A55,1)</f>
        <v>38687</v>
      </c>
      <c r="B56" s="121" t="n">
        <v>0</v>
      </c>
      <c r="C56" s="122"/>
      <c r="D56" s="123" t="n">
        <f aca="false">B56+C56</f>
        <v>0</v>
      </c>
      <c r="E56" s="111" t="n">
        <f aca="false">IF(Z56=0,0,IF(AND(Z56=1,$H$3=1),D56*U56,IF($H$3=2,D56,"N/A")))</f>
        <v>0</v>
      </c>
      <c r="F56" s="111" t="n">
        <f aca="false">E56*Y56</f>
        <v>0</v>
      </c>
      <c r="G56" s="124" t="n">
        <f aca="false">VLOOKUP($A56,Table,MATCH(G$4,Curves,0))</f>
        <v>3</v>
      </c>
      <c r="H56" s="125" t="n">
        <f aca="false">G56+$H$7</f>
        <v>3</v>
      </c>
      <c r="I56" s="124" t="n">
        <f aca="false">H56</f>
        <v>3</v>
      </c>
      <c r="J56" s="124" t="n">
        <f aca="false">VLOOKUP($A56,Table,MATCH(J$4,Curves,0))</f>
        <v>4</v>
      </c>
      <c r="K56" s="125" t="n">
        <f aca="false">J56+$K$7</f>
        <v>4</v>
      </c>
      <c r="L56" s="126" t="n">
        <f aca="false">K56</f>
        <v>4</v>
      </c>
      <c r="M56" s="124" t="n">
        <f aca="false">VLOOKUP($A56,Table,MATCH(M$4,Curves,0))</f>
        <v>4</v>
      </c>
      <c r="N56" s="125" t="n">
        <f aca="false">M56+$N$7</f>
        <v>4</v>
      </c>
      <c r="O56" s="126" t="n">
        <f aca="false">IF(B56&gt;0,(1000/B56*0.25)+((B56-1000)/B56*0.12),0)</f>
        <v>0</v>
      </c>
      <c r="P56" s="114"/>
      <c r="Q56" s="126" t="n">
        <f aca="false">M56+J56+G56</f>
        <v>11</v>
      </c>
      <c r="R56" s="126" t="n">
        <f aca="false">N56+K56+H56</f>
        <v>11</v>
      </c>
      <c r="S56" s="126" t="n">
        <f aca="false">O56+L56+I56</f>
        <v>7</v>
      </c>
      <c r="T56" s="127"/>
      <c r="U56" s="5" t="n">
        <f aca="false">A57-A56</f>
        <v>31</v>
      </c>
      <c r="V56" s="128" t="n">
        <f aca="false">CHOOSE(F$3,A57+24,A56)</f>
        <v>38687</v>
      </c>
      <c r="W56" s="5" t="n">
        <f aca="false">V56-C$3</f>
        <v>1456</v>
      </c>
      <c r="X56" s="124" t="n">
        <f aca="false">VLOOKUP($A56,Table,MATCH(X$4,Curves,0))</f>
        <v>2</v>
      </c>
      <c r="Y56" s="129" t="n">
        <f aca="false">1/(1+CHOOSE(F$3,(X57+($K$3/10000))/2,(X56+($K$3/10000))/2))^(2*W56/365.25)</f>
        <v>0.00398108808467339</v>
      </c>
      <c r="Z56" s="5" t="n">
        <f aca="false">IF(AND(mthbeg&lt;=A56,mthend&gt;=A56),1,0)</f>
        <v>0</v>
      </c>
      <c r="AA56" s="5" t="n">
        <f aca="false">U56*Z56</f>
        <v>0</v>
      </c>
      <c r="AC56" s="115" t="n">
        <f aca="false">IF(G49=2,F56*(S56-Q56),F56*(Q56-S56))</f>
        <v>0</v>
      </c>
      <c r="AE56" s="116" t="n">
        <f aca="false">IF($G$3=1,F56*(R56-Q56),F56*(Q56-R56))</f>
        <v>0</v>
      </c>
      <c r="AG56" s="116" t="n">
        <f aca="false">AC56+AE56</f>
        <v>0</v>
      </c>
    </row>
    <row r="57" customFormat="false" ht="12.75" hidden="false" customHeight="false" outlineLevel="0" collapsed="false">
      <c r="A57" s="120" t="n">
        <f aca="false">EDATE(A56,1)</f>
        <v>38718</v>
      </c>
      <c r="B57" s="121" t="n">
        <v>0</v>
      </c>
      <c r="C57" s="122"/>
      <c r="D57" s="123" t="n">
        <f aca="false">B57+C57</f>
        <v>0</v>
      </c>
      <c r="E57" s="111" t="n">
        <f aca="false">IF(Z57=0,0,IF(AND(Z57=1,$H$3=1),D57*U57,IF($H$3=2,D57,"N/A")))</f>
        <v>0</v>
      </c>
      <c r="F57" s="111" t="n">
        <f aca="false">E57*Y57</f>
        <v>0</v>
      </c>
      <c r="G57" s="124" t="n">
        <f aca="false">VLOOKUP($A57,Table,MATCH(G$4,Curves,0))</f>
        <v>3</v>
      </c>
      <c r="H57" s="125" t="n">
        <f aca="false">G57+$H$7</f>
        <v>3</v>
      </c>
      <c r="I57" s="124" t="n">
        <f aca="false">H57</f>
        <v>3</v>
      </c>
      <c r="J57" s="124" t="n">
        <f aca="false">VLOOKUP($A57,Table,MATCH(J$4,Curves,0))</f>
        <v>4</v>
      </c>
      <c r="K57" s="125" t="n">
        <f aca="false">J57+$K$7</f>
        <v>4</v>
      </c>
      <c r="L57" s="126" t="n">
        <f aca="false">K57</f>
        <v>4</v>
      </c>
      <c r="M57" s="124" t="n">
        <f aca="false">VLOOKUP($A57,Table,MATCH(M$4,Curves,0))</f>
        <v>4</v>
      </c>
      <c r="N57" s="125" t="n">
        <f aca="false">M57+$N$7</f>
        <v>4</v>
      </c>
      <c r="O57" s="126" t="n">
        <f aca="false">IF(B57&gt;0,(1000/B57*0.25)+((B57-1000)/B57*0.12),0)</f>
        <v>0</v>
      </c>
      <c r="P57" s="114"/>
      <c r="Q57" s="126" t="n">
        <f aca="false">M57+J57+G57</f>
        <v>11</v>
      </c>
      <c r="R57" s="126" t="n">
        <f aca="false">N57+K57+H57</f>
        <v>11</v>
      </c>
      <c r="S57" s="126" t="n">
        <f aca="false">O57+L57+I57</f>
        <v>7</v>
      </c>
      <c r="T57" s="127"/>
      <c r="U57" s="5" t="n">
        <f aca="false">A58-A57</f>
        <v>31</v>
      </c>
      <c r="V57" s="128" t="n">
        <f aca="false">CHOOSE(F$3,A58+24,A57)</f>
        <v>38718</v>
      </c>
      <c r="W57" s="5" t="n">
        <f aca="false">V57-C$3</f>
        <v>1487</v>
      </c>
      <c r="X57" s="124" t="n">
        <f aca="false">VLOOKUP($A57,Table,MATCH(X$4,Curves,0))</f>
        <v>2</v>
      </c>
      <c r="Y57" s="129" t="n">
        <f aca="false">1/(1+CHOOSE(F$3,(X58+($K$3/10000))/2,(X57+($K$3/10000))/2))^(2*W57/365.25)</f>
        <v>0.00353918222191482</v>
      </c>
      <c r="Z57" s="5" t="n">
        <f aca="false">IF(AND(mthbeg&lt;=A57,mthend&gt;=A57),1,0)</f>
        <v>0</v>
      </c>
      <c r="AA57" s="5" t="n">
        <f aca="false">U57*Z57</f>
        <v>0</v>
      </c>
      <c r="AC57" s="115" t="n">
        <f aca="false">IF(G50=2,F57*(S57-Q57),F57*(Q57-S57))</f>
        <v>0</v>
      </c>
      <c r="AE57" s="116" t="n">
        <f aca="false">IF($G$3=1,F57*(R57-Q57),F57*(Q57-R57))</f>
        <v>0</v>
      </c>
      <c r="AG57" s="116" t="n">
        <f aca="false">AC57+AE57</f>
        <v>0</v>
      </c>
    </row>
    <row r="58" customFormat="false" ht="12.75" hidden="false" customHeight="false" outlineLevel="0" collapsed="false">
      <c r="A58" s="120" t="n">
        <f aca="false">EDATE(A57,1)</f>
        <v>38749</v>
      </c>
      <c r="B58" s="121" t="n">
        <v>0</v>
      </c>
      <c r="C58" s="122"/>
      <c r="D58" s="123" t="n">
        <f aca="false">B58+C58</f>
        <v>0</v>
      </c>
      <c r="E58" s="111" t="n">
        <f aca="false">IF(Z58=0,0,IF(AND(Z58=1,$H$3=1),D58*U58,IF($H$3=2,D58,"N/A")))</f>
        <v>0</v>
      </c>
      <c r="F58" s="111" t="n">
        <f aca="false">E58*Y58</f>
        <v>0</v>
      </c>
      <c r="G58" s="124" t="n">
        <f aca="false">VLOOKUP($A58,Table,MATCH(G$4,Curves,0))</f>
        <v>3</v>
      </c>
      <c r="H58" s="125" t="n">
        <f aca="false">G58+$H$7</f>
        <v>3</v>
      </c>
      <c r="I58" s="124" t="n">
        <f aca="false">H58</f>
        <v>3</v>
      </c>
      <c r="J58" s="124" t="n">
        <f aca="false">VLOOKUP($A58,Table,MATCH(J$4,Curves,0))</f>
        <v>4</v>
      </c>
      <c r="K58" s="125" t="n">
        <f aca="false">J58+$K$7</f>
        <v>4</v>
      </c>
      <c r="L58" s="126" t="n">
        <f aca="false">K58</f>
        <v>4</v>
      </c>
      <c r="M58" s="124" t="n">
        <f aca="false">VLOOKUP($A58,Table,MATCH(M$4,Curves,0))</f>
        <v>4</v>
      </c>
      <c r="N58" s="125" t="n">
        <f aca="false">M58+$N$7</f>
        <v>4</v>
      </c>
      <c r="O58" s="126" t="n">
        <f aca="false">IF(B58&gt;0,(1000/B58*0.25)+((B58-1000)/B58*0.12),0)</f>
        <v>0</v>
      </c>
      <c r="P58" s="114"/>
      <c r="Q58" s="126" t="n">
        <f aca="false">M58+J58+G58</f>
        <v>11</v>
      </c>
      <c r="R58" s="126" t="n">
        <f aca="false">N58+K58+H58</f>
        <v>11</v>
      </c>
      <c r="S58" s="126" t="n">
        <f aca="false">O58+L58+I58</f>
        <v>7</v>
      </c>
      <c r="T58" s="127"/>
      <c r="U58" s="5" t="n">
        <f aca="false">A59-A58</f>
        <v>28</v>
      </c>
      <c r="V58" s="128" t="n">
        <f aca="false">CHOOSE(F$3,A59+24,A58)</f>
        <v>38749</v>
      </c>
      <c r="W58" s="5" t="n">
        <f aca="false">V58-C$3</f>
        <v>1518</v>
      </c>
      <c r="X58" s="124" t="n">
        <f aca="false">VLOOKUP($A58,Table,MATCH(X$4,Curves,0))</f>
        <v>2</v>
      </c>
      <c r="Y58" s="129" t="n">
        <f aca="false">1/(1+CHOOSE(F$3,(X59+($K$3/10000))/2,(X58+($K$3/10000))/2))^(2*W58/365.25)</f>
        <v>0.0031463284744039</v>
      </c>
      <c r="Z58" s="5" t="n">
        <f aca="false">IF(AND(mthbeg&lt;=A58,mthend&gt;=A58),1,0)</f>
        <v>0</v>
      </c>
      <c r="AA58" s="5" t="n">
        <f aca="false">U58*Z58</f>
        <v>0</v>
      </c>
      <c r="AC58" s="115" t="n">
        <f aca="false">IF(G51=2,F58*(S58-Q58),F58*(Q58-S58))</f>
        <v>0</v>
      </c>
      <c r="AE58" s="116" t="n">
        <f aca="false">IF($G$3=1,F58*(R58-Q58),F58*(Q58-R58))</f>
        <v>0</v>
      </c>
      <c r="AG58" s="116" t="n">
        <f aca="false">AC58+AE58</f>
        <v>0</v>
      </c>
    </row>
    <row r="59" customFormat="false" ht="12.75" hidden="false" customHeight="false" outlineLevel="0" collapsed="false">
      <c r="A59" s="120" t="n">
        <f aca="false">EDATE(A58,1)</f>
        <v>38777</v>
      </c>
      <c r="B59" s="121" t="n">
        <v>0</v>
      </c>
      <c r="C59" s="122"/>
      <c r="D59" s="123" t="n">
        <f aca="false">B59+C59</f>
        <v>0</v>
      </c>
      <c r="E59" s="111" t="n">
        <f aca="false">IF(Z59=0,0,IF(AND(Z59=1,$H$3=1),D59*U59,IF($H$3=2,D59,"N/A")))</f>
        <v>0</v>
      </c>
      <c r="F59" s="111" t="n">
        <f aca="false">E59*Y59</f>
        <v>0</v>
      </c>
      <c r="G59" s="124" t="n">
        <f aca="false">VLOOKUP($A59,Table,MATCH(G$4,Curves,0))</f>
        <v>3</v>
      </c>
      <c r="H59" s="125" t="n">
        <f aca="false">G59+$H$7</f>
        <v>3</v>
      </c>
      <c r="I59" s="124" t="n">
        <f aca="false">H59</f>
        <v>3</v>
      </c>
      <c r="J59" s="124" t="n">
        <f aca="false">VLOOKUP($A59,Table,MATCH(J$4,Curves,0))</f>
        <v>4</v>
      </c>
      <c r="K59" s="125" t="n">
        <f aca="false">J59+$K$7</f>
        <v>4</v>
      </c>
      <c r="L59" s="126" t="n">
        <f aca="false">K59</f>
        <v>4</v>
      </c>
      <c r="M59" s="124" t="n">
        <f aca="false">VLOOKUP($A59,Table,MATCH(M$4,Curves,0))</f>
        <v>4</v>
      </c>
      <c r="N59" s="125" t="n">
        <f aca="false">M59+$N$7</f>
        <v>4</v>
      </c>
      <c r="O59" s="126" t="n">
        <f aca="false">IF(B59&gt;0,(1000/B59*0.25)+((B59-1000)/B59*0.12),0)</f>
        <v>0</v>
      </c>
      <c r="P59" s="114"/>
      <c r="Q59" s="126" t="n">
        <f aca="false">M59+J59+G59</f>
        <v>11</v>
      </c>
      <c r="R59" s="126" t="n">
        <f aca="false">N59+K59+H59</f>
        <v>11</v>
      </c>
      <c r="S59" s="126" t="n">
        <f aca="false">O59+L59+I59</f>
        <v>7</v>
      </c>
      <c r="T59" s="127"/>
      <c r="U59" s="5" t="n">
        <f aca="false">A60-A59</f>
        <v>31</v>
      </c>
      <c r="V59" s="128" t="n">
        <f aca="false">CHOOSE(F$3,A60+24,A59)</f>
        <v>38777</v>
      </c>
      <c r="W59" s="5" t="n">
        <f aca="false">V59-C$3</f>
        <v>1546</v>
      </c>
      <c r="X59" s="124" t="n">
        <f aca="false">VLOOKUP($A59,Table,MATCH(X$4,Curves,0))</f>
        <v>2</v>
      </c>
      <c r="Y59" s="129" t="n">
        <f aca="false">1/(1+CHOOSE(F$3,(X60+($K$3/10000))/2,(X59+($K$3/10000))/2))^(2*W59/365.25)</f>
        <v>0.0028291127040066</v>
      </c>
      <c r="Z59" s="5" t="n">
        <f aca="false">IF(AND(mthbeg&lt;=A59,mthend&gt;=A59),1,0)</f>
        <v>0</v>
      </c>
      <c r="AA59" s="5" t="n">
        <f aca="false">U59*Z59</f>
        <v>0</v>
      </c>
      <c r="AC59" s="115" t="n">
        <f aca="false">IF(G52=2,F59*(S59-Q59),F59*(Q59-S59))</f>
        <v>0</v>
      </c>
      <c r="AE59" s="116" t="n">
        <f aca="false">IF($G$3=1,F59*(R59-Q59),F59*(Q59-R59))</f>
        <v>0</v>
      </c>
      <c r="AG59" s="116" t="n">
        <f aca="false">AC59+AE59</f>
        <v>0</v>
      </c>
    </row>
    <row r="60" customFormat="false" ht="12.75" hidden="false" customHeight="false" outlineLevel="0" collapsed="false">
      <c r="A60" s="120" t="n">
        <f aca="false">EDATE(A59,1)</f>
        <v>38808</v>
      </c>
      <c r="B60" s="121" t="n">
        <v>0</v>
      </c>
      <c r="C60" s="122"/>
      <c r="D60" s="123" t="n">
        <f aca="false">B60+C60</f>
        <v>0</v>
      </c>
      <c r="E60" s="111" t="n">
        <f aca="false">IF(Z60=0,0,IF(AND(Z60=1,$H$3=1),D60*U60,IF($H$3=2,D60,"N/A")))</f>
        <v>0</v>
      </c>
      <c r="F60" s="111" t="n">
        <f aca="false">E60*Y60</f>
        <v>0</v>
      </c>
      <c r="G60" s="124" t="n">
        <f aca="false">VLOOKUP($A60,Table,MATCH(G$4,Curves,0))</f>
        <v>3</v>
      </c>
      <c r="H60" s="125" t="n">
        <f aca="false">G60+$H$7</f>
        <v>3</v>
      </c>
      <c r="I60" s="124" t="n">
        <f aca="false">H60</f>
        <v>3</v>
      </c>
      <c r="J60" s="124" t="n">
        <f aca="false">VLOOKUP($A60,Table,MATCH(J$4,Curves,0))</f>
        <v>4</v>
      </c>
      <c r="K60" s="125" t="n">
        <f aca="false">J60+$K$7</f>
        <v>4</v>
      </c>
      <c r="L60" s="126" t="n">
        <f aca="false">K60</f>
        <v>4</v>
      </c>
      <c r="M60" s="124" t="n">
        <f aca="false">VLOOKUP($A60,Table,MATCH(M$4,Curves,0))</f>
        <v>4</v>
      </c>
      <c r="N60" s="125" t="n">
        <f aca="false">M60+$N$7</f>
        <v>4</v>
      </c>
      <c r="O60" s="126" t="n">
        <f aca="false">IF(B60&gt;0,(1000/B60*0.25)+((B60-1000)/B60*0.12),0)</f>
        <v>0</v>
      </c>
      <c r="P60" s="114"/>
      <c r="Q60" s="126" t="n">
        <f aca="false">M60+J60+G60</f>
        <v>11</v>
      </c>
      <c r="R60" s="126" t="n">
        <f aca="false">N60+K60+H60</f>
        <v>11</v>
      </c>
      <c r="S60" s="126" t="n">
        <f aca="false">O60+L60+I60</f>
        <v>7</v>
      </c>
      <c r="T60" s="127"/>
      <c r="U60" s="5" t="n">
        <f aca="false">A61-A60</f>
        <v>30</v>
      </c>
      <c r="V60" s="128" t="n">
        <f aca="false">CHOOSE(F$3,A61+24,A60)</f>
        <v>38808</v>
      </c>
      <c r="W60" s="5" t="n">
        <f aca="false">V60-C$3</f>
        <v>1577</v>
      </c>
      <c r="X60" s="124" t="n">
        <f aca="false">VLOOKUP($A60,Table,MATCH(X$4,Curves,0))</f>
        <v>2</v>
      </c>
      <c r="Y60" s="129" t="n">
        <f aca="false">1/(1+CHOOSE(F$3,(X61+($K$3/10000))/2,(X60+($K$3/10000))/2))^(2*W60/365.25)</f>
        <v>0.00251507758001164</v>
      </c>
      <c r="Z60" s="5" t="n">
        <f aca="false">IF(AND(mthbeg&lt;=A60,mthend&gt;=A60),1,0)</f>
        <v>0</v>
      </c>
      <c r="AA60" s="5" t="n">
        <f aca="false">U60*Z60</f>
        <v>0</v>
      </c>
      <c r="AC60" s="115" t="n">
        <f aca="false">IF(G53=2,F60*(S60-Q60),F60*(Q60-S60))</f>
        <v>0</v>
      </c>
      <c r="AE60" s="116" t="n">
        <f aca="false">IF($G$3=1,F60*(R60-Q60),F60*(Q60-R60))</f>
        <v>0</v>
      </c>
      <c r="AG60" s="116" t="n">
        <f aca="false">AC60+AE60</f>
        <v>0</v>
      </c>
    </row>
    <row r="61" customFormat="false" ht="12.75" hidden="false" customHeight="false" outlineLevel="0" collapsed="false">
      <c r="A61" s="120" t="n">
        <f aca="false">EDATE(A60,1)</f>
        <v>38838</v>
      </c>
      <c r="B61" s="121" t="n">
        <v>0</v>
      </c>
      <c r="C61" s="122"/>
      <c r="D61" s="123" t="n">
        <f aca="false">B61+C61</f>
        <v>0</v>
      </c>
      <c r="E61" s="111" t="n">
        <f aca="false">IF(Z61=0,0,IF(AND(Z61=1,$H$3=1),D61*U61,IF($H$3=2,D61,"N/A")))</f>
        <v>0</v>
      </c>
      <c r="F61" s="111" t="n">
        <f aca="false">E61*Y61</f>
        <v>0</v>
      </c>
      <c r="G61" s="124" t="n">
        <f aca="false">VLOOKUP($A61,Table,MATCH(G$4,Curves,0))</f>
        <v>3</v>
      </c>
      <c r="H61" s="125" t="n">
        <f aca="false">G61+$H$7</f>
        <v>3</v>
      </c>
      <c r="I61" s="124" t="n">
        <f aca="false">H61</f>
        <v>3</v>
      </c>
      <c r="J61" s="124" t="n">
        <f aca="false">VLOOKUP($A61,Table,MATCH(J$4,Curves,0))</f>
        <v>4</v>
      </c>
      <c r="K61" s="125" t="n">
        <f aca="false">J61+$K$7</f>
        <v>4</v>
      </c>
      <c r="L61" s="126" t="n">
        <f aca="false">K61</f>
        <v>4</v>
      </c>
      <c r="M61" s="124" t="n">
        <f aca="false">VLOOKUP($A61,Table,MATCH(M$4,Curves,0))</f>
        <v>4</v>
      </c>
      <c r="N61" s="125" t="n">
        <f aca="false">M61+$N$7</f>
        <v>4</v>
      </c>
      <c r="O61" s="126" t="n">
        <f aca="false">IF(B61&gt;0,(1000/B61*0.25)+((B61-1000)/B61*0.12),0)</f>
        <v>0</v>
      </c>
      <c r="P61" s="114"/>
      <c r="Q61" s="126" t="n">
        <f aca="false">M61+J61+G61</f>
        <v>11</v>
      </c>
      <c r="R61" s="126" t="n">
        <f aca="false">N61+K61+H61</f>
        <v>11</v>
      </c>
      <c r="S61" s="126" t="n">
        <f aca="false">O61+L61+I61</f>
        <v>7</v>
      </c>
      <c r="T61" s="127"/>
      <c r="U61" s="5" t="n">
        <f aca="false">A62-A61</f>
        <v>31</v>
      </c>
      <c r="V61" s="128" t="n">
        <f aca="false">CHOOSE(F$3,A62+24,A61)</f>
        <v>38838</v>
      </c>
      <c r="W61" s="5" t="n">
        <f aca="false">V61-C$3</f>
        <v>1607</v>
      </c>
      <c r="X61" s="124" t="n">
        <f aca="false">VLOOKUP($A61,Table,MATCH(X$4,Curves,0))</f>
        <v>2</v>
      </c>
      <c r="Y61" s="129" t="n">
        <f aca="false">1/(1+CHOOSE(F$3,(X62+($K$3/10000))/2,(X61+($K$3/10000))/2))^(2*W61/365.25)</f>
        <v>0.00224440316880488</v>
      </c>
      <c r="Z61" s="5" t="n">
        <f aca="false">IF(AND(mthbeg&lt;=A61,mthend&gt;=A61),1,0)</f>
        <v>0</v>
      </c>
      <c r="AA61" s="5" t="n">
        <f aca="false">U61*Z61</f>
        <v>0</v>
      </c>
      <c r="AC61" s="115" t="n">
        <f aca="false">IF(G54=2,F61*(S61-Q61),F61*(Q61-S61))</f>
        <v>0</v>
      </c>
      <c r="AE61" s="116" t="n">
        <f aca="false">IF($G$3=1,F61*(R61-Q61),F61*(Q61-R61))</f>
        <v>0</v>
      </c>
      <c r="AG61" s="116" t="n">
        <f aca="false">AC61+AE61</f>
        <v>0</v>
      </c>
    </row>
    <row r="62" customFormat="false" ht="12.75" hidden="false" customHeight="false" outlineLevel="0" collapsed="false">
      <c r="A62" s="120" t="n">
        <f aca="false">EDATE(A61,1)</f>
        <v>38869</v>
      </c>
      <c r="B62" s="121" t="n">
        <v>0</v>
      </c>
      <c r="C62" s="122"/>
      <c r="D62" s="123" t="n">
        <f aca="false">B62+C62</f>
        <v>0</v>
      </c>
      <c r="E62" s="111" t="n">
        <f aca="false">IF(Z62=0,0,IF(AND(Z62=1,$H$3=1),D62*U62,IF($H$3=2,D62,"N/A")))</f>
        <v>0</v>
      </c>
      <c r="F62" s="111" t="n">
        <f aca="false">E62*Y62</f>
        <v>0</v>
      </c>
      <c r="G62" s="124" t="n">
        <f aca="false">VLOOKUP($A62,Table,MATCH(G$4,Curves,0))</f>
        <v>3</v>
      </c>
      <c r="H62" s="125" t="n">
        <f aca="false">G62+$H$7</f>
        <v>3</v>
      </c>
      <c r="I62" s="124" t="n">
        <f aca="false">H62</f>
        <v>3</v>
      </c>
      <c r="J62" s="124" t="n">
        <f aca="false">VLOOKUP($A62,Table,MATCH(J$4,Curves,0))</f>
        <v>4</v>
      </c>
      <c r="K62" s="125" t="n">
        <f aca="false">J62+$K$7</f>
        <v>4</v>
      </c>
      <c r="L62" s="126" t="n">
        <f aca="false">K62</f>
        <v>4</v>
      </c>
      <c r="M62" s="124" t="n">
        <f aca="false">VLOOKUP($A62,Table,MATCH(M$4,Curves,0))</f>
        <v>4</v>
      </c>
      <c r="N62" s="125" t="n">
        <f aca="false">M62+$N$7</f>
        <v>4</v>
      </c>
      <c r="O62" s="126" t="n">
        <f aca="false">IF(B62&gt;0,(1000/B62*0.25)+((B62-1000)/B62*0.12),0)</f>
        <v>0</v>
      </c>
      <c r="P62" s="114"/>
      <c r="Q62" s="126" t="n">
        <f aca="false">M62+J62+G62</f>
        <v>11</v>
      </c>
      <c r="R62" s="126" t="n">
        <f aca="false">N62+K62+H62</f>
        <v>11</v>
      </c>
      <c r="S62" s="126" t="n">
        <f aca="false">O62+L62+I62</f>
        <v>7</v>
      </c>
      <c r="T62" s="127"/>
      <c r="U62" s="5" t="n">
        <f aca="false">A63-A62</f>
        <v>30</v>
      </c>
      <c r="V62" s="128" t="n">
        <f aca="false">CHOOSE(F$3,A63+24,A62)</f>
        <v>38869</v>
      </c>
      <c r="W62" s="5" t="n">
        <f aca="false">V62-C$3</f>
        <v>1638</v>
      </c>
      <c r="X62" s="124" t="n">
        <f aca="false">VLOOKUP($A62,Table,MATCH(X$4,Curves,0))</f>
        <v>2</v>
      </c>
      <c r="Y62" s="129" t="n">
        <f aca="false">1/(1+CHOOSE(F$3,(X63+($K$3/10000))/2,(X62+($K$3/10000))/2))^(2*W62/365.25)</f>
        <v>0.00199527155011321</v>
      </c>
      <c r="Z62" s="5" t="n">
        <f aca="false">IF(AND(mthbeg&lt;=A62,mthend&gt;=A62),1,0)</f>
        <v>0</v>
      </c>
      <c r="AA62" s="5" t="n">
        <f aca="false">U62*Z62</f>
        <v>0</v>
      </c>
      <c r="AC62" s="115" t="n">
        <f aca="false">IF(G55=2,F62*(S62-Q62),F62*(Q62-S62))</f>
        <v>0</v>
      </c>
      <c r="AE62" s="116" t="n">
        <f aca="false">IF($G$3=1,F62*(R62-Q62),F62*(Q62-R62))</f>
        <v>0</v>
      </c>
      <c r="AG62" s="116" t="n">
        <f aca="false">AC62+AE62</f>
        <v>0</v>
      </c>
    </row>
    <row r="63" customFormat="false" ht="12.75" hidden="false" customHeight="false" outlineLevel="0" collapsed="false">
      <c r="A63" s="120" t="n">
        <f aca="false">EDATE(A62,1)</f>
        <v>38899</v>
      </c>
      <c r="B63" s="121" t="n">
        <v>0</v>
      </c>
      <c r="C63" s="122"/>
      <c r="D63" s="123" t="n">
        <f aca="false">B63+C63</f>
        <v>0</v>
      </c>
      <c r="E63" s="111" t="n">
        <f aca="false">IF(Z63=0,0,IF(AND(Z63=1,$H$3=1),D63*U63,IF($H$3=2,D63,"N/A")))</f>
        <v>0</v>
      </c>
      <c r="F63" s="111" t="n">
        <f aca="false">E63*Y63</f>
        <v>0</v>
      </c>
      <c r="G63" s="124" t="n">
        <f aca="false">VLOOKUP($A63,Table,MATCH(G$4,Curves,0))</f>
        <v>3</v>
      </c>
      <c r="H63" s="125" t="n">
        <f aca="false">G63+$H$7</f>
        <v>3</v>
      </c>
      <c r="I63" s="124" t="n">
        <f aca="false">H63</f>
        <v>3</v>
      </c>
      <c r="J63" s="124" t="n">
        <f aca="false">VLOOKUP($A63,Table,MATCH(J$4,Curves,0))</f>
        <v>4</v>
      </c>
      <c r="K63" s="125" t="n">
        <f aca="false">J63+$K$7</f>
        <v>4</v>
      </c>
      <c r="L63" s="126" t="n">
        <f aca="false">K63</f>
        <v>4</v>
      </c>
      <c r="M63" s="124" t="n">
        <f aca="false">VLOOKUP($A63,Table,MATCH(M$4,Curves,0))</f>
        <v>4</v>
      </c>
      <c r="N63" s="125" t="n">
        <f aca="false">M63+$N$7</f>
        <v>4</v>
      </c>
      <c r="O63" s="126" t="n">
        <f aca="false">IF(B63&gt;0,(1000/B63*0.25)+((B63-1000)/B63*0.12),0)</f>
        <v>0</v>
      </c>
      <c r="P63" s="114"/>
      <c r="Q63" s="126" t="n">
        <f aca="false">M63+J63+G63</f>
        <v>11</v>
      </c>
      <c r="R63" s="126" t="n">
        <f aca="false">N63+K63+H63</f>
        <v>11</v>
      </c>
      <c r="S63" s="126" t="n">
        <f aca="false">O63+L63+I63</f>
        <v>7</v>
      </c>
      <c r="T63" s="127"/>
      <c r="U63" s="5" t="n">
        <f aca="false">A64-A63</f>
        <v>31</v>
      </c>
      <c r="V63" s="128" t="n">
        <f aca="false">CHOOSE(F$3,A64+24,A63)</f>
        <v>38899</v>
      </c>
      <c r="W63" s="5" t="n">
        <f aca="false">V63-C$3</f>
        <v>1668</v>
      </c>
      <c r="X63" s="124" t="n">
        <f aca="false">VLOOKUP($A63,Table,MATCH(X$4,Curves,0))</f>
        <v>2</v>
      </c>
      <c r="Y63" s="129" t="n">
        <f aca="false">1/(1+CHOOSE(F$3,(X64+($K$3/10000))/2,(X63+($K$3/10000))/2))^(2*W63/365.25)</f>
        <v>0.00178053902801661</v>
      </c>
      <c r="Z63" s="5" t="n">
        <f aca="false">IF(AND(mthbeg&lt;=A63,mthend&gt;=A63),1,0)</f>
        <v>0</v>
      </c>
      <c r="AA63" s="5" t="n">
        <f aca="false">U63*Z63</f>
        <v>0</v>
      </c>
      <c r="AC63" s="115" t="n">
        <f aca="false">IF(G56=2,F63*(S63-Q63),F63*(Q63-S63))</f>
        <v>0</v>
      </c>
      <c r="AE63" s="116" t="n">
        <f aca="false">IF($G$3=1,F63*(R63-Q63),F63*(Q63-R63))</f>
        <v>0</v>
      </c>
      <c r="AG63" s="116" t="n">
        <f aca="false">AC63+AE63</f>
        <v>0</v>
      </c>
    </row>
    <row r="64" customFormat="false" ht="12.75" hidden="false" customHeight="false" outlineLevel="0" collapsed="false">
      <c r="A64" s="120" t="n">
        <f aca="false">EDATE(A63,1)</f>
        <v>38930</v>
      </c>
      <c r="B64" s="121" t="n">
        <v>0</v>
      </c>
      <c r="C64" s="122"/>
      <c r="D64" s="123" t="n">
        <f aca="false">B64+C64</f>
        <v>0</v>
      </c>
      <c r="E64" s="111" t="n">
        <f aca="false">IF(Z64=0,0,IF(AND(Z64=1,$H$3=1),D64*U64,IF($H$3=2,D64,"N/A")))</f>
        <v>0</v>
      </c>
      <c r="F64" s="111" t="n">
        <f aca="false">E64*Y64</f>
        <v>0</v>
      </c>
      <c r="G64" s="124" t="n">
        <f aca="false">VLOOKUP($A64,Table,MATCH(G$4,Curves,0))</f>
        <v>3</v>
      </c>
      <c r="H64" s="125" t="n">
        <f aca="false">G64+$H$7</f>
        <v>3</v>
      </c>
      <c r="I64" s="124" t="n">
        <f aca="false">H64</f>
        <v>3</v>
      </c>
      <c r="J64" s="124" t="n">
        <f aca="false">VLOOKUP($A64,Table,MATCH(J$4,Curves,0))</f>
        <v>4</v>
      </c>
      <c r="K64" s="125" t="n">
        <f aca="false">J64+$K$7</f>
        <v>4</v>
      </c>
      <c r="L64" s="126" t="n">
        <f aca="false">K64</f>
        <v>4</v>
      </c>
      <c r="M64" s="124" t="n">
        <f aca="false">VLOOKUP($A64,Table,MATCH(M$4,Curves,0))</f>
        <v>4</v>
      </c>
      <c r="N64" s="125" t="n">
        <f aca="false">M64+$N$7</f>
        <v>4</v>
      </c>
      <c r="O64" s="126" t="n">
        <f aca="false">IF(B64&gt;0,(1000/B64*0.25)+((B64-1000)/B64*0.12),0)</f>
        <v>0</v>
      </c>
      <c r="P64" s="114"/>
      <c r="Q64" s="126" t="n">
        <f aca="false">M64+J64+G64</f>
        <v>11</v>
      </c>
      <c r="R64" s="126" t="n">
        <f aca="false">N64+K64+H64</f>
        <v>11</v>
      </c>
      <c r="S64" s="126" t="n">
        <f aca="false">O64+L64+I64</f>
        <v>7</v>
      </c>
      <c r="T64" s="127"/>
      <c r="U64" s="5" t="n">
        <f aca="false">A65-A64</f>
        <v>31</v>
      </c>
      <c r="V64" s="128" t="n">
        <f aca="false">CHOOSE(F$3,A65+24,A64)</f>
        <v>38930</v>
      </c>
      <c r="W64" s="5" t="n">
        <f aca="false">V64-C$3</f>
        <v>1699</v>
      </c>
      <c r="X64" s="124" t="n">
        <f aca="false">VLOOKUP($A64,Table,MATCH(X$4,Curves,0))</f>
        <v>2</v>
      </c>
      <c r="Y64" s="129" t="n">
        <f aca="false">1/(1+CHOOSE(F$3,(X65+($K$3/10000))/2,(X64+($K$3/10000))/2))^(2*W64/365.25)</f>
        <v>0.00158289692148293</v>
      </c>
      <c r="Z64" s="5" t="n">
        <f aca="false">IF(AND(mthbeg&lt;=A64,mthend&gt;=A64),1,0)</f>
        <v>0</v>
      </c>
      <c r="AA64" s="5" t="n">
        <f aca="false">U64*Z64</f>
        <v>0</v>
      </c>
      <c r="AC64" s="115" t="n">
        <f aca="false">IF(G57=2,F64*(S64-Q64),F64*(Q64-S64))</f>
        <v>0</v>
      </c>
      <c r="AE64" s="116" t="n">
        <f aca="false">IF($G$3=1,F64*(R64-Q64),F64*(Q64-R64))</f>
        <v>0</v>
      </c>
      <c r="AG64" s="116" t="n">
        <f aca="false">AC64+AE64</f>
        <v>0</v>
      </c>
    </row>
    <row r="65" customFormat="false" ht="12.75" hidden="false" customHeight="false" outlineLevel="0" collapsed="false">
      <c r="A65" s="120" t="n">
        <f aca="false">EDATE(A64,1)</f>
        <v>38961</v>
      </c>
      <c r="B65" s="121" t="n">
        <v>0</v>
      </c>
      <c r="C65" s="122"/>
      <c r="D65" s="123" t="n">
        <f aca="false">B65+C65</f>
        <v>0</v>
      </c>
      <c r="E65" s="111" t="n">
        <f aca="false">IF(Z65=0,0,IF(AND(Z65=1,$H$3=1),D65*U65,IF($H$3=2,D65,"N/A")))</f>
        <v>0</v>
      </c>
      <c r="F65" s="111" t="n">
        <f aca="false">E65*Y65</f>
        <v>0</v>
      </c>
      <c r="G65" s="124" t="n">
        <f aca="false">VLOOKUP($A65,Table,MATCH(G$4,Curves,0))</f>
        <v>3</v>
      </c>
      <c r="H65" s="125" t="n">
        <f aca="false">G65+$H$7</f>
        <v>3</v>
      </c>
      <c r="I65" s="124" t="n">
        <f aca="false">H65</f>
        <v>3</v>
      </c>
      <c r="J65" s="124" t="n">
        <f aca="false">VLOOKUP($A65,Table,MATCH(J$4,Curves,0))</f>
        <v>4</v>
      </c>
      <c r="K65" s="125" t="n">
        <f aca="false">J65+$K$7</f>
        <v>4</v>
      </c>
      <c r="L65" s="126" t="n">
        <f aca="false">K65</f>
        <v>4</v>
      </c>
      <c r="M65" s="124" t="n">
        <f aca="false">VLOOKUP($A65,Table,MATCH(M$4,Curves,0))</f>
        <v>4</v>
      </c>
      <c r="N65" s="125" t="n">
        <f aca="false">M65+$N$7</f>
        <v>4</v>
      </c>
      <c r="O65" s="126" t="n">
        <f aca="false">IF(B65&gt;0,(1000/B65*0.25)+((B65-1000)/B65*0.12),0)</f>
        <v>0</v>
      </c>
      <c r="P65" s="114"/>
      <c r="Q65" s="126" t="n">
        <f aca="false">M65+J65+G65</f>
        <v>11</v>
      </c>
      <c r="R65" s="126" t="n">
        <f aca="false">N65+K65+H65</f>
        <v>11</v>
      </c>
      <c r="S65" s="126" t="n">
        <f aca="false">O65+L65+I65</f>
        <v>7</v>
      </c>
      <c r="T65" s="127"/>
      <c r="U65" s="5" t="n">
        <f aca="false">A66-A65</f>
        <v>30</v>
      </c>
      <c r="V65" s="128" t="n">
        <f aca="false">CHOOSE(F$3,A66+24,A65)</f>
        <v>38961</v>
      </c>
      <c r="W65" s="5" t="n">
        <f aca="false">V65-C$3</f>
        <v>1730</v>
      </c>
      <c r="X65" s="124" t="n">
        <f aca="false">VLOOKUP($A65,Table,MATCH(X$4,Curves,0))</f>
        <v>2</v>
      </c>
      <c r="Y65" s="129" t="n">
        <f aca="false">1/(1+CHOOSE(F$3,(X66+($K$3/10000))/2,(X65+($K$3/10000))/2))^(2*W65/365.25)</f>
        <v>0.00140719334123845</v>
      </c>
      <c r="Z65" s="5" t="n">
        <f aca="false">IF(AND(mthbeg&lt;=A65,mthend&gt;=A65),1,0)</f>
        <v>0</v>
      </c>
      <c r="AA65" s="5" t="n">
        <f aca="false">U65*Z65</f>
        <v>0</v>
      </c>
      <c r="AC65" s="115" t="n">
        <f aca="false">IF(G58=2,F65*(S65-Q65),F65*(Q65-S65))</f>
        <v>0</v>
      </c>
      <c r="AE65" s="116" t="n">
        <f aca="false">IF($G$3=1,F65*(R65-Q65),F65*(Q65-R65))</f>
        <v>0</v>
      </c>
      <c r="AG65" s="116" t="n">
        <f aca="false">AC65+AE65</f>
        <v>0</v>
      </c>
    </row>
    <row r="66" customFormat="false" ht="12.75" hidden="false" customHeight="false" outlineLevel="0" collapsed="false">
      <c r="A66" s="120" t="n">
        <f aca="false">EDATE(A65,1)</f>
        <v>38991</v>
      </c>
      <c r="B66" s="121" t="n">
        <v>0</v>
      </c>
      <c r="C66" s="122"/>
      <c r="D66" s="123" t="n">
        <f aca="false">B66+C66</f>
        <v>0</v>
      </c>
      <c r="E66" s="111" t="n">
        <f aca="false">IF(Z66=0,0,IF(AND(Z66=1,$H$3=1),D66*U66,IF($H$3=2,D66,"N/A")))</f>
        <v>0</v>
      </c>
      <c r="F66" s="111" t="n">
        <f aca="false">E66*Y66</f>
        <v>0</v>
      </c>
      <c r="G66" s="124" t="n">
        <f aca="false">VLOOKUP($A66,Table,MATCH(G$4,Curves,0))</f>
        <v>3</v>
      </c>
      <c r="H66" s="125" t="n">
        <f aca="false">G66+$H$7</f>
        <v>3</v>
      </c>
      <c r="I66" s="124" t="n">
        <f aca="false">H66</f>
        <v>3</v>
      </c>
      <c r="J66" s="124" t="n">
        <f aca="false">VLOOKUP($A66,Table,MATCH(J$4,Curves,0))</f>
        <v>4</v>
      </c>
      <c r="K66" s="125" t="n">
        <f aca="false">J66+$K$7</f>
        <v>4</v>
      </c>
      <c r="L66" s="126" t="n">
        <f aca="false">K66</f>
        <v>4</v>
      </c>
      <c r="M66" s="124" t="n">
        <f aca="false">VLOOKUP($A66,Table,MATCH(M$4,Curves,0))</f>
        <v>4</v>
      </c>
      <c r="N66" s="125" t="n">
        <f aca="false">M66+$N$7</f>
        <v>4</v>
      </c>
      <c r="O66" s="126" t="n">
        <f aca="false">IF(B66&gt;0,(1000/B66*0.25)+((B66-1000)/B66*0.12),0)</f>
        <v>0</v>
      </c>
      <c r="P66" s="114"/>
      <c r="Q66" s="126" t="n">
        <f aca="false">M66+J66+G66</f>
        <v>11</v>
      </c>
      <c r="R66" s="126" t="n">
        <f aca="false">N66+K66+H66</f>
        <v>11</v>
      </c>
      <c r="S66" s="126" t="n">
        <f aca="false">O66+L66+I66</f>
        <v>7</v>
      </c>
      <c r="T66" s="127"/>
      <c r="U66" s="5" t="n">
        <f aca="false">A67-A66</f>
        <v>31</v>
      </c>
      <c r="V66" s="128" t="n">
        <f aca="false">CHOOSE(F$3,A67+24,A66)</f>
        <v>38991</v>
      </c>
      <c r="W66" s="5" t="n">
        <f aca="false">V66-C$3</f>
        <v>1760</v>
      </c>
      <c r="X66" s="124" t="n">
        <f aca="false">VLOOKUP($A66,Table,MATCH(X$4,Curves,0))</f>
        <v>2</v>
      </c>
      <c r="Y66" s="129" t="n">
        <f aca="false">1/(1+CHOOSE(F$3,(X67+($K$3/10000))/2,(X66+($K$3/10000))/2))^(2*W66/365.25)</f>
        <v>0.00125575020798447</v>
      </c>
      <c r="Z66" s="5" t="n">
        <f aca="false">IF(AND(mthbeg&lt;=A66,mthend&gt;=A66),1,0)</f>
        <v>0</v>
      </c>
      <c r="AA66" s="5" t="n">
        <f aca="false">U66*Z66</f>
        <v>0</v>
      </c>
      <c r="AC66" s="115" t="n">
        <f aca="false">IF(G59=2,F66*(S66-Q66),F66*(Q66-S66))</f>
        <v>0</v>
      </c>
      <c r="AE66" s="116" t="n">
        <f aca="false">IF($G$3=1,F66*(R66-Q66),F66*(Q66-R66))</f>
        <v>0</v>
      </c>
      <c r="AG66" s="116" t="n">
        <f aca="false">AC66+AE66</f>
        <v>0</v>
      </c>
    </row>
    <row r="67" customFormat="false" ht="12.75" hidden="false" customHeight="false" outlineLevel="0" collapsed="false">
      <c r="A67" s="120" t="n">
        <f aca="false">EDATE(A66,1)</f>
        <v>39022</v>
      </c>
      <c r="B67" s="121" t="n">
        <v>0</v>
      </c>
      <c r="C67" s="122"/>
      <c r="D67" s="123" t="n">
        <f aca="false">B67+C67</f>
        <v>0</v>
      </c>
      <c r="E67" s="111" t="n">
        <f aca="false">IF(Z67=0,0,IF(AND(Z67=1,$H$3=1),D67*U67,IF($H$3=2,D67,"N/A")))</f>
        <v>0</v>
      </c>
      <c r="F67" s="111" t="n">
        <f aca="false">E67*Y67</f>
        <v>0</v>
      </c>
      <c r="G67" s="124" t="n">
        <f aca="false">VLOOKUP($A67,Table,MATCH(G$4,Curves,0))</f>
        <v>3</v>
      </c>
      <c r="H67" s="125" t="n">
        <f aca="false">G67+$H$7</f>
        <v>3</v>
      </c>
      <c r="I67" s="124" t="n">
        <f aca="false">H67</f>
        <v>3</v>
      </c>
      <c r="J67" s="124" t="n">
        <f aca="false">VLOOKUP($A67,Table,MATCH(J$4,Curves,0))</f>
        <v>4</v>
      </c>
      <c r="K67" s="125" t="n">
        <f aca="false">J67+$K$7</f>
        <v>4</v>
      </c>
      <c r="L67" s="126" t="n">
        <f aca="false">K67</f>
        <v>4</v>
      </c>
      <c r="M67" s="124" t="n">
        <f aca="false">VLOOKUP($A67,Table,MATCH(M$4,Curves,0))</f>
        <v>4</v>
      </c>
      <c r="N67" s="125" t="n">
        <f aca="false">M67+$N$7</f>
        <v>4</v>
      </c>
      <c r="O67" s="126" t="n">
        <f aca="false">IF(B67&gt;0,(1000/B67*0.25)+((B67-1000)/B67*0.12),0)</f>
        <v>0</v>
      </c>
      <c r="P67" s="114"/>
      <c r="Q67" s="126" t="n">
        <f aca="false">M67+J67+G67</f>
        <v>11</v>
      </c>
      <c r="R67" s="126" t="n">
        <f aca="false">N67+K67+H67</f>
        <v>11</v>
      </c>
      <c r="S67" s="126" t="n">
        <f aca="false">O67+L67+I67</f>
        <v>7</v>
      </c>
      <c r="T67" s="127"/>
      <c r="U67" s="5" t="n">
        <f aca="false">A68-A67</f>
        <v>30</v>
      </c>
      <c r="V67" s="128" t="n">
        <f aca="false">CHOOSE(F$3,A68+24,A67)</f>
        <v>39022</v>
      </c>
      <c r="W67" s="5" t="n">
        <f aca="false">V67-C$3</f>
        <v>1791</v>
      </c>
      <c r="X67" s="124" t="n">
        <f aca="false">VLOOKUP($A67,Table,MATCH(X$4,Curves,0))</f>
        <v>2</v>
      </c>
      <c r="Y67" s="129" t="n">
        <f aca="false">1/(1+CHOOSE(F$3,(X68+($K$3/10000))/2,(X67+($K$3/10000))/2))^(2*W67/365.25)</f>
        <v>0.00111636033082877</v>
      </c>
      <c r="Z67" s="5" t="n">
        <f aca="false">IF(AND(mthbeg&lt;=A67,mthend&gt;=A67),1,0)</f>
        <v>0</v>
      </c>
      <c r="AA67" s="5" t="n">
        <f aca="false">U67*Z67</f>
        <v>0</v>
      </c>
      <c r="AC67" s="115" t="n">
        <f aca="false">IF(G60=2,F67*(S67-Q67),F67*(Q67-S67))</f>
        <v>0</v>
      </c>
      <c r="AE67" s="116" t="n">
        <f aca="false">IF($G$3=1,F67*(R67-Q67),F67*(Q67-R67))</f>
        <v>0</v>
      </c>
      <c r="AG67" s="116" t="n">
        <f aca="false">AC67+AE67</f>
        <v>0</v>
      </c>
    </row>
    <row r="68" customFormat="false" ht="12.75" hidden="false" customHeight="false" outlineLevel="0" collapsed="false">
      <c r="A68" s="120" t="n">
        <f aca="false">EDATE(A67,1)</f>
        <v>39052</v>
      </c>
      <c r="B68" s="121" t="n">
        <v>0</v>
      </c>
      <c r="C68" s="122"/>
      <c r="D68" s="123" t="n">
        <f aca="false">B68+C68</f>
        <v>0</v>
      </c>
      <c r="E68" s="111" t="n">
        <f aca="false">IF(Z68=0,0,IF(AND(Z68=1,$H$3=1),D68*U68,IF($H$3=2,D68,"N/A")))</f>
        <v>0</v>
      </c>
      <c r="F68" s="111" t="n">
        <f aca="false">E68*Y68</f>
        <v>0</v>
      </c>
      <c r="G68" s="124" t="n">
        <f aca="false">VLOOKUP($A68,Table,MATCH(G$4,Curves,0))</f>
        <v>3</v>
      </c>
      <c r="H68" s="125" t="n">
        <f aca="false">G68+$H$7</f>
        <v>3</v>
      </c>
      <c r="I68" s="124" t="n">
        <f aca="false">H68</f>
        <v>3</v>
      </c>
      <c r="J68" s="124" t="n">
        <f aca="false">VLOOKUP($A68,Table,MATCH(J$4,Curves,0))</f>
        <v>4</v>
      </c>
      <c r="K68" s="125" t="n">
        <f aca="false">J68+$K$7</f>
        <v>4</v>
      </c>
      <c r="L68" s="126" t="n">
        <f aca="false">K68</f>
        <v>4</v>
      </c>
      <c r="M68" s="124" t="n">
        <f aca="false">VLOOKUP($A68,Table,MATCH(M$4,Curves,0))</f>
        <v>4</v>
      </c>
      <c r="N68" s="125" t="n">
        <f aca="false">M68+$N$7</f>
        <v>4</v>
      </c>
      <c r="O68" s="126" t="n">
        <f aca="false">IF(B68&gt;0,(1000/B68*0.25)+((B68-1000)/B68*0.12),0)</f>
        <v>0</v>
      </c>
      <c r="P68" s="114"/>
      <c r="Q68" s="126" t="n">
        <f aca="false">M68+J68+G68</f>
        <v>11</v>
      </c>
      <c r="R68" s="126" t="n">
        <f aca="false">N68+K68+H68</f>
        <v>11</v>
      </c>
      <c r="S68" s="126" t="n">
        <f aca="false">O68+L68+I68</f>
        <v>7</v>
      </c>
      <c r="T68" s="127"/>
      <c r="U68" s="5" t="n">
        <f aca="false">A69-A68</f>
        <v>31</v>
      </c>
      <c r="V68" s="128" t="n">
        <f aca="false">CHOOSE(F$3,A69+24,A68)</f>
        <v>39052</v>
      </c>
      <c r="W68" s="5" t="n">
        <f aca="false">V68-C$3</f>
        <v>1821</v>
      </c>
      <c r="X68" s="124" t="n">
        <f aca="false">VLOOKUP($A68,Table,MATCH(X$4,Curves,0))</f>
        <v>2</v>
      </c>
      <c r="Y68" s="129" t="n">
        <f aca="false">1/(1+CHOOSE(F$3,(X69+($K$3/10000))/2,(X68+($K$3/10000))/2))^(2*W68/365.25)</f>
        <v>0.000996216849910671</v>
      </c>
      <c r="Z68" s="5" t="n">
        <f aca="false">IF(AND(mthbeg&lt;=A68,mthend&gt;=A68),1,0)</f>
        <v>0</v>
      </c>
      <c r="AA68" s="5" t="n">
        <f aca="false">U68*Z68</f>
        <v>0</v>
      </c>
      <c r="AC68" s="115" t="n">
        <f aca="false">IF(G61=2,F68*(S68-Q68),F68*(Q68-S68))</f>
        <v>0</v>
      </c>
      <c r="AE68" s="116" t="n">
        <f aca="false">IF($G$3=1,F68*(R68-Q68),F68*(Q68-R68))</f>
        <v>0</v>
      </c>
      <c r="AG68" s="116" t="n">
        <f aca="false">AC68+AE68</f>
        <v>0</v>
      </c>
    </row>
    <row r="69" customFormat="false" ht="12.75" hidden="false" customHeight="false" outlineLevel="0" collapsed="false">
      <c r="A69" s="120" t="n">
        <f aca="false">EDATE(A68,1)</f>
        <v>39083</v>
      </c>
      <c r="B69" s="121" t="n">
        <v>0</v>
      </c>
      <c r="C69" s="122"/>
      <c r="D69" s="123" t="n">
        <f aca="false">B69+C69</f>
        <v>0</v>
      </c>
      <c r="E69" s="111" t="n">
        <f aca="false">IF(Z69=0,0,IF(AND(Z69=1,$H$3=1),D69*U69,IF($H$3=2,D69,"N/A")))</f>
        <v>0</v>
      </c>
      <c r="F69" s="111" t="n">
        <f aca="false">E69*Y69</f>
        <v>0</v>
      </c>
      <c r="G69" s="124" t="n">
        <f aca="false">VLOOKUP($A69,Table,MATCH(G$4,Curves,0))</f>
        <v>3</v>
      </c>
      <c r="H69" s="125" t="n">
        <f aca="false">G69+$H$7</f>
        <v>3</v>
      </c>
      <c r="I69" s="124" t="n">
        <f aca="false">H69</f>
        <v>3</v>
      </c>
      <c r="J69" s="124" t="n">
        <f aca="false">VLOOKUP($A69,Table,MATCH(J$4,Curves,0))</f>
        <v>4</v>
      </c>
      <c r="K69" s="125" t="n">
        <f aca="false">J69+$K$7</f>
        <v>4</v>
      </c>
      <c r="L69" s="126" t="n">
        <f aca="false">K69</f>
        <v>4</v>
      </c>
      <c r="M69" s="124" t="n">
        <f aca="false">VLOOKUP($A69,Table,MATCH(M$4,Curves,0))</f>
        <v>4</v>
      </c>
      <c r="N69" s="125" t="n">
        <f aca="false">M69+$N$7</f>
        <v>4</v>
      </c>
      <c r="O69" s="126" t="n">
        <f aca="false">IF(B69&gt;0,(1000/B69*0.25)+((B69-1000)/B69*0.12),0)</f>
        <v>0</v>
      </c>
      <c r="P69" s="114"/>
      <c r="Q69" s="126" t="n">
        <f aca="false">M69+J69+G69</f>
        <v>11</v>
      </c>
      <c r="R69" s="126" t="n">
        <f aca="false">N69+K69+H69</f>
        <v>11</v>
      </c>
      <c r="S69" s="126" t="n">
        <f aca="false">O69+L69+I69</f>
        <v>7</v>
      </c>
      <c r="T69" s="127"/>
      <c r="U69" s="5" t="n">
        <f aca="false">A70-A69</f>
        <v>31</v>
      </c>
      <c r="V69" s="128" t="n">
        <f aca="false">CHOOSE(F$3,A70+24,A69)</f>
        <v>39083</v>
      </c>
      <c r="W69" s="5" t="n">
        <f aca="false">V69-C$3</f>
        <v>1852</v>
      </c>
      <c r="X69" s="124" t="n">
        <f aca="false">VLOOKUP($A69,Table,MATCH(X$4,Curves,0))</f>
        <v>2</v>
      </c>
      <c r="Y69" s="129" t="n">
        <f aca="false">1/(1+CHOOSE(F$3,(X70+($K$3/10000))/2,(X69+($K$3/10000))/2))^(2*W69/365.25)</f>
        <v>0.000885635507023727</v>
      </c>
      <c r="Z69" s="5" t="n">
        <f aca="false">IF(AND(mthbeg&lt;=A69,mthend&gt;=A69),1,0)</f>
        <v>0</v>
      </c>
      <c r="AA69" s="5" t="n">
        <f aca="false">U69*Z69</f>
        <v>0</v>
      </c>
      <c r="AC69" s="115" t="n">
        <f aca="false">IF(G62=2,F69*(S69-Q69),F69*(Q69-S69))</f>
        <v>0</v>
      </c>
      <c r="AE69" s="116" t="n">
        <f aca="false">IF($G$3=1,F69*(R69-Q69),F69*(Q69-R69))</f>
        <v>0</v>
      </c>
      <c r="AG69" s="116" t="n">
        <f aca="false">AC69+AE69</f>
        <v>0</v>
      </c>
    </row>
    <row r="70" customFormat="false" ht="12.75" hidden="false" customHeight="false" outlineLevel="0" collapsed="false">
      <c r="A70" s="120" t="n">
        <f aca="false">EDATE(A69,1)</f>
        <v>39114</v>
      </c>
      <c r="B70" s="121" t="n">
        <v>0</v>
      </c>
      <c r="C70" s="122"/>
      <c r="D70" s="123" t="n">
        <f aca="false">B70+C70</f>
        <v>0</v>
      </c>
      <c r="E70" s="111" t="n">
        <f aca="false">IF(Z70=0,0,IF(AND(Z70=1,$H$3=1),D70*U70,IF($H$3=2,D70,"N/A")))</f>
        <v>0</v>
      </c>
      <c r="F70" s="111" t="n">
        <f aca="false">E70*Y70</f>
        <v>0</v>
      </c>
      <c r="G70" s="124" t="n">
        <f aca="false">VLOOKUP($A70,Table,MATCH(G$4,Curves,0))</f>
        <v>3</v>
      </c>
      <c r="H70" s="125" t="n">
        <f aca="false">G70+$H$7</f>
        <v>3</v>
      </c>
      <c r="I70" s="124" t="n">
        <f aca="false">H70</f>
        <v>3</v>
      </c>
      <c r="J70" s="124" t="n">
        <f aca="false">VLOOKUP($A70,Table,MATCH(J$4,Curves,0))</f>
        <v>4</v>
      </c>
      <c r="K70" s="125" t="n">
        <f aca="false">J70+$K$7</f>
        <v>4</v>
      </c>
      <c r="L70" s="126" t="n">
        <f aca="false">K70</f>
        <v>4</v>
      </c>
      <c r="M70" s="124" t="n">
        <f aca="false">VLOOKUP($A70,Table,MATCH(M$4,Curves,0))</f>
        <v>4</v>
      </c>
      <c r="N70" s="125" t="n">
        <f aca="false">M70+$N$7</f>
        <v>4</v>
      </c>
      <c r="O70" s="126" t="n">
        <f aca="false">IF(B70&gt;0,(1000/B70*0.25)+((B70-1000)/B70*0.12),0)</f>
        <v>0</v>
      </c>
      <c r="P70" s="114"/>
      <c r="Q70" s="126" t="n">
        <f aca="false">M70+J70+G70</f>
        <v>11</v>
      </c>
      <c r="R70" s="126" t="n">
        <f aca="false">N70+K70+H70</f>
        <v>11</v>
      </c>
      <c r="S70" s="126" t="n">
        <f aca="false">O70+L70+I70</f>
        <v>7</v>
      </c>
      <c r="T70" s="127"/>
      <c r="U70" s="5" t="n">
        <f aca="false">A71-A70</f>
        <v>28</v>
      </c>
      <c r="V70" s="128" t="n">
        <f aca="false">CHOOSE(F$3,A71+24,A70)</f>
        <v>39114</v>
      </c>
      <c r="W70" s="5" t="n">
        <f aca="false">V70-C$3</f>
        <v>1883</v>
      </c>
      <c r="X70" s="124" t="n">
        <f aca="false">VLOOKUP($A70,Table,MATCH(X$4,Curves,0))</f>
        <v>2</v>
      </c>
      <c r="Y70" s="129" t="n">
        <f aca="false">1/(1+CHOOSE(F$3,(X71+($K$3/10000))/2,(X70+($K$3/10000))/2))^(2*W70/365.25)</f>
        <v>0.000787328834451561</v>
      </c>
      <c r="Z70" s="5" t="n">
        <f aca="false">IF(AND(mthbeg&lt;=A70,mthend&gt;=A70),1,0)</f>
        <v>0</v>
      </c>
      <c r="AA70" s="5" t="n">
        <f aca="false">U70*Z70</f>
        <v>0</v>
      </c>
      <c r="AC70" s="115" t="n">
        <f aca="false">IF(G63=2,F70*(S70-Q70),F70*(Q70-S70))</f>
        <v>0</v>
      </c>
      <c r="AE70" s="116" t="n">
        <f aca="false">IF($G$3=1,F70*(R70-Q70),F70*(Q70-R70))</f>
        <v>0</v>
      </c>
      <c r="AG70" s="116" t="n">
        <f aca="false">AC70+AE70</f>
        <v>0</v>
      </c>
    </row>
    <row r="71" customFormat="false" ht="12.75" hidden="false" customHeight="false" outlineLevel="0" collapsed="false">
      <c r="A71" s="120" t="n">
        <f aca="false">EDATE(A70,1)</f>
        <v>39142</v>
      </c>
      <c r="B71" s="121" t="n">
        <v>0</v>
      </c>
      <c r="C71" s="122"/>
      <c r="D71" s="123" t="n">
        <f aca="false">B71+C71</f>
        <v>0</v>
      </c>
      <c r="E71" s="111" t="n">
        <f aca="false">IF(Z71=0,0,IF(AND(Z71=1,$H$3=1),D71*U71,IF($H$3=2,D71,"N/A")))</f>
        <v>0</v>
      </c>
      <c r="F71" s="111" t="n">
        <f aca="false">E71*Y71</f>
        <v>0</v>
      </c>
      <c r="G71" s="124" t="n">
        <f aca="false">VLOOKUP($A71,Table,MATCH(G$4,Curves,0))</f>
        <v>3</v>
      </c>
      <c r="H71" s="125" t="n">
        <f aca="false">G71+$H$7</f>
        <v>3</v>
      </c>
      <c r="I71" s="124" t="n">
        <f aca="false">H71</f>
        <v>3</v>
      </c>
      <c r="J71" s="124" t="n">
        <f aca="false">VLOOKUP($A71,Table,MATCH(J$4,Curves,0))</f>
        <v>4</v>
      </c>
      <c r="K71" s="125" t="n">
        <f aca="false">J71+$K$7</f>
        <v>4</v>
      </c>
      <c r="L71" s="126" t="n">
        <f aca="false">K71</f>
        <v>4</v>
      </c>
      <c r="M71" s="124" t="n">
        <f aca="false">VLOOKUP($A71,Table,MATCH(M$4,Curves,0))</f>
        <v>4</v>
      </c>
      <c r="N71" s="125" t="n">
        <f aca="false">M71+$N$7</f>
        <v>4</v>
      </c>
      <c r="O71" s="126" t="n">
        <f aca="false">IF(B71&gt;0,(1000/B71*0.25)+((B71-1000)/B71*0.12),0)</f>
        <v>0</v>
      </c>
      <c r="P71" s="114"/>
      <c r="Q71" s="126" t="n">
        <f aca="false">M71+J71+G71</f>
        <v>11</v>
      </c>
      <c r="R71" s="126" t="n">
        <f aca="false">N71+K71+H71</f>
        <v>11</v>
      </c>
      <c r="S71" s="126" t="n">
        <f aca="false">O71+L71+I71</f>
        <v>7</v>
      </c>
      <c r="T71" s="127"/>
      <c r="U71" s="5" t="n">
        <f aca="false">A72-A71</f>
        <v>31</v>
      </c>
      <c r="V71" s="128" t="n">
        <f aca="false">CHOOSE(F$3,A72+24,A71)</f>
        <v>39142</v>
      </c>
      <c r="W71" s="5" t="n">
        <f aca="false">V71-C$3</f>
        <v>1911</v>
      </c>
      <c r="X71" s="124" t="n">
        <f aca="false">VLOOKUP($A71,Table,MATCH(X$4,Curves,0))</f>
        <v>2</v>
      </c>
      <c r="Y71" s="129" t="n">
        <f aca="false">1/(1+CHOOSE(F$3,(X72+($K$3/10000))/2,(X71+($K$3/10000))/2))^(2*W71/365.25)</f>
        <v>0.000707949607263949</v>
      </c>
      <c r="Z71" s="5" t="n">
        <f aca="false">IF(AND(mthbeg&lt;=A71,mthend&gt;=A71),1,0)</f>
        <v>0</v>
      </c>
      <c r="AA71" s="5" t="n">
        <f aca="false">U71*Z71</f>
        <v>0</v>
      </c>
      <c r="AC71" s="115" t="n">
        <f aca="false">IF(G64=2,F71*(S71-Q71),F71*(Q71-S71))</f>
        <v>0</v>
      </c>
      <c r="AE71" s="116" t="n">
        <f aca="false">IF($G$3=1,F71*(R71-Q71),F71*(Q71-R71))</f>
        <v>0</v>
      </c>
      <c r="AG71" s="116" t="n">
        <f aca="false">AC71+AE71</f>
        <v>0</v>
      </c>
    </row>
    <row r="72" customFormat="false" ht="12.75" hidden="false" customHeight="false" outlineLevel="0" collapsed="false">
      <c r="A72" s="120" t="n">
        <f aca="false">EDATE(A71,1)</f>
        <v>39173</v>
      </c>
      <c r="B72" s="121" t="n">
        <v>0</v>
      </c>
      <c r="C72" s="122"/>
      <c r="D72" s="123" t="n">
        <f aca="false">B72+C72</f>
        <v>0</v>
      </c>
      <c r="E72" s="111" t="n">
        <f aca="false">IF(Z72=0,0,IF(AND(Z72=1,$H$3=1),D72*U72,IF($H$3=2,D72,"N/A")))</f>
        <v>0</v>
      </c>
      <c r="F72" s="111" t="n">
        <f aca="false">E72*Y72</f>
        <v>0</v>
      </c>
      <c r="G72" s="124" t="n">
        <f aca="false">VLOOKUP($A72,Table,MATCH(G$4,Curves,0))</f>
        <v>3</v>
      </c>
      <c r="H72" s="125" t="n">
        <f aca="false">G72+$H$7</f>
        <v>3</v>
      </c>
      <c r="I72" s="124" t="n">
        <f aca="false">H72</f>
        <v>3</v>
      </c>
      <c r="J72" s="124" t="n">
        <f aca="false">VLOOKUP($A72,Table,MATCH(J$4,Curves,0))</f>
        <v>4</v>
      </c>
      <c r="K72" s="125" t="n">
        <f aca="false">J72+$K$7</f>
        <v>4</v>
      </c>
      <c r="L72" s="126" t="n">
        <f aca="false">K72</f>
        <v>4</v>
      </c>
      <c r="M72" s="124" t="n">
        <f aca="false">VLOOKUP($A72,Table,MATCH(M$4,Curves,0))</f>
        <v>4</v>
      </c>
      <c r="N72" s="125" t="n">
        <f aca="false">M72+$N$7</f>
        <v>4</v>
      </c>
      <c r="O72" s="126" t="n">
        <f aca="false">IF(B72&gt;0,(1000/B72*0.25)+((B72-1000)/B72*0.12),0)</f>
        <v>0</v>
      </c>
      <c r="P72" s="114"/>
      <c r="Q72" s="126" t="n">
        <f aca="false">M72+J72+G72</f>
        <v>11</v>
      </c>
      <c r="R72" s="126" t="n">
        <f aca="false">N72+K72+H72</f>
        <v>11</v>
      </c>
      <c r="S72" s="126" t="n">
        <f aca="false">O72+L72+I72</f>
        <v>7</v>
      </c>
      <c r="T72" s="127"/>
      <c r="U72" s="5" t="n">
        <f aca="false">A73-A72</f>
        <v>30</v>
      </c>
      <c r="V72" s="128" t="n">
        <f aca="false">CHOOSE(F$3,A73+24,A72)</f>
        <v>39173</v>
      </c>
      <c r="W72" s="5" t="n">
        <f aca="false">V72-C$3</f>
        <v>1942</v>
      </c>
      <c r="X72" s="124" t="n">
        <f aca="false">VLOOKUP($A72,Table,MATCH(X$4,Curves,0))</f>
        <v>2</v>
      </c>
      <c r="Y72" s="129" t="n">
        <f aca="false">1/(1+CHOOSE(F$3,(X73+($K$3/10000))/2,(X72+($K$3/10000))/2))^(2*W72/365.25)</f>
        <v>0.000629366296537423</v>
      </c>
      <c r="Z72" s="5" t="n">
        <f aca="false">IF(AND(mthbeg&lt;=A72,mthend&gt;=A72),1,0)</f>
        <v>0</v>
      </c>
      <c r="AA72" s="5" t="n">
        <f aca="false">U72*Z72</f>
        <v>0</v>
      </c>
      <c r="AC72" s="115" t="n">
        <f aca="false">IF(G65=2,F72*(S72-Q72),F72*(Q72-S72))</f>
        <v>0</v>
      </c>
      <c r="AE72" s="116" t="n">
        <f aca="false">IF($G$3=1,F72*(R72-Q72),F72*(Q72-R72))</f>
        <v>0</v>
      </c>
      <c r="AG72" s="116" t="n">
        <f aca="false">AC72+AE72</f>
        <v>0</v>
      </c>
    </row>
    <row r="73" customFormat="false" ht="12.75" hidden="false" customHeight="false" outlineLevel="0" collapsed="false">
      <c r="A73" s="120" t="n">
        <f aca="false">EDATE(A72,1)</f>
        <v>39203</v>
      </c>
      <c r="B73" s="121" t="n">
        <v>0</v>
      </c>
      <c r="C73" s="122"/>
      <c r="D73" s="123" t="n">
        <f aca="false">B73+C73</f>
        <v>0</v>
      </c>
      <c r="E73" s="111" t="n">
        <f aca="false">IF(Z73=0,0,IF(AND(Z73=1,$H$3=1),D73*U73,IF($H$3=2,D73,"N/A")))</f>
        <v>0</v>
      </c>
      <c r="F73" s="111" t="n">
        <f aca="false">E73*Y73</f>
        <v>0</v>
      </c>
      <c r="G73" s="124" t="n">
        <f aca="false">VLOOKUP($A73,Table,MATCH(G$4,Curves,0))</f>
        <v>3</v>
      </c>
      <c r="H73" s="125" t="n">
        <f aca="false">G73+$H$7</f>
        <v>3</v>
      </c>
      <c r="I73" s="124" t="n">
        <f aca="false">H73</f>
        <v>3</v>
      </c>
      <c r="J73" s="124" t="n">
        <f aca="false">VLOOKUP($A73,Table,MATCH(J$4,Curves,0))</f>
        <v>4</v>
      </c>
      <c r="K73" s="125" t="n">
        <f aca="false">J73+$K$7</f>
        <v>4</v>
      </c>
      <c r="L73" s="126" t="n">
        <f aca="false">K73</f>
        <v>4</v>
      </c>
      <c r="M73" s="124" t="n">
        <f aca="false">VLOOKUP($A73,Table,MATCH(M$4,Curves,0))</f>
        <v>4</v>
      </c>
      <c r="N73" s="125" t="n">
        <f aca="false">M73+$N$7</f>
        <v>4</v>
      </c>
      <c r="O73" s="126" t="n">
        <f aca="false">IF(B73&gt;0,(1000/B73*0.25)+((B73-1000)/B73*0.12),0)</f>
        <v>0</v>
      </c>
      <c r="P73" s="114"/>
      <c r="Q73" s="126" t="n">
        <f aca="false">M73+J73+G73</f>
        <v>11</v>
      </c>
      <c r="R73" s="126" t="n">
        <f aca="false">N73+K73+H73</f>
        <v>11</v>
      </c>
      <c r="S73" s="126" t="n">
        <f aca="false">O73+L73+I73</f>
        <v>7</v>
      </c>
      <c r="T73" s="127"/>
      <c r="U73" s="5" t="n">
        <f aca="false">A74-A73</f>
        <v>31</v>
      </c>
      <c r="V73" s="128" t="n">
        <f aca="false">CHOOSE(F$3,A74+24,A73)</f>
        <v>39203</v>
      </c>
      <c r="W73" s="5" t="n">
        <f aca="false">V73-C$3</f>
        <v>1972</v>
      </c>
      <c r="X73" s="124" t="n">
        <f aca="false">VLOOKUP($A73,Table,MATCH(X$4,Curves,0))</f>
        <v>2</v>
      </c>
      <c r="Y73" s="129" t="n">
        <f aca="false">1/(1+CHOOSE(F$3,(X74+($K$3/10000))/2,(X73+($K$3/10000))/2))^(2*W73/365.25)</f>
        <v>0.000561633454774402</v>
      </c>
      <c r="Z73" s="5" t="n">
        <f aca="false">IF(AND(mthbeg&lt;=A73,mthend&gt;=A73),1,0)</f>
        <v>0</v>
      </c>
      <c r="AA73" s="5" t="n">
        <f aca="false">U73*Z73</f>
        <v>0</v>
      </c>
      <c r="AC73" s="115" t="n">
        <f aca="false">IF(G66=2,F73*(S73-Q73),F73*(Q73-S73))</f>
        <v>0</v>
      </c>
      <c r="AE73" s="116" t="n">
        <f aca="false">IF($G$3=1,F73*(R73-Q73),F73*(Q73-R73))</f>
        <v>0</v>
      </c>
      <c r="AG73" s="116" t="n">
        <f aca="false">AC73+AE73</f>
        <v>0</v>
      </c>
    </row>
    <row r="74" customFormat="false" ht="12.75" hidden="false" customHeight="false" outlineLevel="0" collapsed="false">
      <c r="A74" s="120" t="n">
        <f aca="false">EDATE(A73,1)</f>
        <v>39234</v>
      </c>
      <c r="B74" s="121" t="n">
        <v>0</v>
      </c>
      <c r="C74" s="122"/>
      <c r="D74" s="123" t="n">
        <f aca="false">B74+C74</f>
        <v>0</v>
      </c>
      <c r="E74" s="111" t="n">
        <f aca="false">IF(Z74=0,0,IF(AND(Z74=1,$H$3=1),D74*U74,IF($H$3=2,D74,"N/A")))</f>
        <v>0</v>
      </c>
      <c r="F74" s="111" t="n">
        <f aca="false">E74*Y74</f>
        <v>0</v>
      </c>
      <c r="G74" s="124" t="n">
        <f aca="false">VLOOKUP($A74,Table,MATCH(G$4,Curves,0))</f>
        <v>3</v>
      </c>
      <c r="H74" s="125" t="n">
        <f aca="false">G74+$H$7</f>
        <v>3</v>
      </c>
      <c r="I74" s="124" t="n">
        <f aca="false">H74</f>
        <v>3</v>
      </c>
      <c r="J74" s="124" t="n">
        <f aca="false">VLOOKUP($A74,Table,MATCH(J$4,Curves,0))</f>
        <v>4</v>
      </c>
      <c r="K74" s="125" t="n">
        <f aca="false">J74+$K$7</f>
        <v>4</v>
      </c>
      <c r="L74" s="126" t="n">
        <f aca="false">K74</f>
        <v>4</v>
      </c>
      <c r="M74" s="124" t="n">
        <f aca="false">VLOOKUP($A74,Table,MATCH(M$4,Curves,0))</f>
        <v>4</v>
      </c>
      <c r="N74" s="125" t="n">
        <f aca="false">M74+$N$7</f>
        <v>4</v>
      </c>
      <c r="O74" s="126" t="n">
        <f aca="false">IF(B74&gt;0,(1000/B74*0.25)+((B74-1000)/B74*0.12),0)</f>
        <v>0</v>
      </c>
      <c r="P74" s="114"/>
      <c r="Q74" s="126" t="n">
        <f aca="false">M74+J74+G74</f>
        <v>11</v>
      </c>
      <c r="R74" s="126" t="n">
        <f aca="false">N74+K74+H74</f>
        <v>11</v>
      </c>
      <c r="S74" s="126" t="n">
        <f aca="false">O74+L74+I74</f>
        <v>7</v>
      </c>
      <c r="T74" s="127"/>
      <c r="U74" s="5" t="n">
        <f aca="false">A75-A74</f>
        <v>30</v>
      </c>
      <c r="V74" s="128" t="n">
        <f aca="false">CHOOSE(F$3,A75+24,A74)</f>
        <v>39234</v>
      </c>
      <c r="W74" s="5" t="n">
        <f aca="false">V74-C$3</f>
        <v>2003</v>
      </c>
      <c r="X74" s="124" t="n">
        <f aca="false">VLOOKUP($A74,Table,MATCH(X$4,Curves,0))</f>
        <v>2</v>
      </c>
      <c r="Y74" s="129" t="n">
        <f aca="false">1/(1+CHOOSE(F$3,(X75+($K$3/10000))/2,(X74+($K$3/10000))/2))^(2*W74/365.25)</f>
        <v>0.00049929142387545</v>
      </c>
      <c r="Z74" s="5" t="n">
        <f aca="false">IF(AND(mthbeg&lt;=A74,mthend&gt;=A74),1,0)</f>
        <v>0</v>
      </c>
      <c r="AA74" s="5" t="n">
        <f aca="false">U74*Z74</f>
        <v>0</v>
      </c>
      <c r="AC74" s="115" t="n">
        <f aca="false">IF(G67=2,F74*(S74-Q74),F74*(Q74-S74))</f>
        <v>0</v>
      </c>
      <c r="AE74" s="116" t="n">
        <f aca="false">IF($G$3=1,F74*(R74-Q74),F74*(Q74-R74))</f>
        <v>0</v>
      </c>
      <c r="AG74" s="116" t="n">
        <f aca="false">AC74+AE74</f>
        <v>0</v>
      </c>
    </row>
    <row r="75" customFormat="false" ht="12.75" hidden="false" customHeight="false" outlineLevel="0" collapsed="false">
      <c r="A75" s="120" t="n">
        <f aca="false">EDATE(A74,1)</f>
        <v>39264</v>
      </c>
      <c r="B75" s="121" t="n">
        <v>0</v>
      </c>
      <c r="C75" s="122"/>
      <c r="D75" s="123" t="n">
        <f aca="false">B75+C75</f>
        <v>0</v>
      </c>
      <c r="E75" s="111" t="n">
        <f aca="false">IF(Z75=0,0,IF(AND(Z75=1,$H$3=1),D75*U75,IF($H$3=2,D75,"N/A")))</f>
        <v>0</v>
      </c>
      <c r="F75" s="111" t="n">
        <f aca="false">E75*Y75</f>
        <v>0</v>
      </c>
      <c r="G75" s="124" t="n">
        <f aca="false">VLOOKUP($A75,Table,MATCH(G$4,Curves,0))</f>
        <v>3</v>
      </c>
      <c r="H75" s="125" t="n">
        <f aca="false">G75+$H$7</f>
        <v>3</v>
      </c>
      <c r="I75" s="124" t="n">
        <f aca="false">H75</f>
        <v>3</v>
      </c>
      <c r="J75" s="124" t="n">
        <f aca="false">VLOOKUP($A75,Table,MATCH(J$4,Curves,0))</f>
        <v>4</v>
      </c>
      <c r="K75" s="125" t="n">
        <f aca="false">J75+$K$7</f>
        <v>4</v>
      </c>
      <c r="L75" s="126" t="n">
        <f aca="false">K75</f>
        <v>4</v>
      </c>
      <c r="M75" s="124" t="n">
        <f aca="false">VLOOKUP($A75,Table,MATCH(M$4,Curves,0))</f>
        <v>4</v>
      </c>
      <c r="N75" s="125" t="n">
        <f aca="false">M75+$N$7</f>
        <v>4</v>
      </c>
      <c r="O75" s="126" t="n">
        <f aca="false">IF(B75&gt;0,(1000/B75*0.25)+((B75-1000)/B75*0.12),0)</f>
        <v>0</v>
      </c>
      <c r="P75" s="114"/>
      <c r="Q75" s="126" t="n">
        <f aca="false">M75+J75+G75</f>
        <v>11</v>
      </c>
      <c r="R75" s="126" t="n">
        <f aca="false">N75+K75+H75</f>
        <v>11</v>
      </c>
      <c r="S75" s="126" t="n">
        <f aca="false">O75+L75+I75</f>
        <v>7</v>
      </c>
      <c r="T75" s="127"/>
      <c r="U75" s="5" t="n">
        <f aca="false">A76-A75</f>
        <v>31</v>
      </c>
      <c r="V75" s="128" t="n">
        <f aca="false">CHOOSE(F$3,A76+24,A75)</f>
        <v>39264</v>
      </c>
      <c r="W75" s="5" t="n">
        <f aca="false">V75-C$3</f>
        <v>2033</v>
      </c>
      <c r="X75" s="124" t="n">
        <f aca="false">VLOOKUP($A75,Table,MATCH(X$4,Curves,0))</f>
        <v>2</v>
      </c>
      <c r="Y75" s="129" t="n">
        <f aca="false">1/(1+CHOOSE(F$3,(X76+($K$3/10000))/2,(X75+($K$3/10000))/2))^(2*W75/365.25)</f>
        <v>0.000445557331037864</v>
      </c>
      <c r="Z75" s="5" t="n">
        <f aca="false">IF(AND(mthbeg&lt;=A75,mthend&gt;=A75),1,0)</f>
        <v>0</v>
      </c>
      <c r="AA75" s="5" t="n">
        <f aca="false">U75*Z75</f>
        <v>0</v>
      </c>
      <c r="AC75" s="115" t="n">
        <f aca="false">IF(G68=2,F75*(S75-Q75),F75*(Q75-S75))</f>
        <v>0</v>
      </c>
      <c r="AE75" s="116" t="n">
        <f aca="false">IF($G$3=1,F75*(R75-Q75),F75*(Q75-R75))</f>
        <v>0</v>
      </c>
      <c r="AG75" s="116" t="n">
        <f aca="false">AC75+AE75</f>
        <v>0</v>
      </c>
    </row>
    <row r="76" customFormat="false" ht="12.75" hidden="false" customHeight="false" outlineLevel="0" collapsed="false">
      <c r="A76" s="120" t="n">
        <f aca="false">EDATE(A75,1)</f>
        <v>39295</v>
      </c>
      <c r="B76" s="121" t="n">
        <v>0</v>
      </c>
      <c r="C76" s="122"/>
      <c r="D76" s="123" t="n">
        <f aca="false">B76+C76</f>
        <v>0</v>
      </c>
      <c r="E76" s="111" t="n">
        <f aca="false">IF(Z76=0,0,IF(AND(Z76=1,$H$3=1),D76*U76,IF($H$3=2,D76,"N/A")))</f>
        <v>0</v>
      </c>
      <c r="F76" s="111" t="n">
        <f aca="false">E76*Y76</f>
        <v>0</v>
      </c>
      <c r="G76" s="124" t="n">
        <f aca="false">VLOOKUP($A76,Table,MATCH(G$4,Curves,0))</f>
        <v>3</v>
      </c>
      <c r="H76" s="125" t="n">
        <f aca="false">G76+$H$7</f>
        <v>3</v>
      </c>
      <c r="I76" s="124" t="n">
        <f aca="false">H76</f>
        <v>3</v>
      </c>
      <c r="J76" s="124" t="n">
        <f aca="false">VLOOKUP($A76,Table,MATCH(J$4,Curves,0))</f>
        <v>4</v>
      </c>
      <c r="K76" s="125" t="n">
        <f aca="false">J76+$K$7</f>
        <v>4</v>
      </c>
      <c r="L76" s="126" t="n">
        <f aca="false">K76</f>
        <v>4</v>
      </c>
      <c r="M76" s="124" t="n">
        <f aca="false">VLOOKUP($A76,Table,MATCH(M$4,Curves,0))</f>
        <v>4</v>
      </c>
      <c r="N76" s="125" t="n">
        <f aca="false">M76+$N$7</f>
        <v>4</v>
      </c>
      <c r="O76" s="126" t="n">
        <f aca="false">IF(B76&gt;0,(1000/B76*0.25)+((B76-1000)/B76*0.12),0)</f>
        <v>0</v>
      </c>
      <c r="P76" s="114"/>
      <c r="Q76" s="126" t="n">
        <f aca="false">M76+J76+G76</f>
        <v>11</v>
      </c>
      <c r="R76" s="126" t="n">
        <f aca="false">N76+K76+H76</f>
        <v>11</v>
      </c>
      <c r="S76" s="126" t="n">
        <f aca="false">O76+L76+I76</f>
        <v>7</v>
      </c>
      <c r="T76" s="127"/>
      <c r="U76" s="5" t="n">
        <f aca="false">A77-A76</f>
        <v>31</v>
      </c>
      <c r="V76" s="128" t="n">
        <f aca="false">CHOOSE(F$3,A77+24,A76)</f>
        <v>39295</v>
      </c>
      <c r="W76" s="5" t="n">
        <f aca="false">V76-C$3</f>
        <v>2064</v>
      </c>
      <c r="X76" s="124" t="n">
        <f aca="false">VLOOKUP($A76,Table,MATCH(X$4,Curves,0))</f>
        <v>2</v>
      </c>
      <c r="Y76" s="129" t="n">
        <f aca="false">1/(1+CHOOSE(F$3,(X77+($K$3/10000))/2,(X76+($K$3/10000))/2))^(2*W76/365.25)</f>
        <v>0.000396099898146915</v>
      </c>
      <c r="Z76" s="5" t="n">
        <f aca="false">IF(AND(mthbeg&lt;=A76,mthend&gt;=A76),1,0)</f>
        <v>0</v>
      </c>
      <c r="AA76" s="5" t="n">
        <f aca="false">U76*Z76</f>
        <v>0</v>
      </c>
      <c r="AC76" s="115" t="n">
        <f aca="false">IF(G69=2,F76*(S76-Q76),F76*(Q76-S76))</f>
        <v>0</v>
      </c>
      <c r="AE76" s="116" t="n">
        <f aca="false">IF($G$3=1,F76*(R76-Q76),F76*(Q76-R76))</f>
        <v>0</v>
      </c>
      <c r="AG76" s="116" t="n">
        <f aca="false">AC76+AE76</f>
        <v>0</v>
      </c>
    </row>
    <row r="77" customFormat="false" ht="12.75" hidden="false" customHeight="false" outlineLevel="0" collapsed="false">
      <c r="A77" s="120" t="n">
        <f aca="false">EDATE(A76,1)</f>
        <v>39326</v>
      </c>
      <c r="B77" s="121" t="n">
        <v>0</v>
      </c>
      <c r="C77" s="122"/>
      <c r="D77" s="123" t="n">
        <f aca="false">B77+C77</f>
        <v>0</v>
      </c>
      <c r="E77" s="111" t="n">
        <f aca="false">IF(Z77=0,0,IF(AND(Z77=1,$H$3=1),D77*U77,IF($H$3=2,D77,"N/A")))</f>
        <v>0</v>
      </c>
      <c r="F77" s="111" t="n">
        <f aca="false">E77*Y77</f>
        <v>0</v>
      </c>
      <c r="G77" s="124" t="n">
        <f aca="false">VLOOKUP($A77,Table,MATCH(G$4,Curves,0))</f>
        <v>3</v>
      </c>
      <c r="H77" s="125" t="n">
        <f aca="false">G77+$H$7</f>
        <v>3</v>
      </c>
      <c r="I77" s="124" t="n">
        <f aca="false">H77</f>
        <v>3</v>
      </c>
      <c r="J77" s="124" t="n">
        <f aca="false">VLOOKUP($A77,Table,MATCH(J$4,Curves,0))</f>
        <v>4</v>
      </c>
      <c r="K77" s="125" t="n">
        <f aca="false">J77+$K$7</f>
        <v>4</v>
      </c>
      <c r="L77" s="126" t="n">
        <f aca="false">K77</f>
        <v>4</v>
      </c>
      <c r="M77" s="124" t="n">
        <f aca="false">VLOOKUP($A77,Table,MATCH(M$4,Curves,0))</f>
        <v>4</v>
      </c>
      <c r="N77" s="125" t="n">
        <f aca="false">M77+$N$7</f>
        <v>4</v>
      </c>
      <c r="O77" s="126" t="n">
        <f aca="false">IF(B77&gt;0,(1000/B77*0.25)+((B77-1000)/B77*0.12),0)</f>
        <v>0</v>
      </c>
      <c r="P77" s="114"/>
      <c r="Q77" s="126" t="n">
        <f aca="false">M77+J77+G77</f>
        <v>11</v>
      </c>
      <c r="R77" s="126" t="n">
        <f aca="false">N77+K77+H77</f>
        <v>11</v>
      </c>
      <c r="S77" s="126" t="n">
        <f aca="false">O77+L77+I77</f>
        <v>7</v>
      </c>
      <c r="T77" s="127"/>
      <c r="U77" s="5" t="n">
        <f aca="false">A78-A77</f>
        <v>30</v>
      </c>
      <c r="V77" s="128" t="n">
        <f aca="false">CHOOSE(F$3,A78+24,A77)</f>
        <v>39326</v>
      </c>
      <c r="W77" s="5" t="n">
        <f aca="false">V77-C$3</f>
        <v>2095</v>
      </c>
      <c r="X77" s="124" t="n">
        <f aca="false">VLOOKUP($A77,Table,MATCH(X$4,Curves,0))</f>
        <v>2</v>
      </c>
      <c r="Y77" s="129" t="n">
        <f aca="false">1/(1+CHOOSE(F$3,(X78+($K$3/10000))/2,(X77+($K$3/10000))/2))^(2*W77/365.25)</f>
        <v>0.000352132303482767</v>
      </c>
      <c r="Z77" s="5" t="n">
        <f aca="false">IF(AND(mthbeg&lt;=A77,mthend&gt;=A77),1,0)</f>
        <v>0</v>
      </c>
      <c r="AA77" s="5" t="n">
        <f aca="false">U77*Z77</f>
        <v>0</v>
      </c>
      <c r="AC77" s="115" t="n">
        <f aca="false">IF(G70=2,F77*(S77-Q77),F77*(Q77-S77))</f>
        <v>0</v>
      </c>
      <c r="AE77" s="116" t="n">
        <f aca="false">IF($G$3=1,F77*(R77-Q77),F77*(Q77-R77))</f>
        <v>0</v>
      </c>
      <c r="AG77" s="116" t="n">
        <f aca="false">AC77+AE77</f>
        <v>0</v>
      </c>
    </row>
    <row r="78" customFormat="false" ht="12.75" hidden="false" customHeight="false" outlineLevel="0" collapsed="false">
      <c r="A78" s="120" t="n">
        <f aca="false">EDATE(A77,1)</f>
        <v>39356</v>
      </c>
      <c r="B78" s="121" t="n">
        <v>0</v>
      </c>
      <c r="C78" s="122"/>
      <c r="D78" s="123" t="n">
        <f aca="false">B78+C78</f>
        <v>0</v>
      </c>
      <c r="E78" s="111" t="n">
        <f aca="false">IF(Z78=0,0,IF(AND(Z78=1,$H$3=1),D78*U78,IF($H$3=2,D78,"N/A")))</f>
        <v>0</v>
      </c>
      <c r="F78" s="111" t="n">
        <f aca="false">E78*Y78</f>
        <v>0</v>
      </c>
      <c r="G78" s="124" t="n">
        <f aca="false">VLOOKUP($A78,Table,MATCH(G$4,Curves,0))</f>
        <v>3</v>
      </c>
      <c r="H78" s="125" t="n">
        <f aca="false">G78+$H$7</f>
        <v>3</v>
      </c>
      <c r="I78" s="124" t="n">
        <f aca="false">H78</f>
        <v>3</v>
      </c>
      <c r="J78" s="124" t="n">
        <f aca="false">VLOOKUP($A78,Table,MATCH(J$4,Curves,0))</f>
        <v>4</v>
      </c>
      <c r="K78" s="125" t="n">
        <f aca="false">J78+$K$7</f>
        <v>4</v>
      </c>
      <c r="L78" s="126" t="n">
        <f aca="false">K78</f>
        <v>4</v>
      </c>
      <c r="M78" s="124" t="n">
        <f aca="false">VLOOKUP($A78,Table,MATCH(M$4,Curves,0))</f>
        <v>4</v>
      </c>
      <c r="N78" s="125" t="n">
        <f aca="false">M78+$N$7</f>
        <v>4</v>
      </c>
      <c r="O78" s="126" t="n">
        <f aca="false">IF(B78&gt;0,(1000/B78*0.25)+((B78-1000)/B78*0.12),0)</f>
        <v>0</v>
      </c>
      <c r="P78" s="114"/>
      <c r="Q78" s="126" t="n">
        <f aca="false">M78+J78+G78</f>
        <v>11</v>
      </c>
      <c r="R78" s="126" t="n">
        <f aca="false">N78+K78+H78</f>
        <v>11</v>
      </c>
      <c r="S78" s="126" t="n">
        <f aca="false">O78+L78+I78</f>
        <v>7</v>
      </c>
      <c r="T78" s="127"/>
      <c r="U78" s="5" t="n">
        <f aca="false">A79-A78</f>
        <v>31</v>
      </c>
      <c r="V78" s="128" t="n">
        <f aca="false">CHOOSE(F$3,A79+24,A78)</f>
        <v>39356</v>
      </c>
      <c r="W78" s="5" t="n">
        <f aca="false">V78-C$3</f>
        <v>2125</v>
      </c>
      <c r="X78" s="124" t="n">
        <f aca="false">VLOOKUP($A78,Table,MATCH(X$4,Curves,0))</f>
        <v>2</v>
      </c>
      <c r="Y78" s="129" t="n">
        <f aca="false">1/(1+CHOOSE(F$3,(X79+($K$3/10000))/2,(X78+($K$3/10000))/2))^(2*W78/365.25)</f>
        <v>0.000314235578280501</v>
      </c>
      <c r="Z78" s="5" t="n">
        <f aca="false">IF(AND(mthbeg&lt;=A78,mthend&gt;=A78),1,0)</f>
        <v>0</v>
      </c>
      <c r="AA78" s="5" t="n">
        <f aca="false">U78*Z78</f>
        <v>0</v>
      </c>
      <c r="AC78" s="115" t="n">
        <f aca="false">IF(G71=2,F78*(S78-Q78),F78*(Q78-S78))</f>
        <v>0</v>
      </c>
      <c r="AE78" s="116" t="n">
        <f aca="false">IF($G$3=1,F78*(R78-Q78),F78*(Q78-R78))</f>
        <v>0</v>
      </c>
      <c r="AG78" s="116" t="n">
        <f aca="false">AC78+AE78</f>
        <v>0</v>
      </c>
    </row>
    <row r="79" customFormat="false" ht="12.75" hidden="false" customHeight="false" outlineLevel="0" collapsed="false">
      <c r="A79" s="120" t="n">
        <f aca="false">EDATE(A78,1)</f>
        <v>39387</v>
      </c>
      <c r="B79" s="121" t="n">
        <v>0</v>
      </c>
      <c r="C79" s="122"/>
      <c r="D79" s="123" t="n">
        <f aca="false">B79+C79</f>
        <v>0</v>
      </c>
      <c r="E79" s="111" t="n">
        <f aca="false">IF(Z79=0,0,IF(AND(Z79=1,$H$3=1),D79*U79,IF($H$3=2,D79,"N/A")))</f>
        <v>0</v>
      </c>
      <c r="F79" s="111" t="n">
        <f aca="false">E79*Y79</f>
        <v>0</v>
      </c>
      <c r="G79" s="124" t="n">
        <f aca="false">VLOOKUP($A79,Table,MATCH(G$4,Curves,0))</f>
        <v>3</v>
      </c>
      <c r="H79" s="125" t="n">
        <f aca="false">G79+$H$7</f>
        <v>3</v>
      </c>
      <c r="I79" s="124" t="n">
        <f aca="false">H79</f>
        <v>3</v>
      </c>
      <c r="J79" s="124" t="n">
        <f aca="false">VLOOKUP($A79,Table,MATCH(J$4,Curves,0))</f>
        <v>4</v>
      </c>
      <c r="K79" s="125" t="n">
        <f aca="false">J79+$K$7</f>
        <v>4</v>
      </c>
      <c r="L79" s="126" t="n">
        <f aca="false">K79</f>
        <v>4</v>
      </c>
      <c r="M79" s="124" t="n">
        <f aca="false">VLOOKUP($A79,Table,MATCH(M$4,Curves,0))</f>
        <v>4</v>
      </c>
      <c r="N79" s="125" t="n">
        <f aca="false">M79+$N$7</f>
        <v>4</v>
      </c>
      <c r="O79" s="126" t="n">
        <f aca="false">IF(B79&gt;0,(1000/B79*0.25)+((B79-1000)/B79*0.12),0)</f>
        <v>0</v>
      </c>
      <c r="P79" s="114"/>
      <c r="Q79" s="126" t="n">
        <f aca="false">M79+J79+G79</f>
        <v>11</v>
      </c>
      <c r="R79" s="126" t="n">
        <f aca="false">N79+K79+H79</f>
        <v>11</v>
      </c>
      <c r="S79" s="126" t="n">
        <f aca="false">O79+L79+I79</f>
        <v>7</v>
      </c>
      <c r="T79" s="127"/>
      <c r="U79" s="5" t="n">
        <f aca="false">A80-A79</f>
        <v>30</v>
      </c>
      <c r="V79" s="128" t="n">
        <f aca="false">CHOOSE(F$3,A80+24,A79)</f>
        <v>39387</v>
      </c>
      <c r="W79" s="5" t="n">
        <f aca="false">V79-C$3</f>
        <v>2156</v>
      </c>
      <c r="X79" s="124" t="n">
        <f aca="false">VLOOKUP($A79,Table,MATCH(X$4,Curves,0))</f>
        <v>2</v>
      </c>
      <c r="Y79" s="129" t="n">
        <f aca="false">1/(1+CHOOSE(F$3,(X80+($K$3/10000))/2,(X79+($K$3/10000))/2))^(2*W79/365.25)</f>
        <v>0.000279355027693318</v>
      </c>
      <c r="Z79" s="5" t="n">
        <f aca="false">IF(AND(mthbeg&lt;=A79,mthend&gt;=A79),1,0)</f>
        <v>0</v>
      </c>
      <c r="AA79" s="5" t="n">
        <f aca="false">U79*Z79</f>
        <v>0</v>
      </c>
      <c r="AC79" s="115" t="n">
        <f aca="false">IF(G72=2,F79*(S79-Q79),F79*(Q79-S79))</f>
        <v>0</v>
      </c>
      <c r="AE79" s="116" t="n">
        <f aca="false">IF($G$3=1,F79*(R79-Q79),F79*(Q79-R79))</f>
        <v>0</v>
      </c>
      <c r="AG79" s="116" t="n">
        <f aca="false">AC79+AE79</f>
        <v>0</v>
      </c>
    </row>
    <row r="80" customFormat="false" ht="12.75" hidden="false" customHeight="false" outlineLevel="0" collapsed="false">
      <c r="A80" s="120" t="n">
        <f aca="false">EDATE(A79,1)</f>
        <v>39417</v>
      </c>
      <c r="B80" s="121" t="n">
        <v>0</v>
      </c>
      <c r="C80" s="122"/>
      <c r="D80" s="123" t="n">
        <f aca="false">B80+C80</f>
        <v>0</v>
      </c>
      <c r="E80" s="111" t="n">
        <f aca="false">IF(Z80=0,0,IF(AND(Z80=1,$H$3=1),D80*U80,IF($H$3=2,D80,"N/A")))</f>
        <v>0</v>
      </c>
      <c r="F80" s="111" t="n">
        <f aca="false">E80*Y80</f>
        <v>0</v>
      </c>
      <c r="G80" s="124" t="n">
        <f aca="false">VLOOKUP($A80,Table,MATCH(G$4,Curves,0))</f>
        <v>3</v>
      </c>
      <c r="H80" s="125" t="n">
        <f aca="false">G80+$H$7</f>
        <v>3</v>
      </c>
      <c r="I80" s="124" t="n">
        <f aca="false">H80</f>
        <v>3</v>
      </c>
      <c r="J80" s="124" t="n">
        <f aca="false">VLOOKUP($A80,Table,MATCH(J$4,Curves,0))</f>
        <v>4</v>
      </c>
      <c r="K80" s="125" t="n">
        <f aca="false">J80+$K$7</f>
        <v>4</v>
      </c>
      <c r="L80" s="126" t="n">
        <f aca="false">K80</f>
        <v>4</v>
      </c>
      <c r="M80" s="124" t="n">
        <f aca="false">VLOOKUP($A80,Table,MATCH(M$4,Curves,0))</f>
        <v>4</v>
      </c>
      <c r="N80" s="125" t="n">
        <f aca="false">M80+$N$7</f>
        <v>4</v>
      </c>
      <c r="O80" s="126" t="n">
        <f aca="false">IF(B80&gt;0,(1000/B80*0.25)+((B80-1000)/B80*0.12),0)</f>
        <v>0</v>
      </c>
      <c r="P80" s="114"/>
      <c r="Q80" s="126" t="n">
        <f aca="false">M80+J80+G80</f>
        <v>11</v>
      </c>
      <c r="R80" s="126" t="n">
        <f aca="false">N80+K80+H80</f>
        <v>11</v>
      </c>
      <c r="S80" s="126" t="n">
        <f aca="false">O80+L80+I80</f>
        <v>7</v>
      </c>
      <c r="T80" s="127"/>
      <c r="U80" s="5" t="n">
        <f aca="false">A81-A80</f>
        <v>31</v>
      </c>
      <c r="V80" s="128" t="n">
        <f aca="false">CHOOSE(F$3,A81+24,A80)</f>
        <v>39417</v>
      </c>
      <c r="W80" s="5" t="n">
        <f aca="false">V80-C$3</f>
        <v>2186</v>
      </c>
      <c r="X80" s="124" t="n">
        <f aca="false">VLOOKUP($A80,Table,MATCH(X$4,Curves,0))</f>
        <v>2</v>
      </c>
      <c r="Y80" s="129" t="n">
        <f aca="false">1/(1+CHOOSE(F$3,(X81+($K$3/10000))/2,(X80+($K$3/10000))/2))^(2*W80/365.25)</f>
        <v>0.000249290643898768</v>
      </c>
      <c r="Z80" s="5" t="n">
        <f aca="false">IF(AND(mthbeg&lt;=A80,mthend&gt;=A80),1,0)</f>
        <v>0</v>
      </c>
      <c r="AA80" s="5" t="n">
        <f aca="false">U80*Z80</f>
        <v>0</v>
      </c>
      <c r="AC80" s="115" t="n">
        <f aca="false">IF(G73=2,F80*(S80-Q80),F80*(Q80-S80))</f>
        <v>0</v>
      </c>
      <c r="AE80" s="116" t="n">
        <f aca="false">IF($G$3=1,F80*(R80-Q80),F80*(Q80-R80))</f>
        <v>0</v>
      </c>
      <c r="AG80" s="116" t="n">
        <f aca="false">AC80+AE80</f>
        <v>0</v>
      </c>
    </row>
    <row r="81" customFormat="false" ht="12.75" hidden="false" customHeight="false" outlineLevel="0" collapsed="false">
      <c r="A81" s="120" t="n">
        <f aca="false">EDATE(A80,1)</f>
        <v>39448</v>
      </c>
      <c r="B81" s="121" t="n">
        <v>0</v>
      </c>
      <c r="C81" s="122"/>
      <c r="D81" s="123" t="n">
        <f aca="false">B81+C81</f>
        <v>0</v>
      </c>
      <c r="E81" s="111" t="n">
        <f aca="false">IF(Z81=0,0,IF(AND(Z81=1,$H$3=1),D81*U81,IF($H$3=2,D81,"N/A")))</f>
        <v>0</v>
      </c>
      <c r="F81" s="111" t="n">
        <f aca="false">E81*Y81</f>
        <v>0</v>
      </c>
      <c r="G81" s="124" t="n">
        <f aca="false">VLOOKUP($A81,Table,MATCH(G$4,Curves,0))</f>
        <v>3</v>
      </c>
      <c r="H81" s="125" t="n">
        <f aca="false">G81+$H$7</f>
        <v>3</v>
      </c>
      <c r="I81" s="124" t="n">
        <f aca="false">H81</f>
        <v>3</v>
      </c>
      <c r="J81" s="124" t="n">
        <f aca="false">VLOOKUP($A81,Table,MATCH(J$4,Curves,0))</f>
        <v>4</v>
      </c>
      <c r="K81" s="125" t="n">
        <f aca="false">J81+$K$7</f>
        <v>4</v>
      </c>
      <c r="L81" s="126" t="n">
        <f aca="false">K81</f>
        <v>4</v>
      </c>
      <c r="M81" s="124" t="n">
        <f aca="false">VLOOKUP($A81,Table,MATCH(M$4,Curves,0))</f>
        <v>4</v>
      </c>
      <c r="N81" s="125" t="n">
        <f aca="false">M81+$N$7</f>
        <v>4</v>
      </c>
      <c r="O81" s="126" t="n">
        <f aca="false">IF(B81&gt;0,(1000/B81*0.25)+((B81-1000)/B81*0.12),0)</f>
        <v>0</v>
      </c>
      <c r="P81" s="114"/>
      <c r="Q81" s="126" t="n">
        <f aca="false">M81+J81+G81</f>
        <v>11</v>
      </c>
      <c r="R81" s="126" t="n">
        <f aca="false">N81+K81+H81</f>
        <v>11</v>
      </c>
      <c r="S81" s="126" t="n">
        <f aca="false">O81+L81+I81</f>
        <v>7</v>
      </c>
      <c r="T81" s="127"/>
      <c r="U81" s="5" t="n">
        <f aca="false">A82-A81</f>
        <v>31</v>
      </c>
      <c r="V81" s="128" t="n">
        <f aca="false">CHOOSE(F$3,A82+24,A81)</f>
        <v>39448</v>
      </c>
      <c r="W81" s="5" t="n">
        <f aca="false">V81-C$3</f>
        <v>2217</v>
      </c>
      <c r="X81" s="124" t="n">
        <f aca="false">VLOOKUP($A81,Table,MATCH(X$4,Curves,0))</f>
        <v>2</v>
      </c>
      <c r="Y81" s="129" t="n">
        <f aca="false">1/(1+CHOOSE(F$3,(X82+($K$3/10000))/2,(X81+($K$3/10000))/2))^(2*W81/365.25)</f>
        <v>0.000221619063987277</v>
      </c>
      <c r="Z81" s="5" t="n">
        <f aca="false">IF(AND(mthbeg&lt;=A81,mthend&gt;=A81),1,0)</f>
        <v>0</v>
      </c>
      <c r="AA81" s="5" t="n">
        <f aca="false">U81*Z81</f>
        <v>0</v>
      </c>
      <c r="AC81" s="115" t="n">
        <f aca="false">IF(G74=2,F81*(S81-Q81),F81*(Q81-S81))</f>
        <v>0</v>
      </c>
      <c r="AE81" s="116" t="n">
        <f aca="false">IF($G$3=1,F81*(R81-Q81),F81*(Q81-R81))</f>
        <v>0</v>
      </c>
      <c r="AG81" s="116" t="n">
        <f aca="false">AC81+AE81</f>
        <v>0</v>
      </c>
    </row>
    <row r="82" customFormat="false" ht="12.75" hidden="false" customHeight="false" outlineLevel="0" collapsed="false">
      <c r="A82" s="120" t="n">
        <f aca="false">EDATE(A81,1)</f>
        <v>39479</v>
      </c>
      <c r="B82" s="121" t="n">
        <v>0</v>
      </c>
      <c r="C82" s="122"/>
      <c r="D82" s="123" t="n">
        <f aca="false">B82+C82</f>
        <v>0</v>
      </c>
      <c r="E82" s="111" t="n">
        <f aca="false">IF(Z82=0,0,IF(AND(Z82=1,$H$3=1),D82*U82,IF($H$3=2,D82,"N/A")))</f>
        <v>0</v>
      </c>
      <c r="F82" s="111" t="n">
        <f aca="false">E82*Y82</f>
        <v>0</v>
      </c>
      <c r="G82" s="124" t="n">
        <f aca="false">VLOOKUP($A82,Table,MATCH(G$4,Curves,0))</f>
        <v>3</v>
      </c>
      <c r="H82" s="125" t="n">
        <f aca="false">G82+$H$7</f>
        <v>3</v>
      </c>
      <c r="I82" s="124" t="n">
        <f aca="false">H82</f>
        <v>3</v>
      </c>
      <c r="J82" s="124" t="n">
        <f aca="false">VLOOKUP($A82,Table,MATCH(J$4,Curves,0))</f>
        <v>4</v>
      </c>
      <c r="K82" s="125" t="n">
        <f aca="false">J82+$K$7</f>
        <v>4</v>
      </c>
      <c r="L82" s="126" t="n">
        <f aca="false">K82</f>
        <v>4</v>
      </c>
      <c r="M82" s="124" t="n">
        <f aca="false">VLOOKUP($A82,Table,MATCH(M$4,Curves,0))</f>
        <v>4</v>
      </c>
      <c r="N82" s="125" t="n">
        <f aca="false">M82+$N$7</f>
        <v>4</v>
      </c>
      <c r="O82" s="126" t="n">
        <f aca="false">IF(B82&gt;0,(1000/B82*0.25)+((B82-1000)/B82*0.12),0)</f>
        <v>0</v>
      </c>
      <c r="P82" s="114"/>
      <c r="Q82" s="126" t="n">
        <f aca="false">M82+J82+G82</f>
        <v>11</v>
      </c>
      <c r="R82" s="126" t="n">
        <f aca="false">N82+K82+H82</f>
        <v>11</v>
      </c>
      <c r="S82" s="126" t="n">
        <f aca="false">O82+L82+I82</f>
        <v>7</v>
      </c>
      <c r="T82" s="127"/>
      <c r="U82" s="5" t="n">
        <f aca="false">A83-A82</f>
        <v>29</v>
      </c>
      <c r="V82" s="128" t="n">
        <f aca="false">CHOOSE(F$3,A83+24,A82)</f>
        <v>39479</v>
      </c>
      <c r="W82" s="5" t="n">
        <f aca="false">V82-C$3</f>
        <v>2248</v>
      </c>
      <c r="X82" s="124" t="n">
        <f aca="false">VLOOKUP($A82,Table,MATCH(X$4,Curves,0))</f>
        <v>2</v>
      </c>
      <c r="Y82" s="129" t="n">
        <f aca="false">1/(1+CHOOSE(F$3,(X83+($K$3/10000))/2,(X82+($K$3/10000))/2))^(2*W82/365.25)</f>
        <v>0.000197019064793067</v>
      </c>
      <c r="Z82" s="5" t="n">
        <f aca="false">IF(AND(mthbeg&lt;=A82,mthend&gt;=A82),1,0)</f>
        <v>0</v>
      </c>
      <c r="AA82" s="5" t="n">
        <f aca="false">U82*Z82</f>
        <v>0</v>
      </c>
      <c r="AC82" s="115" t="n">
        <f aca="false">IF(G75=2,F82*(S82-Q82),F82*(Q82-S82))</f>
        <v>0</v>
      </c>
      <c r="AE82" s="116" t="n">
        <f aca="false">IF($G$3=1,F82*(R82-Q82),F82*(Q82-R82))</f>
        <v>0</v>
      </c>
      <c r="AG82" s="116" t="n">
        <f aca="false">AC82+AE82</f>
        <v>0</v>
      </c>
    </row>
    <row r="83" customFormat="false" ht="12.75" hidden="false" customHeight="false" outlineLevel="0" collapsed="false">
      <c r="A83" s="120" t="n">
        <f aca="false">EDATE(A82,1)</f>
        <v>39508</v>
      </c>
      <c r="B83" s="121" t="n">
        <v>0</v>
      </c>
      <c r="C83" s="122"/>
      <c r="D83" s="123" t="n">
        <f aca="false">B83+C83</f>
        <v>0</v>
      </c>
      <c r="E83" s="111" t="n">
        <f aca="false">IF(Z83=0,0,IF(AND(Z83=1,$H$3=1),D83*U83,IF($H$3=2,D83,"N/A")))</f>
        <v>0</v>
      </c>
      <c r="F83" s="111" t="n">
        <f aca="false">E83*Y83</f>
        <v>0</v>
      </c>
      <c r="G83" s="124" t="n">
        <f aca="false">VLOOKUP($A83,Table,MATCH(G$4,Curves,0))</f>
        <v>3</v>
      </c>
      <c r="H83" s="125" t="n">
        <f aca="false">G83+$H$7</f>
        <v>3</v>
      </c>
      <c r="I83" s="124" t="n">
        <f aca="false">H83</f>
        <v>3</v>
      </c>
      <c r="J83" s="124" t="n">
        <f aca="false">VLOOKUP($A83,Table,MATCH(J$4,Curves,0))</f>
        <v>4</v>
      </c>
      <c r="K83" s="125" t="n">
        <f aca="false">J83+$K$7</f>
        <v>4</v>
      </c>
      <c r="L83" s="126" t="n">
        <f aca="false">K83</f>
        <v>4</v>
      </c>
      <c r="M83" s="124" t="n">
        <f aca="false">VLOOKUP($A83,Table,MATCH(M$4,Curves,0))</f>
        <v>4</v>
      </c>
      <c r="N83" s="125" t="n">
        <f aca="false">M83+$N$7</f>
        <v>4</v>
      </c>
      <c r="O83" s="126" t="n">
        <f aca="false">IF(B83&gt;0,(1000/B83*0.25)+((B83-1000)/B83*0.12),0)</f>
        <v>0</v>
      </c>
      <c r="P83" s="114"/>
      <c r="Q83" s="126" t="n">
        <f aca="false">M83+J83+G83</f>
        <v>11</v>
      </c>
      <c r="R83" s="126" t="n">
        <f aca="false">N83+K83+H83</f>
        <v>11</v>
      </c>
      <c r="S83" s="126" t="n">
        <f aca="false">O83+L83+I83</f>
        <v>7</v>
      </c>
      <c r="T83" s="127"/>
      <c r="U83" s="5" t="n">
        <f aca="false">A84-A83</f>
        <v>31</v>
      </c>
      <c r="V83" s="128" t="n">
        <f aca="false">CHOOSE(F$3,A84+24,A83)</f>
        <v>39508</v>
      </c>
      <c r="W83" s="5" t="n">
        <f aca="false">V83-C$3</f>
        <v>2277</v>
      </c>
      <c r="X83" s="124" t="n">
        <f aca="false">VLOOKUP($A83,Table,MATCH(X$4,Curves,0))</f>
        <v>2</v>
      </c>
      <c r="Y83" s="129" t="n">
        <f aca="false">1/(1+CHOOSE(F$3,(X84+($K$3/10000))/2,(X83+($K$3/10000))/2))^(2*W83/365.25)</f>
        <v>0.000176484305815765</v>
      </c>
      <c r="Z83" s="5" t="n">
        <f aca="false">IF(AND(mthbeg&lt;=A83,mthend&gt;=A83),1,0)</f>
        <v>0</v>
      </c>
      <c r="AA83" s="5" t="n">
        <f aca="false">U83*Z83</f>
        <v>0</v>
      </c>
      <c r="AC83" s="115" t="n">
        <f aca="false">IF(G76=2,F83*(S83-Q83),F83*(Q83-S83))</f>
        <v>0</v>
      </c>
      <c r="AE83" s="116" t="n">
        <f aca="false">IF($G$3=1,F83*(R83-Q83),F83*(Q83-R83))</f>
        <v>0</v>
      </c>
      <c r="AG83" s="116" t="n">
        <f aca="false">AC83+AE83</f>
        <v>0</v>
      </c>
    </row>
    <row r="84" customFormat="false" ht="12.75" hidden="false" customHeight="false" outlineLevel="0" collapsed="false">
      <c r="A84" s="120" t="n">
        <f aca="false">EDATE(A83,1)</f>
        <v>39539</v>
      </c>
      <c r="B84" s="121" t="n">
        <v>0</v>
      </c>
      <c r="C84" s="122"/>
      <c r="D84" s="123" t="n">
        <f aca="false">B84+C84</f>
        <v>0</v>
      </c>
      <c r="E84" s="111" t="n">
        <f aca="false">IF(Z84=0,0,IF(AND(Z84=1,$H$3=1),D84*U84,IF($H$3=2,D84,"N/A")))</f>
        <v>0</v>
      </c>
      <c r="F84" s="111" t="n">
        <f aca="false">E84*Y84</f>
        <v>0</v>
      </c>
      <c r="G84" s="124" t="n">
        <f aca="false">VLOOKUP($A84,Table,MATCH(G$4,Curves,0))</f>
        <v>3</v>
      </c>
      <c r="H84" s="125" t="n">
        <f aca="false">G84+$H$7</f>
        <v>3</v>
      </c>
      <c r="I84" s="124" t="n">
        <f aca="false">H84</f>
        <v>3</v>
      </c>
      <c r="J84" s="124" t="n">
        <f aca="false">VLOOKUP($A84,Table,MATCH(J$4,Curves,0))</f>
        <v>4</v>
      </c>
      <c r="K84" s="125" t="n">
        <f aca="false">J84+$K$7</f>
        <v>4</v>
      </c>
      <c r="L84" s="126" t="n">
        <f aca="false">K84</f>
        <v>4</v>
      </c>
      <c r="M84" s="124" t="n">
        <f aca="false">VLOOKUP($A84,Table,MATCH(M$4,Curves,0))</f>
        <v>4</v>
      </c>
      <c r="N84" s="125" t="n">
        <f aca="false">M84+$N$7</f>
        <v>4</v>
      </c>
      <c r="O84" s="126" t="n">
        <f aca="false">IF(B84&gt;0,(1000/B84*0.25)+((B84-1000)/B84*0.12),0)</f>
        <v>0</v>
      </c>
      <c r="P84" s="114"/>
      <c r="Q84" s="126" t="n">
        <f aca="false">M84+J84+G84</f>
        <v>11</v>
      </c>
      <c r="R84" s="126" t="n">
        <f aca="false">N84+K84+H84</f>
        <v>11</v>
      </c>
      <c r="S84" s="126" t="n">
        <f aca="false">O84+L84+I84</f>
        <v>7</v>
      </c>
      <c r="T84" s="127"/>
      <c r="U84" s="5" t="n">
        <f aca="false">A85-A84</f>
        <v>30</v>
      </c>
      <c r="V84" s="128" t="n">
        <f aca="false">CHOOSE(F$3,A85+24,A84)</f>
        <v>39539</v>
      </c>
      <c r="W84" s="5" t="n">
        <f aca="false">V84-C$3</f>
        <v>2308</v>
      </c>
      <c r="X84" s="124" t="n">
        <f aca="false">VLOOKUP($A84,Table,MATCH(X$4,Curves,0))</f>
        <v>2</v>
      </c>
      <c r="Y84" s="129" t="n">
        <f aca="false">1/(1+CHOOSE(F$3,(X85+($K$3/10000))/2,(X84+($K$3/10000))/2))^(2*W84/365.25)</f>
        <v>0.000156894322432802</v>
      </c>
      <c r="Z84" s="5" t="n">
        <f aca="false">IF(AND(mthbeg&lt;=A84,mthend&gt;=A84),1,0)</f>
        <v>0</v>
      </c>
      <c r="AA84" s="5" t="n">
        <f aca="false">U84*Z84</f>
        <v>0</v>
      </c>
      <c r="AC84" s="115" t="n">
        <f aca="false">IF(G77=2,F84*(S84-Q84),F84*(Q84-S84))</f>
        <v>0</v>
      </c>
      <c r="AE84" s="116" t="n">
        <f aca="false">IF($G$3=1,F84*(R84-Q84),F84*(Q84-R84))</f>
        <v>0</v>
      </c>
      <c r="AG84" s="116" t="n">
        <f aca="false">AC84+AE84</f>
        <v>0</v>
      </c>
    </row>
    <row r="85" customFormat="false" ht="12.75" hidden="false" customHeight="false" outlineLevel="0" collapsed="false">
      <c r="A85" s="120" t="n">
        <f aca="false">EDATE(A84,1)</f>
        <v>39569</v>
      </c>
      <c r="B85" s="121" t="n">
        <v>0</v>
      </c>
      <c r="C85" s="122"/>
      <c r="D85" s="123" t="n">
        <f aca="false">B85+C85</f>
        <v>0</v>
      </c>
      <c r="E85" s="111" t="n">
        <f aca="false">IF(Z85=0,0,IF(AND(Z85=1,$H$3=1),D85*U85,IF($H$3=2,D85,"N/A")))</f>
        <v>0</v>
      </c>
      <c r="F85" s="111" t="n">
        <f aca="false">E85*Y85</f>
        <v>0</v>
      </c>
      <c r="G85" s="124" t="n">
        <f aca="false">VLOOKUP($A85,Table,MATCH(G$4,Curves,0))</f>
        <v>3</v>
      </c>
      <c r="H85" s="125" t="n">
        <f aca="false">G85+$H$7</f>
        <v>3</v>
      </c>
      <c r="I85" s="124" t="n">
        <f aca="false">H85</f>
        <v>3</v>
      </c>
      <c r="J85" s="124" t="n">
        <f aca="false">VLOOKUP($A85,Table,MATCH(J$4,Curves,0))</f>
        <v>4</v>
      </c>
      <c r="K85" s="125" t="n">
        <f aca="false">J85+$K$7</f>
        <v>4</v>
      </c>
      <c r="L85" s="126" t="n">
        <f aca="false">K85</f>
        <v>4</v>
      </c>
      <c r="M85" s="124" t="n">
        <f aca="false">VLOOKUP($A85,Table,MATCH(M$4,Curves,0))</f>
        <v>4</v>
      </c>
      <c r="N85" s="125" t="n">
        <f aca="false">M85+$N$7</f>
        <v>4</v>
      </c>
      <c r="O85" s="126" t="n">
        <f aca="false">IF(B85&gt;0,(1000/B85*0.25)+((B85-1000)/B85*0.12),0)</f>
        <v>0</v>
      </c>
      <c r="P85" s="114"/>
      <c r="Q85" s="126" t="n">
        <f aca="false">M85+J85+G85</f>
        <v>11</v>
      </c>
      <c r="R85" s="126" t="n">
        <f aca="false">N85+K85+H85</f>
        <v>11</v>
      </c>
      <c r="S85" s="126" t="n">
        <f aca="false">O85+L85+I85</f>
        <v>7</v>
      </c>
      <c r="T85" s="127"/>
      <c r="U85" s="5" t="n">
        <f aca="false">A86-A85</f>
        <v>31</v>
      </c>
      <c r="V85" s="128" t="n">
        <f aca="false">CHOOSE(F$3,A86+24,A85)</f>
        <v>39569</v>
      </c>
      <c r="W85" s="5" t="n">
        <f aca="false">V85-C$3</f>
        <v>2338</v>
      </c>
      <c r="X85" s="124" t="n">
        <f aca="false">VLOOKUP($A85,Table,MATCH(X$4,Curves,0))</f>
        <v>2</v>
      </c>
      <c r="Y85" s="129" t="n">
        <f aca="false">1/(1+CHOOSE(F$3,(X86+($K$3/10000))/2,(X85+($K$3/10000))/2))^(2*W85/365.25)</f>
        <v>0.000140009245533509</v>
      </c>
      <c r="Z85" s="5" t="n">
        <f aca="false">IF(AND(mthbeg&lt;=A85,mthend&gt;=A85),1,0)</f>
        <v>0</v>
      </c>
      <c r="AA85" s="5" t="n">
        <f aca="false">U85*Z85</f>
        <v>0</v>
      </c>
      <c r="AC85" s="115" t="n">
        <f aca="false">IF(G78=2,F85*(S85-Q85),F85*(Q85-S85))</f>
        <v>0</v>
      </c>
      <c r="AE85" s="116" t="n">
        <f aca="false">IF($G$3=1,F85*(R85-Q85),F85*(Q85-R85))</f>
        <v>0</v>
      </c>
      <c r="AG85" s="116" t="n">
        <f aca="false">AC85+AE85</f>
        <v>0</v>
      </c>
    </row>
    <row r="86" customFormat="false" ht="12.75" hidden="false" customHeight="false" outlineLevel="0" collapsed="false">
      <c r="A86" s="120" t="n">
        <f aca="false">EDATE(A85,1)</f>
        <v>39600</v>
      </c>
      <c r="B86" s="121" t="n">
        <v>0</v>
      </c>
      <c r="C86" s="122"/>
      <c r="D86" s="123" t="n">
        <f aca="false">B86+C86</f>
        <v>0</v>
      </c>
      <c r="E86" s="111" t="n">
        <f aca="false">IF(Z86=0,0,IF(AND(Z86=1,$H$3=1),D86*U86,IF($H$3=2,D86,"N/A")))</f>
        <v>0</v>
      </c>
      <c r="F86" s="111" t="n">
        <f aca="false">E86*Y86</f>
        <v>0</v>
      </c>
      <c r="G86" s="124" t="n">
        <f aca="false">VLOOKUP($A86,Table,MATCH(G$4,Curves,0))</f>
        <v>3</v>
      </c>
      <c r="H86" s="125" t="n">
        <f aca="false">G86+$H$7</f>
        <v>3</v>
      </c>
      <c r="I86" s="124" t="n">
        <f aca="false">H86</f>
        <v>3</v>
      </c>
      <c r="J86" s="124" t="n">
        <f aca="false">VLOOKUP($A86,Table,MATCH(J$4,Curves,0))</f>
        <v>4</v>
      </c>
      <c r="K86" s="125" t="n">
        <f aca="false">J86+$K$7</f>
        <v>4</v>
      </c>
      <c r="L86" s="126" t="n">
        <f aca="false">K86</f>
        <v>4</v>
      </c>
      <c r="M86" s="124" t="n">
        <f aca="false">VLOOKUP($A86,Table,MATCH(M$4,Curves,0))</f>
        <v>4</v>
      </c>
      <c r="N86" s="125" t="n">
        <f aca="false">M86+$N$7</f>
        <v>4</v>
      </c>
      <c r="O86" s="126" t="n">
        <f aca="false">IF(B86&gt;0,(1000/B86*0.25)+((B86-1000)/B86*0.12),0)</f>
        <v>0</v>
      </c>
      <c r="P86" s="114"/>
      <c r="Q86" s="126" t="n">
        <f aca="false">M86+J86+G86</f>
        <v>11</v>
      </c>
      <c r="R86" s="126" t="n">
        <f aca="false">N86+K86+H86</f>
        <v>11</v>
      </c>
      <c r="S86" s="126" t="n">
        <f aca="false">O86+L86+I86</f>
        <v>7</v>
      </c>
      <c r="T86" s="127"/>
      <c r="U86" s="5" t="n">
        <f aca="false">A87-A86</f>
        <v>30</v>
      </c>
      <c r="V86" s="128" t="n">
        <f aca="false">CHOOSE(F$3,A87+24,A86)</f>
        <v>39600</v>
      </c>
      <c r="W86" s="5" t="n">
        <f aca="false">V86-C$3</f>
        <v>2369</v>
      </c>
      <c r="X86" s="124" t="n">
        <f aca="false">VLOOKUP($A86,Table,MATCH(X$4,Curves,0))</f>
        <v>2</v>
      </c>
      <c r="Y86" s="129" t="n">
        <f aca="false">1/(1+CHOOSE(F$3,(X87+($K$3/10000))/2,(X86+($K$3/10000))/2))^(2*W86/365.25)</f>
        <v>0.000124468040434367</v>
      </c>
      <c r="Z86" s="5" t="n">
        <f aca="false">IF(AND(mthbeg&lt;=A86,mthend&gt;=A86),1,0)</f>
        <v>0</v>
      </c>
      <c r="AA86" s="5" t="n">
        <f aca="false">U86*Z86</f>
        <v>0</v>
      </c>
      <c r="AC86" s="115" t="n">
        <f aca="false">IF(G79=2,F86*(S86-Q86),F86*(Q86-S86))</f>
        <v>0</v>
      </c>
      <c r="AE86" s="116" t="n">
        <f aca="false">IF($G$3=1,F86*(R86-Q86),F86*(Q86-R86))</f>
        <v>0</v>
      </c>
      <c r="AG86" s="116" t="n">
        <f aca="false">AC86+AE86</f>
        <v>0</v>
      </c>
    </row>
    <row r="87" customFormat="false" ht="12.75" hidden="false" customHeight="false" outlineLevel="0" collapsed="false">
      <c r="A87" s="120" t="n">
        <f aca="false">EDATE(A86,1)</f>
        <v>39630</v>
      </c>
      <c r="B87" s="121" t="n">
        <v>0</v>
      </c>
      <c r="C87" s="122"/>
      <c r="D87" s="123" t="n">
        <f aca="false">B87+C87</f>
        <v>0</v>
      </c>
      <c r="E87" s="111" t="n">
        <f aca="false">IF(Z87=0,0,IF(AND(Z87=1,$H$3=1),D87*U87,IF($H$3=2,D87,"N/A")))</f>
        <v>0</v>
      </c>
      <c r="F87" s="111" t="n">
        <f aca="false">E87*Y87</f>
        <v>0</v>
      </c>
      <c r="G87" s="124" t="n">
        <f aca="false">VLOOKUP($A87,Table,MATCH(G$4,Curves,0))</f>
        <v>3</v>
      </c>
      <c r="H87" s="125" t="n">
        <f aca="false">G87+$H$7</f>
        <v>3</v>
      </c>
      <c r="I87" s="124" t="n">
        <f aca="false">H87</f>
        <v>3</v>
      </c>
      <c r="J87" s="124" t="n">
        <f aca="false">VLOOKUP($A87,Table,MATCH(J$4,Curves,0))</f>
        <v>4</v>
      </c>
      <c r="K87" s="125" t="n">
        <f aca="false">J87+$K$7</f>
        <v>4</v>
      </c>
      <c r="L87" s="126" t="n">
        <f aca="false">K87</f>
        <v>4</v>
      </c>
      <c r="M87" s="124" t="n">
        <f aca="false">VLOOKUP($A87,Table,MATCH(M$4,Curves,0))</f>
        <v>4</v>
      </c>
      <c r="N87" s="125" t="n">
        <f aca="false">M87+$N$7</f>
        <v>4</v>
      </c>
      <c r="O87" s="126" t="n">
        <f aca="false">IF(B87&gt;0,(1000/B87*0.25)+((B87-1000)/B87*0.12),0)</f>
        <v>0</v>
      </c>
      <c r="P87" s="114"/>
      <c r="Q87" s="126" t="n">
        <f aca="false">M87+J87+G87</f>
        <v>11</v>
      </c>
      <c r="R87" s="126" t="n">
        <f aca="false">N87+K87+H87</f>
        <v>11</v>
      </c>
      <c r="S87" s="126" t="n">
        <f aca="false">O87+L87+I87</f>
        <v>7</v>
      </c>
      <c r="T87" s="127"/>
      <c r="U87" s="5" t="n">
        <f aca="false">A88-A87</f>
        <v>31</v>
      </c>
      <c r="V87" s="128" t="n">
        <f aca="false">CHOOSE(F$3,A88+24,A87)</f>
        <v>39630</v>
      </c>
      <c r="W87" s="5" t="n">
        <f aca="false">V87-C$3</f>
        <v>2399</v>
      </c>
      <c r="X87" s="124" t="n">
        <f aca="false">VLOOKUP($A87,Table,MATCH(X$4,Curves,0))</f>
        <v>2</v>
      </c>
      <c r="Y87" s="129" t="n">
        <f aca="false">1/(1+CHOOSE(F$3,(X88+($K$3/10000))/2,(X87+($K$3/10000))/2))^(2*W87/365.25)</f>
        <v>0.000111072702721374</v>
      </c>
      <c r="Z87" s="5" t="n">
        <f aca="false">IF(AND(mthbeg&lt;=A87,mthend&gt;=A87),1,0)</f>
        <v>0</v>
      </c>
      <c r="AA87" s="5" t="n">
        <f aca="false">U87*Z87</f>
        <v>0</v>
      </c>
      <c r="AC87" s="115" t="n">
        <f aca="false">IF(G80=2,F87*(S87-Q87),F87*(Q87-S87))</f>
        <v>0</v>
      </c>
      <c r="AE87" s="116" t="n">
        <f aca="false">IF($G$3=1,F87*(R87-Q87),F87*(Q87-R87))</f>
        <v>0</v>
      </c>
      <c r="AG87" s="116" t="n">
        <f aca="false">AC87+AE87</f>
        <v>0</v>
      </c>
    </row>
    <row r="88" customFormat="false" ht="12.75" hidden="false" customHeight="false" outlineLevel="0" collapsed="false">
      <c r="A88" s="120" t="n">
        <f aca="false">EDATE(A87,1)</f>
        <v>39661</v>
      </c>
      <c r="B88" s="121" t="n">
        <v>0</v>
      </c>
      <c r="C88" s="122"/>
      <c r="D88" s="123" t="n">
        <f aca="false">B88+C88</f>
        <v>0</v>
      </c>
      <c r="E88" s="111" t="n">
        <f aca="false">IF(Z88=0,0,IF(AND(Z88=1,$H$3=1),D88*U88,IF($H$3=2,D88,"N/A")))</f>
        <v>0</v>
      </c>
      <c r="F88" s="111" t="n">
        <f aca="false">E88*Y88</f>
        <v>0</v>
      </c>
      <c r="G88" s="124" t="n">
        <f aca="false">VLOOKUP($A88,Table,MATCH(G$4,Curves,0))</f>
        <v>3</v>
      </c>
      <c r="H88" s="125" t="n">
        <f aca="false">G88+$H$7</f>
        <v>3</v>
      </c>
      <c r="I88" s="124" t="n">
        <f aca="false">H88</f>
        <v>3</v>
      </c>
      <c r="J88" s="124" t="n">
        <f aca="false">VLOOKUP($A88,Table,MATCH(J$4,Curves,0))</f>
        <v>4</v>
      </c>
      <c r="K88" s="125" t="n">
        <f aca="false">J88+$K$7</f>
        <v>4</v>
      </c>
      <c r="L88" s="126" t="n">
        <f aca="false">K88</f>
        <v>4</v>
      </c>
      <c r="M88" s="124" t="n">
        <f aca="false">VLOOKUP($A88,Table,MATCH(M$4,Curves,0))</f>
        <v>4</v>
      </c>
      <c r="N88" s="125" t="n">
        <f aca="false">M88+$N$7</f>
        <v>4</v>
      </c>
      <c r="O88" s="126" t="n">
        <f aca="false">IF(B88&gt;0,(1000/B88*0.25)+((B88-1000)/B88*0.12),0)</f>
        <v>0</v>
      </c>
      <c r="P88" s="114"/>
      <c r="Q88" s="126" t="n">
        <f aca="false">M88+J88+G88</f>
        <v>11</v>
      </c>
      <c r="R88" s="126" t="n">
        <f aca="false">N88+K88+H88</f>
        <v>11</v>
      </c>
      <c r="S88" s="126" t="n">
        <f aca="false">O88+L88+I88</f>
        <v>7</v>
      </c>
      <c r="T88" s="127"/>
      <c r="U88" s="5" t="n">
        <f aca="false">A89-A88</f>
        <v>31</v>
      </c>
      <c r="V88" s="128" t="n">
        <f aca="false">CHOOSE(F$3,A89+24,A88)</f>
        <v>39661</v>
      </c>
      <c r="W88" s="5" t="n">
        <f aca="false">V88-C$3</f>
        <v>2430</v>
      </c>
      <c r="X88" s="124" t="n">
        <f aca="false">VLOOKUP($A88,Table,MATCH(X$4,Curves,0))</f>
        <v>2</v>
      </c>
      <c r="Y88" s="129" t="n">
        <f aca="false">1/(1+CHOOSE(F$3,(X89+($K$3/10000))/2,(X88+($K$3/10000))/2))^(2*W88/365.25)</f>
        <v>9.8743490837322E-005</v>
      </c>
      <c r="Z88" s="5" t="n">
        <f aca="false">IF(AND(mthbeg&lt;=A88,mthend&gt;=A88),1,0)</f>
        <v>0</v>
      </c>
      <c r="AA88" s="5" t="n">
        <f aca="false">U88*Z88</f>
        <v>0</v>
      </c>
      <c r="AC88" s="115" t="n">
        <f aca="false">IF(G81=2,F88*(S88-Q88),F88*(Q88-S88))</f>
        <v>0</v>
      </c>
      <c r="AE88" s="116" t="n">
        <f aca="false">IF($G$3=1,F88*(R88-Q88),F88*(Q88-R88))</f>
        <v>0</v>
      </c>
      <c r="AG88" s="116" t="n">
        <f aca="false">AC88+AE88</f>
        <v>0</v>
      </c>
    </row>
    <row r="89" customFormat="false" ht="12.75" hidden="false" customHeight="false" outlineLevel="0" collapsed="false">
      <c r="A89" s="120" t="n">
        <f aca="false">EDATE(A88,1)</f>
        <v>39692</v>
      </c>
      <c r="B89" s="121" t="n">
        <v>0</v>
      </c>
      <c r="C89" s="122"/>
      <c r="D89" s="123" t="n">
        <f aca="false">B89+C89</f>
        <v>0</v>
      </c>
      <c r="E89" s="111" t="n">
        <f aca="false">IF(Z89=0,0,IF(AND(Z89=1,$H$3=1),D89*U89,IF($H$3=2,D89,"N/A")))</f>
        <v>0</v>
      </c>
      <c r="F89" s="111" t="n">
        <f aca="false">E89*Y89</f>
        <v>0</v>
      </c>
      <c r="G89" s="124" t="n">
        <f aca="false">VLOOKUP($A89,Table,MATCH(G$4,Curves,0))</f>
        <v>3</v>
      </c>
      <c r="H89" s="125" t="n">
        <f aca="false">G89+$H$7</f>
        <v>3</v>
      </c>
      <c r="I89" s="124" t="n">
        <f aca="false">H89</f>
        <v>3</v>
      </c>
      <c r="J89" s="124" t="n">
        <f aca="false">VLOOKUP($A89,Table,MATCH(J$4,Curves,0))</f>
        <v>4</v>
      </c>
      <c r="K89" s="125" t="n">
        <f aca="false">J89+$K$7</f>
        <v>4</v>
      </c>
      <c r="L89" s="126" t="n">
        <f aca="false">K89</f>
        <v>4</v>
      </c>
      <c r="M89" s="124" t="n">
        <f aca="false">VLOOKUP($A89,Table,MATCH(M$4,Curves,0))</f>
        <v>4</v>
      </c>
      <c r="N89" s="125" t="n">
        <f aca="false">M89+$N$7</f>
        <v>4</v>
      </c>
      <c r="O89" s="126" t="n">
        <f aca="false">IF(B89&gt;0,(1000/B89*0.25)+((B89-1000)/B89*0.12),0)</f>
        <v>0</v>
      </c>
      <c r="P89" s="114"/>
      <c r="Q89" s="126" t="n">
        <f aca="false">M89+J89+G89</f>
        <v>11</v>
      </c>
      <c r="R89" s="126" t="n">
        <f aca="false">N89+K89+H89</f>
        <v>11</v>
      </c>
      <c r="S89" s="126" t="n">
        <f aca="false">O89+L89+I89</f>
        <v>7</v>
      </c>
      <c r="T89" s="127"/>
      <c r="U89" s="5" t="n">
        <f aca="false">A90-A89</f>
        <v>30</v>
      </c>
      <c r="V89" s="128" t="n">
        <f aca="false">CHOOSE(F$3,A90+24,A89)</f>
        <v>39692</v>
      </c>
      <c r="W89" s="5" t="n">
        <f aca="false">V89-C$3</f>
        <v>2461</v>
      </c>
      <c r="X89" s="124" t="n">
        <f aca="false">VLOOKUP($A89,Table,MATCH(X$4,Curves,0))</f>
        <v>2</v>
      </c>
      <c r="Y89" s="129" t="n">
        <f aca="false">1/(1+CHOOSE(F$3,(X90+($K$3/10000))/2,(X89+($K$3/10000))/2))^(2*W89/365.25)</f>
        <v>8.77828372214803E-005</v>
      </c>
      <c r="Z89" s="5" t="n">
        <f aca="false">IF(AND(mthbeg&lt;=A89,mthend&gt;=A89),1,0)</f>
        <v>0</v>
      </c>
      <c r="AA89" s="5" t="n">
        <f aca="false">U89*Z89</f>
        <v>0</v>
      </c>
      <c r="AC89" s="115" t="n">
        <f aca="false">IF(G82=2,F89*(S89-Q89),F89*(Q89-S89))</f>
        <v>0</v>
      </c>
      <c r="AE89" s="116" t="n">
        <f aca="false">IF($G$3=1,F89*(R89-Q89),F89*(Q89-R89))</f>
        <v>0</v>
      </c>
      <c r="AG89" s="116" t="n">
        <f aca="false">AC89+AE89</f>
        <v>0</v>
      </c>
    </row>
    <row r="90" customFormat="false" ht="12.75" hidden="false" customHeight="false" outlineLevel="0" collapsed="false">
      <c r="A90" s="120" t="n">
        <f aca="false">EDATE(A89,1)</f>
        <v>39722</v>
      </c>
      <c r="B90" s="121" t="n">
        <v>0</v>
      </c>
      <c r="C90" s="122"/>
      <c r="D90" s="123" t="n">
        <f aca="false">B90+C90</f>
        <v>0</v>
      </c>
      <c r="E90" s="111" t="n">
        <f aca="false">IF(Z90=0,0,IF(AND(Z90=1,$H$3=1),D90*U90,IF($H$3=2,D90,"N/A")))</f>
        <v>0</v>
      </c>
      <c r="F90" s="111" t="n">
        <f aca="false">E90*Y90</f>
        <v>0</v>
      </c>
      <c r="G90" s="124" t="n">
        <f aca="false">VLOOKUP($A90,Table,MATCH(G$4,Curves,0))</f>
        <v>3</v>
      </c>
      <c r="H90" s="125" t="n">
        <f aca="false">G90+$H$7</f>
        <v>3</v>
      </c>
      <c r="I90" s="124" t="n">
        <f aca="false">H90</f>
        <v>3</v>
      </c>
      <c r="J90" s="124" t="n">
        <f aca="false">VLOOKUP($A90,Table,MATCH(J$4,Curves,0))</f>
        <v>4</v>
      </c>
      <c r="K90" s="125" t="n">
        <f aca="false">J90+$K$7</f>
        <v>4</v>
      </c>
      <c r="L90" s="126" t="n">
        <f aca="false">K90</f>
        <v>4</v>
      </c>
      <c r="M90" s="124" t="n">
        <f aca="false">VLOOKUP($A90,Table,MATCH(M$4,Curves,0))</f>
        <v>4</v>
      </c>
      <c r="N90" s="125" t="n">
        <f aca="false">M90+$N$7</f>
        <v>4</v>
      </c>
      <c r="O90" s="126" t="n">
        <f aca="false">IF(B90&gt;0,(1000/B90*0.25)+((B90-1000)/B90*0.12),0)</f>
        <v>0</v>
      </c>
      <c r="P90" s="114"/>
      <c r="Q90" s="126" t="n">
        <f aca="false">M90+J90+G90</f>
        <v>11</v>
      </c>
      <c r="R90" s="126" t="n">
        <f aca="false">N90+K90+H90</f>
        <v>11</v>
      </c>
      <c r="S90" s="126" t="n">
        <f aca="false">O90+L90+I90</f>
        <v>7</v>
      </c>
      <c r="T90" s="127"/>
      <c r="U90" s="5" t="n">
        <f aca="false">A91-A90</f>
        <v>31</v>
      </c>
      <c r="V90" s="128" t="n">
        <f aca="false">CHOOSE(F$3,A91+24,A90)</f>
        <v>39722</v>
      </c>
      <c r="W90" s="5" t="n">
        <f aca="false">V90-C$3</f>
        <v>2491</v>
      </c>
      <c r="X90" s="124" t="n">
        <f aca="false">VLOOKUP($A90,Table,MATCH(X$4,Curves,0))</f>
        <v>2</v>
      </c>
      <c r="Y90" s="129" t="n">
        <f aca="false">1/(1+CHOOSE(F$3,(X91+($K$3/10000))/2,(X90+($K$3/10000))/2))^(2*W90/365.25)</f>
        <v>7.83355867796575E-005</v>
      </c>
      <c r="Z90" s="5" t="n">
        <f aca="false">IF(AND(mthbeg&lt;=A90,mthend&gt;=A90),1,0)</f>
        <v>0</v>
      </c>
      <c r="AA90" s="5" t="n">
        <f aca="false">U90*Z90</f>
        <v>0</v>
      </c>
      <c r="AC90" s="115" t="n">
        <f aca="false">IF(G83=2,F90*(S90-Q90),F90*(Q90-S90))</f>
        <v>0</v>
      </c>
      <c r="AE90" s="116" t="n">
        <f aca="false">IF($G$3=1,F90*(R90-Q90),F90*(Q90-R90))</f>
        <v>0</v>
      </c>
      <c r="AG90" s="116" t="n">
        <f aca="false">AC90+AE90</f>
        <v>0</v>
      </c>
    </row>
    <row r="91" customFormat="false" ht="12.75" hidden="false" customHeight="false" outlineLevel="0" collapsed="false">
      <c r="A91" s="120" t="n">
        <f aca="false">EDATE(A90,1)</f>
        <v>39753</v>
      </c>
      <c r="B91" s="121" t="n">
        <v>0</v>
      </c>
      <c r="C91" s="122"/>
      <c r="D91" s="123" t="n">
        <f aca="false">B91+C91</f>
        <v>0</v>
      </c>
      <c r="E91" s="111" t="n">
        <f aca="false">IF(Z91=0,0,IF(AND(Z91=1,$H$3=1),D91*U91,IF($H$3=2,D91,"N/A")))</f>
        <v>0</v>
      </c>
      <c r="F91" s="111" t="n">
        <f aca="false">E91*Y91</f>
        <v>0</v>
      </c>
      <c r="G91" s="124" t="n">
        <f aca="false">VLOOKUP($A91,Table,MATCH(G$4,Curves,0))</f>
        <v>3</v>
      </c>
      <c r="H91" s="125" t="n">
        <f aca="false">G91+$H$7</f>
        <v>3</v>
      </c>
      <c r="I91" s="124" t="n">
        <f aca="false">H91</f>
        <v>3</v>
      </c>
      <c r="J91" s="124" t="n">
        <f aca="false">VLOOKUP($A91,Table,MATCH(J$4,Curves,0))</f>
        <v>4</v>
      </c>
      <c r="K91" s="125" t="n">
        <f aca="false">J91+$K$7</f>
        <v>4</v>
      </c>
      <c r="L91" s="126" t="n">
        <f aca="false">K91</f>
        <v>4</v>
      </c>
      <c r="M91" s="124" t="n">
        <f aca="false">VLOOKUP($A91,Table,MATCH(M$4,Curves,0))</f>
        <v>4</v>
      </c>
      <c r="N91" s="125" t="n">
        <f aca="false">M91+$N$7</f>
        <v>4</v>
      </c>
      <c r="O91" s="126" t="n">
        <f aca="false">IF(B91&gt;0,(1000/B91*0.25)+((B91-1000)/B91*0.12),0)</f>
        <v>0</v>
      </c>
      <c r="P91" s="114"/>
      <c r="Q91" s="126" t="n">
        <f aca="false">M91+J91+G91</f>
        <v>11</v>
      </c>
      <c r="R91" s="126" t="n">
        <f aca="false">N91+K91+H91</f>
        <v>11</v>
      </c>
      <c r="S91" s="126" t="n">
        <f aca="false">O91+L91+I91</f>
        <v>7</v>
      </c>
      <c r="T91" s="127"/>
      <c r="U91" s="5" t="n">
        <f aca="false">A92-A91</f>
        <v>30</v>
      </c>
      <c r="V91" s="128" t="n">
        <f aca="false">CHOOSE(F$3,A92+24,A91)</f>
        <v>39753</v>
      </c>
      <c r="W91" s="5" t="n">
        <f aca="false">V91-C$3</f>
        <v>2522</v>
      </c>
      <c r="X91" s="124" t="n">
        <f aca="false">VLOOKUP($A91,Table,MATCH(X$4,Curves,0))</f>
        <v>2</v>
      </c>
      <c r="Y91" s="129" t="n">
        <f aca="false">1/(1+CHOOSE(F$3,(X92+($K$3/10000))/2,(X91+($K$3/10000))/2))^(2*W91/365.25)</f>
        <v>6.96402365828525E-005</v>
      </c>
      <c r="Z91" s="5" t="n">
        <f aca="false">IF(AND(mthbeg&lt;=A91,mthend&gt;=A91),1,0)</f>
        <v>0</v>
      </c>
      <c r="AA91" s="5" t="n">
        <f aca="false">U91*Z91</f>
        <v>0</v>
      </c>
      <c r="AC91" s="115" t="n">
        <f aca="false">IF(G84=2,F91*(S91-Q91),F91*(Q91-S91))</f>
        <v>0</v>
      </c>
      <c r="AE91" s="116" t="n">
        <f aca="false">IF($G$3=1,F91*(R91-Q91),F91*(Q91-R91))</f>
        <v>0</v>
      </c>
      <c r="AG91" s="116" t="n">
        <f aca="false">AC91+AE91</f>
        <v>0</v>
      </c>
    </row>
    <row r="92" customFormat="false" ht="12.75" hidden="false" customHeight="false" outlineLevel="0" collapsed="false">
      <c r="A92" s="120" t="n">
        <f aca="false">EDATE(A91,1)</f>
        <v>39783</v>
      </c>
      <c r="B92" s="121" t="n">
        <v>0</v>
      </c>
      <c r="C92" s="122"/>
      <c r="D92" s="123" t="n">
        <f aca="false">B92+C92</f>
        <v>0</v>
      </c>
      <c r="E92" s="111" t="n">
        <f aca="false">IF(Z92=0,0,IF(AND(Z92=1,$H$3=1),D92*U92,IF($H$3=2,D92,"N/A")))</f>
        <v>0</v>
      </c>
      <c r="F92" s="111" t="n">
        <f aca="false">E92*Y92</f>
        <v>0</v>
      </c>
      <c r="G92" s="124" t="n">
        <f aca="false">VLOOKUP($A92,Table,MATCH(G$4,Curves,0))</f>
        <v>3</v>
      </c>
      <c r="H92" s="125" t="n">
        <f aca="false">G92+$H$7</f>
        <v>3</v>
      </c>
      <c r="I92" s="124" t="n">
        <f aca="false">H92</f>
        <v>3</v>
      </c>
      <c r="J92" s="124" t="n">
        <f aca="false">VLOOKUP($A92,Table,MATCH(J$4,Curves,0))</f>
        <v>4</v>
      </c>
      <c r="K92" s="125" t="n">
        <f aca="false">J92+$K$7</f>
        <v>4</v>
      </c>
      <c r="L92" s="126" t="n">
        <f aca="false">K92</f>
        <v>4</v>
      </c>
      <c r="M92" s="124" t="n">
        <f aca="false">VLOOKUP($A92,Table,MATCH(M$4,Curves,0))</f>
        <v>4</v>
      </c>
      <c r="N92" s="125" t="n">
        <f aca="false">M92+$N$7</f>
        <v>4</v>
      </c>
      <c r="O92" s="126" t="n">
        <f aca="false">IF(B92&gt;0,(1000/B92*0.25)+((B92-1000)/B92*0.12),0)</f>
        <v>0</v>
      </c>
      <c r="P92" s="114"/>
      <c r="Q92" s="126" t="n">
        <f aca="false">M92+J92+G92</f>
        <v>11</v>
      </c>
      <c r="R92" s="126" t="n">
        <f aca="false">N92+K92+H92</f>
        <v>11</v>
      </c>
      <c r="S92" s="126" t="n">
        <f aca="false">O92+L92+I92</f>
        <v>7</v>
      </c>
      <c r="T92" s="127"/>
      <c r="U92" s="5" t="n">
        <f aca="false">A93-A92</f>
        <v>31</v>
      </c>
      <c r="V92" s="128" t="n">
        <f aca="false">CHOOSE(F$3,A93+24,A92)</f>
        <v>39783</v>
      </c>
      <c r="W92" s="5" t="n">
        <f aca="false">V92-C$3</f>
        <v>2552</v>
      </c>
      <c r="X92" s="124" t="n">
        <f aca="false">VLOOKUP($A92,Table,MATCH(X$4,Curves,0))</f>
        <v>2</v>
      </c>
      <c r="Y92" s="129" t="n">
        <f aca="false">1/(1+CHOOSE(F$3,(X93+($K$3/10000))/2,(X92+($K$3/10000))/2))^(2*W92/365.25)</f>
        <v>6.2145505532339E-005</v>
      </c>
      <c r="Z92" s="5" t="n">
        <f aca="false">IF(AND(mthbeg&lt;=A92,mthend&gt;=A92),1,0)</f>
        <v>0</v>
      </c>
      <c r="AA92" s="5" t="n">
        <f aca="false">U92*Z92</f>
        <v>0</v>
      </c>
      <c r="AC92" s="115" t="n">
        <f aca="false">IF(G85=2,F92*(S92-Q92),F92*(Q92-S92))</f>
        <v>0</v>
      </c>
      <c r="AE92" s="116" t="n">
        <f aca="false">IF($G$3=1,F92*(R92-Q92),F92*(Q92-R92))</f>
        <v>0</v>
      </c>
      <c r="AG92" s="116" t="n">
        <f aca="false">AC92+AE92</f>
        <v>0</v>
      </c>
    </row>
    <row r="93" customFormat="false" ht="12.75" hidden="false" customHeight="false" outlineLevel="0" collapsed="false">
      <c r="A93" s="120" t="n">
        <f aca="false">EDATE(A92,1)</f>
        <v>39814</v>
      </c>
      <c r="B93" s="121" t="n">
        <v>0</v>
      </c>
      <c r="C93" s="122"/>
      <c r="D93" s="123" t="n">
        <f aca="false">B93+C93</f>
        <v>0</v>
      </c>
      <c r="E93" s="111" t="n">
        <f aca="false">IF(Z93=0,0,IF(AND(Z93=1,$H$3=1),D93*U93,IF($H$3=2,D93,"N/A")))</f>
        <v>0</v>
      </c>
      <c r="F93" s="111" t="n">
        <f aca="false">E93*Y93</f>
        <v>0</v>
      </c>
      <c r="G93" s="124" t="n">
        <f aca="false">VLOOKUP($A93,Table,MATCH(G$4,Curves,0))</f>
        <v>3</v>
      </c>
      <c r="H93" s="125" t="n">
        <f aca="false">G93+$H$7</f>
        <v>3</v>
      </c>
      <c r="I93" s="124" t="n">
        <f aca="false">H93</f>
        <v>3</v>
      </c>
      <c r="J93" s="124" t="n">
        <f aca="false">VLOOKUP($A93,Table,MATCH(J$4,Curves,0))</f>
        <v>4</v>
      </c>
      <c r="K93" s="125" t="n">
        <f aca="false">J93+$K$7</f>
        <v>4</v>
      </c>
      <c r="L93" s="126" t="n">
        <f aca="false">K93</f>
        <v>4</v>
      </c>
      <c r="M93" s="124" t="n">
        <f aca="false">VLOOKUP($A93,Table,MATCH(M$4,Curves,0))</f>
        <v>4</v>
      </c>
      <c r="N93" s="125" t="n">
        <f aca="false">M93+$N$7</f>
        <v>4</v>
      </c>
      <c r="O93" s="126" t="n">
        <f aca="false">IF(B93&gt;0,(1000/B93*0.25)+((B93-1000)/B93*0.12),0)</f>
        <v>0</v>
      </c>
      <c r="P93" s="114"/>
      <c r="Q93" s="126" t="n">
        <f aca="false">M93+J93+G93</f>
        <v>11</v>
      </c>
      <c r="R93" s="126" t="n">
        <f aca="false">N93+K93+H93</f>
        <v>11</v>
      </c>
      <c r="S93" s="126" t="n">
        <f aca="false">O93+L93+I93</f>
        <v>7</v>
      </c>
      <c r="T93" s="127"/>
      <c r="U93" s="5" t="n">
        <f aca="false">A94-A93</f>
        <v>31</v>
      </c>
      <c r="V93" s="128" t="n">
        <f aca="false">CHOOSE(F$3,A94+24,A93)</f>
        <v>39814</v>
      </c>
      <c r="W93" s="5" t="n">
        <f aca="false">V93-C$3</f>
        <v>2583</v>
      </c>
      <c r="X93" s="124" t="n">
        <f aca="false">VLOOKUP($A93,Table,MATCH(X$4,Curves,0))</f>
        <v>2</v>
      </c>
      <c r="Y93" s="129" t="n">
        <f aca="false">1/(1+CHOOSE(F$3,(X94+($K$3/10000))/2,(X93+($K$3/10000))/2))^(2*W93/365.25)</f>
        <v>5.52472750348622E-005</v>
      </c>
      <c r="Z93" s="5" t="n">
        <f aca="false">IF(AND(mthbeg&lt;=A93,mthend&gt;=A93),1,0)</f>
        <v>0</v>
      </c>
      <c r="AA93" s="5" t="n">
        <f aca="false">U93*Z93</f>
        <v>0</v>
      </c>
      <c r="AC93" s="115" t="n">
        <f aca="false">IF(G86=2,F93*(S93-Q93),F93*(Q93-S93))</f>
        <v>0</v>
      </c>
      <c r="AE93" s="116" t="n">
        <f aca="false">IF($G$3=1,F93*(R93-Q93),F93*(Q93-R93))</f>
        <v>0</v>
      </c>
      <c r="AG93" s="116" t="n">
        <f aca="false">AC93+AE93</f>
        <v>0</v>
      </c>
    </row>
    <row r="94" customFormat="false" ht="12.75" hidden="false" customHeight="false" outlineLevel="0" collapsed="false">
      <c r="A94" s="120" t="n">
        <f aca="false">EDATE(A93,1)</f>
        <v>39845</v>
      </c>
      <c r="B94" s="121" t="n">
        <v>0</v>
      </c>
      <c r="C94" s="122"/>
      <c r="D94" s="123" t="n">
        <f aca="false">B94+C94</f>
        <v>0</v>
      </c>
      <c r="E94" s="111" t="n">
        <f aca="false">IF(Z94=0,0,IF(AND(Z94=1,$H$3=1),D94*U94,IF($H$3=2,D94,"N/A")))</f>
        <v>0</v>
      </c>
      <c r="F94" s="111" t="n">
        <f aca="false">E94*Y94</f>
        <v>0</v>
      </c>
      <c r="G94" s="124" t="n">
        <f aca="false">VLOOKUP($A94,Table,MATCH(G$4,Curves,0))</f>
        <v>3</v>
      </c>
      <c r="H94" s="125" t="n">
        <f aca="false">G94+$H$7</f>
        <v>3</v>
      </c>
      <c r="I94" s="124" t="n">
        <f aca="false">H94</f>
        <v>3</v>
      </c>
      <c r="J94" s="124" t="n">
        <f aca="false">VLOOKUP($A94,Table,MATCH(J$4,Curves,0))</f>
        <v>4</v>
      </c>
      <c r="K94" s="125" t="n">
        <f aca="false">J94+$K$7</f>
        <v>4</v>
      </c>
      <c r="L94" s="126" t="n">
        <f aca="false">K94</f>
        <v>4</v>
      </c>
      <c r="M94" s="124" t="n">
        <f aca="false">VLOOKUP($A94,Table,MATCH(M$4,Curves,0))</f>
        <v>4</v>
      </c>
      <c r="N94" s="125" t="n">
        <f aca="false">M94+$N$7</f>
        <v>4</v>
      </c>
      <c r="O94" s="126" t="n">
        <f aca="false">IF(B94&gt;0,(1000/B94*0.25)+((B94-1000)/B94*0.12),0)</f>
        <v>0</v>
      </c>
      <c r="P94" s="114"/>
      <c r="Q94" s="126" t="n">
        <f aca="false">M94+J94+G94</f>
        <v>11</v>
      </c>
      <c r="R94" s="126" t="n">
        <f aca="false">N94+K94+H94</f>
        <v>11</v>
      </c>
      <c r="S94" s="126" t="n">
        <f aca="false">O94+L94+I94</f>
        <v>7</v>
      </c>
      <c r="T94" s="127"/>
      <c r="U94" s="5" t="n">
        <f aca="false">A95-A94</f>
        <v>28</v>
      </c>
      <c r="V94" s="128" t="n">
        <f aca="false">CHOOSE(F$3,A95+24,A94)</f>
        <v>39845</v>
      </c>
      <c r="W94" s="5" t="n">
        <f aca="false">V94-C$3</f>
        <v>2614</v>
      </c>
      <c r="X94" s="124" t="n">
        <f aca="false">VLOOKUP($A94,Table,MATCH(X$4,Curves,0))</f>
        <v>2</v>
      </c>
      <c r="Y94" s="129" t="n">
        <f aca="false">1/(1+CHOOSE(F$3,(X95+($K$3/10000))/2,(X94+($K$3/10000))/2))^(2*W94/365.25)</f>
        <v>4.91147569342627E-005</v>
      </c>
      <c r="Z94" s="5" t="n">
        <f aca="false">IF(AND(mthbeg&lt;=A94,mthend&gt;=A94),1,0)</f>
        <v>0</v>
      </c>
      <c r="AA94" s="5" t="n">
        <f aca="false">U94*Z94</f>
        <v>0</v>
      </c>
      <c r="AC94" s="115" t="n">
        <f aca="false">IF(G87=2,F94*(S94-Q94),F94*(Q94-S94))</f>
        <v>0</v>
      </c>
      <c r="AE94" s="116" t="n">
        <f aca="false">IF($G$3=1,F94*(R94-Q94),F94*(Q94-R94))</f>
        <v>0</v>
      </c>
      <c r="AG94" s="116" t="n">
        <f aca="false">AC94+AE94</f>
        <v>0</v>
      </c>
    </row>
    <row r="95" customFormat="false" ht="12.75" hidden="false" customHeight="false" outlineLevel="0" collapsed="false">
      <c r="A95" s="120" t="n">
        <f aca="false">EDATE(A94,1)</f>
        <v>39873</v>
      </c>
      <c r="B95" s="121" t="n">
        <v>0</v>
      </c>
      <c r="C95" s="122"/>
      <c r="D95" s="123" t="n">
        <f aca="false">B95+C95</f>
        <v>0</v>
      </c>
      <c r="E95" s="111" t="n">
        <f aca="false">IF(Z95=0,0,IF(AND(Z95=1,$H$3=1),D95*U95,IF($H$3=2,D95,"N/A")))</f>
        <v>0</v>
      </c>
      <c r="F95" s="111" t="n">
        <f aca="false">E95*Y95</f>
        <v>0</v>
      </c>
      <c r="G95" s="124" t="n">
        <f aca="false">VLOOKUP($A95,Table,MATCH(G$4,Curves,0))</f>
        <v>3</v>
      </c>
      <c r="H95" s="125" t="n">
        <f aca="false">G95+$H$7</f>
        <v>3</v>
      </c>
      <c r="I95" s="124" t="n">
        <f aca="false">H95</f>
        <v>3</v>
      </c>
      <c r="J95" s="124" t="n">
        <f aca="false">VLOOKUP($A95,Table,MATCH(J$4,Curves,0))</f>
        <v>4</v>
      </c>
      <c r="K95" s="125" t="n">
        <f aca="false">J95+$K$7</f>
        <v>4</v>
      </c>
      <c r="L95" s="126" t="n">
        <f aca="false">K95</f>
        <v>4</v>
      </c>
      <c r="M95" s="124" t="n">
        <f aca="false">VLOOKUP($A95,Table,MATCH(M$4,Curves,0))</f>
        <v>4</v>
      </c>
      <c r="N95" s="125" t="n">
        <f aca="false">M95+$N$7</f>
        <v>4</v>
      </c>
      <c r="O95" s="126" t="n">
        <f aca="false">IF(B95&gt;0,(1000/B95*0.25)+((B95-1000)/B95*0.12),0)</f>
        <v>0</v>
      </c>
      <c r="P95" s="114"/>
      <c r="Q95" s="126" t="n">
        <f aca="false">M95+J95+G95</f>
        <v>11</v>
      </c>
      <c r="R95" s="126" t="n">
        <f aca="false">N95+K95+H95</f>
        <v>11</v>
      </c>
      <c r="S95" s="126" t="n">
        <f aca="false">O95+L95+I95</f>
        <v>7</v>
      </c>
      <c r="T95" s="127"/>
      <c r="U95" s="5" t="n">
        <f aca="false">A96-A95</f>
        <v>31</v>
      </c>
      <c r="V95" s="128" t="n">
        <f aca="false">CHOOSE(F$3,A96+24,A95)</f>
        <v>39873</v>
      </c>
      <c r="W95" s="5" t="n">
        <f aca="false">V95-C$3</f>
        <v>2642</v>
      </c>
      <c r="X95" s="124" t="n">
        <f aca="false">VLOOKUP($A95,Table,MATCH(X$4,Curves,0))</f>
        <v>2</v>
      </c>
      <c r="Y95" s="129" t="n">
        <f aca="false">1/(1+CHOOSE(F$3,(X96+($K$3/10000))/2,(X95+($K$3/10000))/2))^(2*W95/365.25)</f>
        <v>4.41629613460002E-005</v>
      </c>
      <c r="Z95" s="5" t="n">
        <f aca="false">IF(AND(mthbeg&lt;=A95,mthend&gt;=A95),1,0)</f>
        <v>0</v>
      </c>
      <c r="AA95" s="5" t="n">
        <f aca="false">U95*Z95</f>
        <v>0</v>
      </c>
      <c r="AC95" s="115" t="n">
        <f aca="false">IF(G88=2,F95*(S95-Q95),F95*(Q95-S95))</f>
        <v>0</v>
      </c>
      <c r="AE95" s="116" t="n">
        <f aca="false">IF($G$3=1,F95*(R95-Q95),F95*(Q95-R95))</f>
        <v>0</v>
      </c>
      <c r="AG95" s="116" t="n">
        <f aca="false">AC95+AE95</f>
        <v>0</v>
      </c>
    </row>
    <row r="96" customFormat="false" ht="12.75" hidden="false" customHeight="false" outlineLevel="0" collapsed="false">
      <c r="A96" s="120" t="n">
        <f aca="false">EDATE(A95,1)</f>
        <v>39904</v>
      </c>
      <c r="B96" s="121" t="n">
        <v>0</v>
      </c>
      <c r="C96" s="122"/>
      <c r="D96" s="123" t="n">
        <f aca="false">B96+C96</f>
        <v>0</v>
      </c>
      <c r="E96" s="111" t="n">
        <f aca="false">IF(Z96=0,0,IF(AND(Z96=1,$H$3=1),D96*U96,IF($H$3=2,D96,"N/A")))</f>
        <v>0</v>
      </c>
      <c r="F96" s="111" t="n">
        <f aca="false">E96*Y96</f>
        <v>0</v>
      </c>
      <c r="G96" s="124" t="n">
        <f aca="false">VLOOKUP($A96,Table,MATCH(G$4,Curves,0))</f>
        <v>3</v>
      </c>
      <c r="H96" s="125" t="n">
        <f aca="false">G96+$H$7</f>
        <v>3</v>
      </c>
      <c r="I96" s="124" t="n">
        <f aca="false">H96</f>
        <v>3</v>
      </c>
      <c r="J96" s="124" t="n">
        <f aca="false">VLOOKUP($A96,Table,MATCH(J$4,Curves,0))</f>
        <v>4</v>
      </c>
      <c r="K96" s="125" t="n">
        <f aca="false">J96+$K$7</f>
        <v>4</v>
      </c>
      <c r="L96" s="126" t="n">
        <f aca="false">K96</f>
        <v>4</v>
      </c>
      <c r="M96" s="124" t="n">
        <f aca="false">VLOOKUP($A96,Table,MATCH(M$4,Curves,0))</f>
        <v>4</v>
      </c>
      <c r="N96" s="125" t="n">
        <f aca="false">M96+$N$7</f>
        <v>4</v>
      </c>
      <c r="O96" s="126" t="n">
        <f aca="false">IF(B96&gt;0,(1000/B96*0.25)+((B96-1000)/B96*0.12),0)</f>
        <v>0</v>
      </c>
      <c r="P96" s="114"/>
      <c r="Q96" s="126" t="n">
        <f aca="false">M96+J96+G96</f>
        <v>11</v>
      </c>
      <c r="R96" s="126" t="n">
        <f aca="false">N96+K96+H96</f>
        <v>11</v>
      </c>
      <c r="S96" s="126" t="n">
        <f aca="false">O96+L96+I96</f>
        <v>7</v>
      </c>
      <c r="T96" s="127"/>
      <c r="U96" s="5" t="n">
        <f aca="false">A97-A96</f>
        <v>30</v>
      </c>
      <c r="V96" s="128" t="n">
        <f aca="false">CHOOSE(F$3,A97+24,A96)</f>
        <v>39904</v>
      </c>
      <c r="W96" s="5" t="n">
        <f aca="false">V96-C$3</f>
        <v>2673</v>
      </c>
      <c r="X96" s="124" t="n">
        <f aca="false">VLOOKUP($A96,Table,MATCH(X$4,Curves,0))</f>
        <v>2</v>
      </c>
      <c r="Y96" s="129" t="n">
        <f aca="false">1/(1+CHOOSE(F$3,(X97+($K$3/10000))/2,(X96+($K$3/10000))/2))^(2*W96/365.25)</f>
        <v>3.9260816223738E-005</v>
      </c>
      <c r="Z96" s="5" t="n">
        <f aca="false">IF(AND(mthbeg&lt;=A96,mthend&gt;=A96),1,0)</f>
        <v>0</v>
      </c>
      <c r="AA96" s="5" t="n">
        <f aca="false">U96*Z96</f>
        <v>0</v>
      </c>
      <c r="AC96" s="115" t="n">
        <f aca="false">IF(G89=2,F96*(S96-Q96),F96*(Q96-S96))</f>
        <v>0</v>
      </c>
      <c r="AE96" s="116" t="n">
        <f aca="false">IF($G$3=1,F96*(R96-Q96),F96*(Q96-R96))</f>
        <v>0</v>
      </c>
      <c r="AG96" s="116" t="n">
        <f aca="false">AC96+AE96</f>
        <v>0</v>
      </c>
    </row>
    <row r="97" customFormat="false" ht="12.75" hidden="false" customHeight="false" outlineLevel="0" collapsed="false">
      <c r="A97" s="120" t="n">
        <f aca="false">EDATE(A96,1)</f>
        <v>39934</v>
      </c>
      <c r="B97" s="121" t="n">
        <v>0</v>
      </c>
      <c r="C97" s="122"/>
      <c r="D97" s="123" t="n">
        <f aca="false">B97+C97</f>
        <v>0</v>
      </c>
      <c r="E97" s="111" t="n">
        <f aca="false">IF(Z97=0,0,IF(AND(Z97=1,$H$3=1),D97*U97,IF($H$3=2,D97,"N/A")))</f>
        <v>0</v>
      </c>
      <c r="F97" s="111" t="n">
        <f aca="false">E97*Y97</f>
        <v>0</v>
      </c>
      <c r="G97" s="124" t="n">
        <f aca="false">VLOOKUP($A97,Table,MATCH(G$4,Curves,0))</f>
        <v>3</v>
      </c>
      <c r="H97" s="125" t="n">
        <f aca="false">G97+$H$7</f>
        <v>3</v>
      </c>
      <c r="I97" s="124" t="n">
        <f aca="false">H97</f>
        <v>3</v>
      </c>
      <c r="J97" s="124" t="n">
        <f aca="false">VLOOKUP($A97,Table,MATCH(J$4,Curves,0))</f>
        <v>4</v>
      </c>
      <c r="K97" s="125" t="n">
        <f aca="false">J97+$K$7</f>
        <v>4</v>
      </c>
      <c r="L97" s="126" t="n">
        <f aca="false">K97</f>
        <v>4</v>
      </c>
      <c r="M97" s="124" t="n">
        <f aca="false">VLOOKUP($A97,Table,MATCH(M$4,Curves,0))</f>
        <v>4</v>
      </c>
      <c r="N97" s="125" t="n">
        <f aca="false">M97+$N$7</f>
        <v>4</v>
      </c>
      <c r="O97" s="126" t="n">
        <f aca="false">IF(B97&gt;0,(1000/B97*0.25)+((B97-1000)/B97*0.12),0)</f>
        <v>0</v>
      </c>
      <c r="P97" s="114"/>
      <c r="Q97" s="126" t="n">
        <f aca="false">M97+J97+G97</f>
        <v>11</v>
      </c>
      <c r="R97" s="126" t="n">
        <f aca="false">N97+K97+H97</f>
        <v>11</v>
      </c>
      <c r="S97" s="126" t="n">
        <f aca="false">O97+L97+I97</f>
        <v>7</v>
      </c>
      <c r="T97" s="127"/>
      <c r="U97" s="5" t="n">
        <f aca="false">A98-A97</f>
        <v>31</v>
      </c>
      <c r="V97" s="128" t="n">
        <f aca="false">CHOOSE(F$3,A98+24,A97)</f>
        <v>39934</v>
      </c>
      <c r="W97" s="5" t="n">
        <f aca="false">V97-C$3</f>
        <v>2703</v>
      </c>
      <c r="X97" s="124" t="n">
        <f aca="false">VLOOKUP($A97,Table,MATCH(X$4,Curves,0))</f>
        <v>2</v>
      </c>
      <c r="Y97" s="129" t="n">
        <f aca="false">1/(1+CHOOSE(F$3,(X98+($K$3/10000))/2,(X97+($K$3/10000))/2))^(2*W97/365.25)</f>
        <v>3.50355396758837E-005</v>
      </c>
      <c r="Z97" s="5" t="n">
        <f aca="false">IF(AND(mthbeg&lt;=A97,mthend&gt;=A97),1,0)</f>
        <v>0</v>
      </c>
      <c r="AA97" s="5" t="n">
        <f aca="false">U97*Z97</f>
        <v>0</v>
      </c>
      <c r="AC97" s="115" t="n">
        <f aca="false">IF(G90=2,F97*(S97-Q97),F97*(Q97-S97))</f>
        <v>0</v>
      </c>
      <c r="AE97" s="116" t="n">
        <f aca="false">IF($G$3=1,F97*(R97-Q97),F97*(Q97-R97))</f>
        <v>0</v>
      </c>
      <c r="AG97" s="116" t="n">
        <f aca="false">AC97+AE97</f>
        <v>0</v>
      </c>
    </row>
    <row r="98" customFormat="false" ht="12.75" hidden="false" customHeight="false" outlineLevel="0" collapsed="false">
      <c r="A98" s="120" t="n">
        <f aca="false">EDATE(A97,1)</f>
        <v>39965</v>
      </c>
      <c r="B98" s="121" t="n">
        <v>0</v>
      </c>
      <c r="C98" s="122"/>
      <c r="D98" s="123" t="n">
        <f aca="false">B98+C98</f>
        <v>0</v>
      </c>
      <c r="E98" s="111" t="n">
        <f aca="false">IF(Z98=0,0,IF(AND(Z98=1,$H$3=1),D98*U98,IF($H$3=2,D98,"N/A")))</f>
        <v>0</v>
      </c>
      <c r="F98" s="111" t="n">
        <f aca="false">E98*Y98</f>
        <v>0</v>
      </c>
      <c r="G98" s="124" t="n">
        <f aca="false">VLOOKUP($A98,Table,MATCH(G$4,Curves,0))</f>
        <v>3</v>
      </c>
      <c r="H98" s="125" t="n">
        <f aca="false">G98+$H$7</f>
        <v>3</v>
      </c>
      <c r="I98" s="124" t="n">
        <f aca="false">H98</f>
        <v>3</v>
      </c>
      <c r="J98" s="124" t="n">
        <f aca="false">VLOOKUP($A98,Table,MATCH(J$4,Curves,0))</f>
        <v>4</v>
      </c>
      <c r="K98" s="125" t="n">
        <f aca="false">J98+$K$7</f>
        <v>4</v>
      </c>
      <c r="L98" s="126" t="n">
        <f aca="false">K98</f>
        <v>4</v>
      </c>
      <c r="M98" s="124" t="n">
        <f aca="false">VLOOKUP($A98,Table,MATCH(M$4,Curves,0))</f>
        <v>4</v>
      </c>
      <c r="N98" s="125" t="n">
        <f aca="false">M98+$N$7</f>
        <v>4</v>
      </c>
      <c r="O98" s="126" t="n">
        <f aca="false">IF(B98&gt;0,(1000/B98*0.25)+((B98-1000)/B98*0.12),0)</f>
        <v>0</v>
      </c>
      <c r="P98" s="114"/>
      <c r="Q98" s="126" t="n">
        <f aca="false">M98+J98+G98</f>
        <v>11</v>
      </c>
      <c r="R98" s="126" t="n">
        <f aca="false">N98+K98+H98</f>
        <v>11</v>
      </c>
      <c r="S98" s="126" t="n">
        <f aca="false">O98+L98+I98</f>
        <v>7</v>
      </c>
      <c r="T98" s="127"/>
      <c r="U98" s="5" t="n">
        <f aca="false">A99-A98</f>
        <v>30</v>
      </c>
      <c r="V98" s="128" t="n">
        <f aca="false">CHOOSE(F$3,A99+24,A98)</f>
        <v>39965</v>
      </c>
      <c r="W98" s="5" t="n">
        <f aca="false">V98-C$3</f>
        <v>2734</v>
      </c>
      <c r="X98" s="124" t="n">
        <f aca="false">VLOOKUP($A98,Table,MATCH(X$4,Curves,0))</f>
        <v>2</v>
      </c>
      <c r="Y98" s="129" t="n">
        <f aca="false">1/(1+CHOOSE(F$3,(X99+($K$3/10000))/2,(X98+($K$3/10000))/2))^(2*W98/365.25)</f>
        <v>3.11465500181848E-005</v>
      </c>
      <c r="Z98" s="5" t="n">
        <f aca="false">IF(AND(mthbeg&lt;=A98,mthend&gt;=A98),1,0)</f>
        <v>0</v>
      </c>
      <c r="AA98" s="5" t="n">
        <f aca="false">U98*Z98</f>
        <v>0</v>
      </c>
      <c r="AC98" s="115" t="n">
        <f aca="false">IF(G91=2,F98*(S98-Q98),F98*(Q98-S98))</f>
        <v>0</v>
      </c>
      <c r="AE98" s="116" t="n">
        <f aca="false">IF($G$3=1,F98*(R98-Q98),F98*(Q98-R98))</f>
        <v>0</v>
      </c>
      <c r="AG98" s="116" t="n">
        <f aca="false">AC98+AE98</f>
        <v>0</v>
      </c>
    </row>
    <row r="99" customFormat="false" ht="12.75" hidden="false" customHeight="false" outlineLevel="0" collapsed="false">
      <c r="A99" s="120" t="n">
        <f aca="false">EDATE(A98,1)</f>
        <v>39995</v>
      </c>
      <c r="B99" s="121" t="n">
        <v>0</v>
      </c>
      <c r="C99" s="122"/>
      <c r="D99" s="123" t="n">
        <f aca="false">B99+C99</f>
        <v>0</v>
      </c>
      <c r="E99" s="111" t="n">
        <f aca="false">IF(Z99=0,0,IF(AND(Z99=1,$H$3=1),D99*U99,IF($H$3=2,D99,"N/A")))</f>
        <v>0</v>
      </c>
      <c r="F99" s="111" t="n">
        <f aca="false">E99*Y99</f>
        <v>0</v>
      </c>
      <c r="G99" s="124" t="n">
        <f aca="false">VLOOKUP($A99,Table,MATCH(G$4,Curves,0))</f>
        <v>3</v>
      </c>
      <c r="H99" s="125" t="n">
        <f aca="false">G99+$H$7</f>
        <v>3</v>
      </c>
      <c r="I99" s="124" t="n">
        <f aca="false">H99</f>
        <v>3</v>
      </c>
      <c r="J99" s="124" t="n">
        <f aca="false">VLOOKUP($A99,Table,MATCH(J$4,Curves,0))</f>
        <v>4</v>
      </c>
      <c r="K99" s="125" t="n">
        <f aca="false">J99+$K$7</f>
        <v>4</v>
      </c>
      <c r="L99" s="126" t="n">
        <f aca="false">K99</f>
        <v>4</v>
      </c>
      <c r="M99" s="124" t="n">
        <f aca="false">VLOOKUP($A99,Table,MATCH(M$4,Curves,0))</f>
        <v>4</v>
      </c>
      <c r="N99" s="125" t="n">
        <f aca="false">M99+$N$7</f>
        <v>4</v>
      </c>
      <c r="O99" s="126" t="n">
        <f aca="false">IF(B99&gt;0,(1000/B99*0.25)+((B99-1000)/B99*0.12),0)</f>
        <v>0</v>
      </c>
      <c r="P99" s="114"/>
      <c r="Q99" s="126" t="n">
        <f aca="false">M99+J99+G99</f>
        <v>11</v>
      </c>
      <c r="R99" s="126" t="n">
        <f aca="false">N99+K99+H99</f>
        <v>11</v>
      </c>
      <c r="S99" s="126" t="n">
        <f aca="false">O99+L99+I99</f>
        <v>7</v>
      </c>
      <c r="T99" s="127"/>
      <c r="U99" s="5" t="n">
        <f aca="false">A100-A99</f>
        <v>31</v>
      </c>
      <c r="V99" s="128" t="n">
        <f aca="false">CHOOSE(F$3,A100+24,A99)</f>
        <v>39995</v>
      </c>
      <c r="W99" s="5" t="n">
        <f aca="false">V99-C$3</f>
        <v>2764</v>
      </c>
      <c r="X99" s="124" t="n">
        <f aca="false">VLOOKUP($A99,Table,MATCH(X$4,Curves,0))</f>
        <v>2</v>
      </c>
      <c r="Y99" s="129" t="n">
        <f aca="false">1/(1+CHOOSE(F$3,(X100+($K$3/10000))/2,(X99+($K$3/10000))/2))^(2*W99/365.25)</f>
        <v>2.77945364841708E-005</v>
      </c>
      <c r="Z99" s="5" t="n">
        <f aca="false">IF(AND(mthbeg&lt;=A99,mthend&gt;=A99),1,0)</f>
        <v>0</v>
      </c>
      <c r="AA99" s="5" t="n">
        <f aca="false">U99*Z99</f>
        <v>0</v>
      </c>
      <c r="AC99" s="115" t="n">
        <f aca="false">IF(G92=2,F99*(S99-Q99),F99*(Q99-S99))</f>
        <v>0</v>
      </c>
      <c r="AE99" s="116" t="n">
        <f aca="false">IF($G$3=1,F99*(R99-Q99),F99*(Q99-R99))</f>
        <v>0</v>
      </c>
      <c r="AG99" s="116" t="n">
        <f aca="false">AC99+AE99</f>
        <v>0</v>
      </c>
    </row>
    <row r="100" customFormat="false" ht="12.75" hidden="false" customHeight="false" outlineLevel="0" collapsed="false">
      <c r="A100" s="120" t="n">
        <f aca="false">EDATE(A99,1)</f>
        <v>40026</v>
      </c>
      <c r="B100" s="121" t="n">
        <v>0</v>
      </c>
      <c r="C100" s="122"/>
      <c r="D100" s="123" t="n">
        <f aca="false">B100+C100</f>
        <v>0</v>
      </c>
      <c r="E100" s="111" t="n">
        <f aca="false">IF(Z100=0,0,IF(AND(Z100=1,$H$3=1),D100*U100,IF($H$3=2,D100,"N/A")))</f>
        <v>0</v>
      </c>
      <c r="F100" s="111" t="n">
        <f aca="false">E100*Y100</f>
        <v>0</v>
      </c>
      <c r="G100" s="124" t="n">
        <f aca="false">VLOOKUP($A100,Table,MATCH(G$4,Curves,0))</f>
        <v>3</v>
      </c>
      <c r="H100" s="125" t="n">
        <f aca="false">G100+$H$7</f>
        <v>3</v>
      </c>
      <c r="I100" s="124" t="n">
        <f aca="false">H100</f>
        <v>3</v>
      </c>
      <c r="J100" s="124" t="n">
        <f aca="false">VLOOKUP($A100,Table,MATCH(J$4,Curves,0))</f>
        <v>4</v>
      </c>
      <c r="K100" s="125" t="n">
        <f aca="false">J100+$K$7</f>
        <v>4</v>
      </c>
      <c r="L100" s="126" t="n">
        <f aca="false">K100</f>
        <v>4</v>
      </c>
      <c r="M100" s="124" t="n">
        <f aca="false">VLOOKUP($A100,Table,MATCH(M$4,Curves,0))</f>
        <v>4</v>
      </c>
      <c r="N100" s="125" t="n">
        <f aca="false">M100+$N$7</f>
        <v>4</v>
      </c>
      <c r="O100" s="126" t="n">
        <f aca="false">IF(B100&gt;0,(1000/B100*0.25)+((B100-1000)/B100*0.12),0)</f>
        <v>0</v>
      </c>
      <c r="P100" s="114"/>
      <c r="Q100" s="126" t="n">
        <f aca="false">M100+J100+G100</f>
        <v>11</v>
      </c>
      <c r="R100" s="126" t="n">
        <f aca="false">N100+K100+H100</f>
        <v>11</v>
      </c>
      <c r="S100" s="126" t="n">
        <f aca="false">O100+L100+I100</f>
        <v>7</v>
      </c>
      <c r="T100" s="127"/>
      <c r="U100" s="5" t="n">
        <f aca="false">A101-A100</f>
        <v>31</v>
      </c>
      <c r="V100" s="128" t="n">
        <f aca="false">CHOOSE(F$3,A101+24,A100)</f>
        <v>40026</v>
      </c>
      <c r="W100" s="5" t="n">
        <f aca="false">V100-C$3</f>
        <v>2795</v>
      </c>
      <c r="X100" s="124" t="n">
        <f aca="false">VLOOKUP($A100,Table,MATCH(X$4,Curves,0))</f>
        <v>2</v>
      </c>
      <c r="Y100" s="129" t="n">
        <f aca="false">1/(1+CHOOSE(F$3,(X101+($K$3/10000))/2,(X100+($K$3/10000))/2))^(2*W100/365.25)</f>
        <v>2.47093074302601E-005</v>
      </c>
      <c r="Z100" s="5" t="n">
        <f aca="false">IF(AND(mthbeg&lt;=A100,mthend&gt;=A100),1,0)</f>
        <v>0</v>
      </c>
      <c r="AA100" s="5" t="n">
        <f aca="false">U100*Z100</f>
        <v>0</v>
      </c>
      <c r="AC100" s="115" t="n">
        <f aca="false">IF(G93=2,F100*(S100-Q100),F100*(Q100-S100))</f>
        <v>0</v>
      </c>
      <c r="AE100" s="116" t="n">
        <f aca="false">IF($G$3=1,F100*(R100-Q100),F100*(Q100-R100))</f>
        <v>0</v>
      </c>
      <c r="AG100" s="116" t="n">
        <f aca="false">AC100+AE100</f>
        <v>0</v>
      </c>
    </row>
    <row r="101" customFormat="false" ht="12.75" hidden="false" customHeight="false" outlineLevel="0" collapsed="false">
      <c r="A101" s="120" t="n">
        <f aca="false">EDATE(A100,1)</f>
        <v>40057</v>
      </c>
      <c r="B101" s="121" t="n">
        <v>0</v>
      </c>
      <c r="C101" s="122"/>
      <c r="D101" s="123" t="n">
        <f aca="false">B101+C101</f>
        <v>0</v>
      </c>
      <c r="E101" s="111" t="n">
        <f aca="false">IF(Z101=0,0,IF(AND(Z101=1,$H$3=1),D101*U101,IF($H$3=2,D101,"N/A")))</f>
        <v>0</v>
      </c>
      <c r="F101" s="111" t="n">
        <f aca="false">E101*Y101</f>
        <v>0</v>
      </c>
      <c r="G101" s="124" t="n">
        <f aca="false">VLOOKUP($A101,Table,MATCH(G$4,Curves,0))</f>
        <v>3</v>
      </c>
      <c r="H101" s="125" t="n">
        <f aca="false">G101+$H$7</f>
        <v>3</v>
      </c>
      <c r="I101" s="124" t="n">
        <f aca="false">H101</f>
        <v>3</v>
      </c>
      <c r="J101" s="124" t="n">
        <f aca="false">VLOOKUP($A101,Table,MATCH(J$4,Curves,0))</f>
        <v>4</v>
      </c>
      <c r="K101" s="125" t="n">
        <f aca="false">J101+$K$7</f>
        <v>4</v>
      </c>
      <c r="L101" s="126" t="n">
        <f aca="false">K101</f>
        <v>4</v>
      </c>
      <c r="M101" s="124" t="n">
        <f aca="false">VLOOKUP($A101,Table,MATCH(M$4,Curves,0))</f>
        <v>4</v>
      </c>
      <c r="N101" s="125" t="n">
        <f aca="false">M101+$N$7</f>
        <v>4</v>
      </c>
      <c r="O101" s="126" t="n">
        <f aca="false">IF(B101&gt;0,(1000/B101*0.25)+((B101-1000)/B101*0.12),0)</f>
        <v>0</v>
      </c>
      <c r="P101" s="114"/>
      <c r="Q101" s="126" t="n">
        <f aca="false">M101+J101+G101</f>
        <v>11</v>
      </c>
      <c r="R101" s="126" t="n">
        <f aca="false">N101+K101+H101</f>
        <v>11</v>
      </c>
      <c r="S101" s="126" t="n">
        <f aca="false">O101+L101+I101</f>
        <v>7</v>
      </c>
      <c r="T101" s="127"/>
      <c r="U101" s="5" t="n">
        <f aca="false">A102-A101</f>
        <v>30</v>
      </c>
      <c r="V101" s="128" t="n">
        <f aca="false">CHOOSE(F$3,A102+24,A101)</f>
        <v>40057</v>
      </c>
      <c r="W101" s="5" t="n">
        <f aca="false">V101-C$3</f>
        <v>2826</v>
      </c>
      <c r="X101" s="124" t="n">
        <f aca="false">VLOOKUP($A101,Table,MATCH(X$4,Curves,0))</f>
        <v>2</v>
      </c>
      <c r="Y101" s="129" t="n">
        <f aca="false">1/(1+CHOOSE(F$3,(X102+($K$3/10000))/2,(X101+($K$3/10000))/2))^(2*W101/365.25)</f>
        <v>2.19665427423415E-005</v>
      </c>
      <c r="Z101" s="5" t="n">
        <f aca="false">IF(AND(mthbeg&lt;=A101,mthend&gt;=A101),1,0)</f>
        <v>0</v>
      </c>
      <c r="AA101" s="5" t="n">
        <f aca="false">U101*Z101</f>
        <v>0</v>
      </c>
      <c r="AC101" s="115" t="n">
        <f aca="false">IF(G94=2,F101*(S101-Q101),F101*(Q101-S101))</f>
        <v>0</v>
      </c>
      <c r="AE101" s="116" t="n">
        <f aca="false">IF($G$3=1,F101*(R101-Q101),F101*(Q101-R101))</f>
        <v>0</v>
      </c>
      <c r="AG101" s="116" t="n">
        <f aca="false">AC101+AE101</f>
        <v>0</v>
      </c>
    </row>
    <row r="102" customFormat="false" ht="12.75" hidden="false" customHeight="false" outlineLevel="0" collapsed="false">
      <c r="A102" s="120" t="n">
        <f aca="false">EDATE(A101,1)</f>
        <v>40087</v>
      </c>
      <c r="B102" s="121" t="n">
        <v>0</v>
      </c>
      <c r="C102" s="122"/>
      <c r="D102" s="123" t="n">
        <f aca="false">B102+C102</f>
        <v>0</v>
      </c>
      <c r="E102" s="111" t="n">
        <f aca="false">IF(Z102=0,0,IF(AND(Z102=1,$H$3=1),D102*U102,IF($H$3=2,D102,"N/A")))</f>
        <v>0</v>
      </c>
      <c r="F102" s="111" t="n">
        <f aca="false">E102*Y102</f>
        <v>0</v>
      </c>
      <c r="G102" s="124" t="n">
        <f aca="false">VLOOKUP($A102,Table,MATCH(G$4,Curves,0))</f>
        <v>3</v>
      </c>
      <c r="H102" s="125" t="n">
        <f aca="false">G102+$H$7</f>
        <v>3</v>
      </c>
      <c r="I102" s="124" t="n">
        <f aca="false">H102</f>
        <v>3</v>
      </c>
      <c r="J102" s="124" t="n">
        <f aca="false">VLOOKUP($A102,Table,MATCH(J$4,Curves,0))</f>
        <v>4</v>
      </c>
      <c r="K102" s="125" t="n">
        <f aca="false">J102+$K$7</f>
        <v>4</v>
      </c>
      <c r="L102" s="126" t="n">
        <f aca="false">K102</f>
        <v>4</v>
      </c>
      <c r="M102" s="124" t="n">
        <f aca="false">VLOOKUP($A102,Table,MATCH(M$4,Curves,0))</f>
        <v>4</v>
      </c>
      <c r="N102" s="125" t="n">
        <f aca="false">M102+$N$7</f>
        <v>4</v>
      </c>
      <c r="O102" s="126" t="n">
        <f aca="false">IF(B102&gt;0,(1000/B102*0.25)+((B102-1000)/B102*0.12),0)</f>
        <v>0</v>
      </c>
      <c r="P102" s="114"/>
      <c r="Q102" s="126" t="n">
        <f aca="false">M102+J102+G102</f>
        <v>11</v>
      </c>
      <c r="R102" s="126" t="n">
        <f aca="false">N102+K102+H102</f>
        <v>11</v>
      </c>
      <c r="S102" s="126" t="n">
        <f aca="false">O102+L102+I102</f>
        <v>7</v>
      </c>
      <c r="T102" s="127"/>
      <c r="U102" s="5" t="n">
        <f aca="false">A103-A102</f>
        <v>31</v>
      </c>
      <c r="V102" s="128" t="n">
        <f aca="false">CHOOSE(F$3,A103+24,A102)</f>
        <v>40087</v>
      </c>
      <c r="W102" s="5" t="n">
        <f aca="false">V102-C$3</f>
        <v>2856</v>
      </c>
      <c r="X102" s="124" t="n">
        <f aca="false">VLOOKUP($A102,Table,MATCH(X$4,Curves,0))</f>
        <v>2</v>
      </c>
      <c r="Y102" s="129" t="n">
        <f aca="false">1/(1+CHOOSE(F$3,(X103+($K$3/10000))/2,(X102+($K$3/10000))/2))^(2*W102/365.25)</f>
        <v>1.96024880228031E-005</v>
      </c>
      <c r="Z102" s="5" t="n">
        <f aca="false">IF(AND(mthbeg&lt;=A102,mthend&gt;=A102),1,0)</f>
        <v>0</v>
      </c>
      <c r="AA102" s="5" t="n">
        <f aca="false">U102*Z102</f>
        <v>0</v>
      </c>
      <c r="AC102" s="115" t="n">
        <f aca="false">IF(G95=2,F102*(S102-Q102),F102*(Q102-S102))</f>
        <v>0</v>
      </c>
      <c r="AE102" s="116" t="n">
        <f aca="false">IF($G$3=1,F102*(R102-Q102),F102*(Q102-R102))</f>
        <v>0</v>
      </c>
      <c r="AG102" s="116" t="n">
        <f aca="false">AC102+AE102</f>
        <v>0</v>
      </c>
    </row>
    <row r="103" customFormat="false" ht="12.75" hidden="false" customHeight="false" outlineLevel="0" collapsed="false">
      <c r="A103" s="120" t="n">
        <f aca="false">EDATE(A102,1)</f>
        <v>40118</v>
      </c>
      <c r="B103" s="121" t="n">
        <v>0</v>
      </c>
      <c r="C103" s="122"/>
      <c r="D103" s="123" t="n">
        <f aca="false">B103+C103</f>
        <v>0</v>
      </c>
      <c r="E103" s="111" t="n">
        <f aca="false">IF(Z103=0,0,IF(AND(Z103=1,$H$3=1),D103*U103,IF($H$3=2,D103,"N/A")))</f>
        <v>0</v>
      </c>
      <c r="F103" s="111" t="n">
        <f aca="false">E103*Y103</f>
        <v>0</v>
      </c>
      <c r="G103" s="124" t="n">
        <f aca="false">VLOOKUP($A103,Table,MATCH(G$4,Curves,0))</f>
        <v>3</v>
      </c>
      <c r="H103" s="125" t="n">
        <f aca="false">G103+$H$7</f>
        <v>3</v>
      </c>
      <c r="I103" s="124" t="n">
        <f aca="false">H103</f>
        <v>3</v>
      </c>
      <c r="J103" s="124" t="n">
        <f aca="false">VLOOKUP($A103,Table,MATCH(J$4,Curves,0))</f>
        <v>4</v>
      </c>
      <c r="K103" s="125" t="n">
        <f aca="false">J103+$K$7</f>
        <v>4</v>
      </c>
      <c r="L103" s="126" t="n">
        <f aca="false">K103</f>
        <v>4</v>
      </c>
      <c r="M103" s="124" t="n">
        <f aca="false">VLOOKUP($A103,Table,MATCH(M$4,Curves,0))</f>
        <v>4</v>
      </c>
      <c r="N103" s="125" t="n">
        <f aca="false">M103+$N$7</f>
        <v>4</v>
      </c>
      <c r="O103" s="126" t="n">
        <f aca="false">IF(B103&gt;0,(1000/B103*0.25)+((B103-1000)/B103*0.12),0)</f>
        <v>0</v>
      </c>
      <c r="P103" s="114"/>
      <c r="Q103" s="126" t="n">
        <f aca="false">M103+J103+G103</f>
        <v>11</v>
      </c>
      <c r="R103" s="126" t="n">
        <f aca="false">N103+K103+H103</f>
        <v>11</v>
      </c>
      <c r="S103" s="126" t="n">
        <f aca="false">O103+L103+I103</f>
        <v>7</v>
      </c>
      <c r="T103" s="127"/>
      <c r="U103" s="5" t="n">
        <f aca="false">A104-A103</f>
        <v>30</v>
      </c>
      <c r="V103" s="128" t="n">
        <f aca="false">CHOOSE(F$3,A104+24,A103)</f>
        <v>40118</v>
      </c>
      <c r="W103" s="5" t="n">
        <f aca="false">V103-C$3</f>
        <v>2887</v>
      </c>
      <c r="X103" s="124" t="n">
        <f aca="false">VLOOKUP($A103,Table,MATCH(X$4,Curves,0))</f>
        <v>2</v>
      </c>
      <c r="Y103" s="129" t="n">
        <f aca="false">1/(1+CHOOSE(F$3,(X104+($K$3/10000))/2,(X103+($K$3/10000))/2))^(2*W103/365.25)</f>
        <v>1.7426586812458E-005</v>
      </c>
      <c r="Z103" s="5" t="n">
        <f aca="false">IF(AND(mthbeg&lt;=A103,mthend&gt;=A103),1,0)</f>
        <v>0</v>
      </c>
      <c r="AA103" s="5" t="n">
        <f aca="false">U103*Z103</f>
        <v>0</v>
      </c>
      <c r="AC103" s="115" t="n">
        <f aca="false">IF(G96=2,F103*(S103-Q103),F103*(Q103-S103))</f>
        <v>0</v>
      </c>
      <c r="AE103" s="116" t="n">
        <f aca="false">IF($G$3=1,F103*(R103-Q103),F103*(Q103-R103))</f>
        <v>0</v>
      </c>
      <c r="AG103" s="116" t="n">
        <f aca="false">AC103+AE103</f>
        <v>0</v>
      </c>
    </row>
    <row r="104" customFormat="false" ht="12.75" hidden="false" customHeight="false" outlineLevel="0" collapsed="false">
      <c r="A104" s="120" t="n">
        <f aca="false">EDATE(A103,1)</f>
        <v>40148</v>
      </c>
      <c r="B104" s="121" t="n">
        <v>0</v>
      </c>
      <c r="C104" s="122"/>
      <c r="D104" s="123" t="n">
        <f aca="false">B104+C104</f>
        <v>0</v>
      </c>
      <c r="E104" s="111" t="n">
        <f aca="false">IF(Z104=0,0,IF(AND(Z104=1,$H$3=1),D104*U104,IF($H$3=2,D104,"N/A")))</f>
        <v>0</v>
      </c>
      <c r="F104" s="111" t="n">
        <f aca="false">E104*Y104</f>
        <v>0</v>
      </c>
      <c r="G104" s="124" t="n">
        <f aca="false">VLOOKUP($A104,Table,MATCH(G$4,Curves,0))</f>
        <v>3</v>
      </c>
      <c r="H104" s="125" t="n">
        <f aca="false">G104+$H$7</f>
        <v>3</v>
      </c>
      <c r="I104" s="124" t="n">
        <f aca="false">H104</f>
        <v>3</v>
      </c>
      <c r="J104" s="124" t="n">
        <f aca="false">VLOOKUP($A104,Table,MATCH(J$4,Curves,0))</f>
        <v>4</v>
      </c>
      <c r="K104" s="125" t="n">
        <f aca="false">J104+$K$7</f>
        <v>4</v>
      </c>
      <c r="L104" s="126" t="n">
        <f aca="false">K104</f>
        <v>4</v>
      </c>
      <c r="M104" s="124" t="n">
        <f aca="false">VLOOKUP($A104,Table,MATCH(M$4,Curves,0))</f>
        <v>4</v>
      </c>
      <c r="N104" s="125" t="n">
        <f aca="false">M104+$N$7</f>
        <v>4</v>
      </c>
      <c r="O104" s="126" t="n">
        <f aca="false">IF(B104&gt;0,(1000/B104*0.25)+((B104-1000)/B104*0.12),0)</f>
        <v>0</v>
      </c>
      <c r="P104" s="114"/>
      <c r="Q104" s="126" t="n">
        <f aca="false">M104+J104+G104</f>
        <v>11</v>
      </c>
      <c r="R104" s="126" t="n">
        <f aca="false">N104+K104+H104</f>
        <v>11</v>
      </c>
      <c r="S104" s="126" t="n">
        <f aca="false">O104+L104+I104</f>
        <v>7</v>
      </c>
      <c r="T104" s="127"/>
      <c r="U104" s="5" t="n">
        <f aca="false">A105-A104</f>
        <v>31</v>
      </c>
      <c r="V104" s="128" t="n">
        <f aca="false">CHOOSE(F$3,A105+24,A104)</f>
        <v>40148</v>
      </c>
      <c r="W104" s="5" t="n">
        <f aca="false">V104-C$3</f>
        <v>2917</v>
      </c>
      <c r="X104" s="124" t="n">
        <f aca="false">VLOOKUP($A104,Table,MATCH(X$4,Curves,0))</f>
        <v>2</v>
      </c>
      <c r="Y104" s="129" t="n">
        <f aca="false">1/(1+CHOOSE(F$3,(X105+($K$3/10000))/2,(X104+($K$3/10000))/2))^(2*W104/365.25)</f>
        <v>1.55511253307554E-005</v>
      </c>
      <c r="Z104" s="5" t="n">
        <f aca="false">IF(AND(mthbeg&lt;=A104,mthend&gt;=A104),1,0)</f>
        <v>0</v>
      </c>
      <c r="AA104" s="5" t="n">
        <f aca="false">U104*Z104</f>
        <v>0</v>
      </c>
      <c r="AC104" s="115" t="n">
        <f aca="false">IF(G97=2,F104*(S104-Q104),F104*(Q104-S104))</f>
        <v>0</v>
      </c>
      <c r="AE104" s="116" t="n">
        <f aca="false">IF($G$3=1,F104*(R104-Q104),F104*(Q104-R104))</f>
        <v>0</v>
      </c>
      <c r="AG104" s="116" t="n">
        <f aca="false">AC104+AE104</f>
        <v>0</v>
      </c>
    </row>
    <row r="105" customFormat="false" ht="12.75" hidden="false" customHeight="false" outlineLevel="0" collapsed="false">
      <c r="A105" s="120" t="n">
        <f aca="false">EDATE(A104,1)</f>
        <v>40179</v>
      </c>
      <c r="B105" s="121" t="n">
        <v>0</v>
      </c>
      <c r="C105" s="122"/>
      <c r="D105" s="123" t="n">
        <f aca="false">B105+C105</f>
        <v>0</v>
      </c>
      <c r="E105" s="111" t="n">
        <f aca="false">IF(Z105=0,0,IF(AND(Z105=1,$H$3=1),D105*U105,IF($H$3=2,D105,"N/A")))</f>
        <v>0</v>
      </c>
      <c r="F105" s="111" t="n">
        <f aca="false">E105*Y105</f>
        <v>0</v>
      </c>
      <c r="G105" s="124" t="n">
        <f aca="false">VLOOKUP($A105,Table,MATCH(G$4,Curves,0))</f>
        <v>3</v>
      </c>
      <c r="H105" s="125" t="n">
        <f aca="false">G105+$H$7</f>
        <v>3</v>
      </c>
      <c r="I105" s="124" t="n">
        <f aca="false">H105</f>
        <v>3</v>
      </c>
      <c r="J105" s="124" t="n">
        <f aca="false">VLOOKUP($A105,Table,MATCH(J$4,Curves,0))</f>
        <v>4</v>
      </c>
      <c r="K105" s="125" t="n">
        <f aca="false">J105+$K$7</f>
        <v>4</v>
      </c>
      <c r="L105" s="126" t="n">
        <f aca="false">K105</f>
        <v>4</v>
      </c>
      <c r="M105" s="124" t="n">
        <f aca="false">VLOOKUP($A105,Table,MATCH(M$4,Curves,0))</f>
        <v>4</v>
      </c>
      <c r="N105" s="125" t="n">
        <f aca="false">M105+$N$7</f>
        <v>4</v>
      </c>
      <c r="O105" s="126" t="n">
        <f aca="false">IF(B105&gt;0,(1000/B105*0.25)+((B105-1000)/B105*0.12),0)</f>
        <v>0</v>
      </c>
      <c r="P105" s="114"/>
      <c r="Q105" s="126" t="n">
        <f aca="false">M105+J105+G105</f>
        <v>11</v>
      </c>
      <c r="R105" s="126" t="n">
        <f aca="false">N105+K105+H105</f>
        <v>11</v>
      </c>
      <c r="S105" s="126" t="n">
        <f aca="false">O105+L105+I105</f>
        <v>7</v>
      </c>
      <c r="T105" s="127"/>
      <c r="U105" s="5" t="n">
        <f aca="false">A106-A105</f>
        <v>31</v>
      </c>
      <c r="V105" s="128" t="n">
        <f aca="false">CHOOSE(F$3,A106+24,A105)</f>
        <v>40179</v>
      </c>
      <c r="W105" s="5" t="n">
        <f aca="false">V105-C$3</f>
        <v>2948</v>
      </c>
      <c r="X105" s="124" t="n">
        <f aca="false">VLOOKUP($A105,Table,MATCH(X$4,Curves,0))</f>
        <v>2</v>
      </c>
      <c r="Y105" s="129" t="n">
        <f aca="false">1/(1+CHOOSE(F$3,(X106+($K$3/10000))/2,(X105+($K$3/10000))/2))^(2*W105/365.25)</f>
        <v>1.38249305543548E-005</v>
      </c>
      <c r="Z105" s="5" t="n">
        <f aca="false">IF(AND(mthbeg&lt;=A105,mthend&gt;=A105),1,0)</f>
        <v>0</v>
      </c>
      <c r="AA105" s="5" t="n">
        <f aca="false">U105*Z105</f>
        <v>0</v>
      </c>
      <c r="AC105" s="115" t="n">
        <f aca="false">IF(G98=2,F105*(S105-Q105),F105*(Q105-S105))</f>
        <v>0</v>
      </c>
      <c r="AE105" s="116" t="n">
        <f aca="false">IF($G$3=1,F105*(R105-Q105),F105*(Q105-R105))</f>
        <v>0</v>
      </c>
      <c r="AG105" s="116" t="n">
        <f aca="false">AC105+AE105</f>
        <v>0</v>
      </c>
    </row>
    <row r="106" customFormat="false" ht="12.75" hidden="false" customHeight="false" outlineLevel="0" collapsed="false">
      <c r="A106" s="120" t="n">
        <f aca="false">EDATE(A105,1)</f>
        <v>40210</v>
      </c>
      <c r="B106" s="121" t="n">
        <v>0</v>
      </c>
      <c r="C106" s="122"/>
      <c r="D106" s="123" t="n">
        <f aca="false">B106+C106</f>
        <v>0</v>
      </c>
      <c r="E106" s="111" t="n">
        <f aca="false">IF(Z106=0,0,IF(AND(Z106=1,$H$3=1),D106*U106,IF($H$3=2,D106,"N/A")))</f>
        <v>0</v>
      </c>
      <c r="F106" s="111" t="n">
        <f aca="false">E106*Y106</f>
        <v>0</v>
      </c>
      <c r="G106" s="124" t="n">
        <f aca="false">VLOOKUP($A106,Table,MATCH(G$4,Curves,0))</f>
        <v>3</v>
      </c>
      <c r="H106" s="125" t="n">
        <f aca="false">G106+$H$7</f>
        <v>3</v>
      </c>
      <c r="I106" s="124" t="n">
        <f aca="false">H106</f>
        <v>3</v>
      </c>
      <c r="J106" s="124" t="n">
        <f aca="false">VLOOKUP($A106,Table,MATCH(J$4,Curves,0))</f>
        <v>4</v>
      </c>
      <c r="K106" s="125" t="n">
        <f aca="false">J106+$K$7</f>
        <v>4</v>
      </c>
      <c r="L106" s="126" t="n">
        <f aca="false">K106</f>
        <v>4</v>
      </c>
      <c r="M106" s="124" t="n">
        <f aca="false">VLOOKUP($A106,Table,MATCH(M$4,Curves,0))</f>
        <v>4</v>
      </c>
      <c r="N106" s="125" t="n">
        <f aca="false">M106+$N$7</f>
        <v>4</v>
      </c>
      <c r="O106" s="126" t="n">
        <f aca="false">IF(B106&gt;0,(1000/B106*0.25)+((B106-1000)/B106*0.12),0)</f>
        <v>0</v>
      </c>
      <c r="P106" s="114"/>
      <c r="Q106" s="126" t="n">
        <f aca="false">M106+J106+G106</f>
        <v>11</v>
      </c>
      <c r="R106" s="126" t="n">
        <f aca="false">N106+K106+H106</f>
        <v>11</v>
      </c>
      <c r="S106" s="126" t="n">
        <f aca="false">O106+L106+I106</f>
        <v>7</v>
      </c>
      <c r="T106" s="127"/>
      <c r="U106" s="5" t="n">
        <f aca="false">A107-A106</f>
        <v>28</v>
      </c>
      <c r="V106" s="128" t="n">
        <f aca="false">CHOOSE(F$3,A107+24,A106)</f>
        <v>40210</v>
      </c>
      <c r="W106" s="5" t="n">
        <f aca="false">V106-C$3</f>
        <v>2979</v>
      </c>
      <c r="X106" s="124" t="n">
        <f aca="false">VLOOKUP($A106,Table,MATCH(X$4,Curves,0))</f>
        <v>2</v>
      </c>
      <c r="Y106" s="129" t="n">
        <f aca="false">1/(1+CHOOSE(F$3,(X107+($K$3/10000))/2,(X106+($K$3/10000))/2))^(2*W106/365.25)</f>
        <v>1.22903456031402E-005</v>
      </c>
      <c r="Z106" s="5" t="n">
        <f aca="false">IF(AND(mthbeg&lt;=A106,mthend&gt;=A106),1,0)</f>
        <v>0</v>
      </c>
      <c r="AA106" s="5" t="n">
        <f aca="false">U106*Z106</f>
        <v>0</v>
      </c>
      <c r="AC106" s="115" t="n">
        <f aca="false">IF(G99=2,F106*(S106-Q106),F106*(Q106-S106))</f>
        <v>0</v>
      </c>
      <c r="AE106" s="116" t="n">
        <f aca="false">IF($G$3=1,F106*(R106-Q106),F106*(Q106-R106))</f>
        <v>0</v>
      </c>
      <c r="AG106" s="116" t="n">
        <f aca="false">AC106+AE106</f>
        <v>0</v>
      </c>
    </row>
    <row r="107" customFormat="false" ht="12.75" hidden="false" customHeight="false" outlineLevel="0" collapsed="false">
      <c r="A107" s="120" t="n">
        <f aca="false">EDATE(A106,1)</f>
        <v>40238</v>
      </c>
      <c r="B107" s="121" t="n">
        <v>0</v>
      </c>
      <c r="C107" s="122"/>
      <c r="D107" s="123" t="n">
        <f aca="false">B107+C107</f>
        <v>0</v>
      </c>
      <c r="E107" s="111" t="n">
        <f aca="false">IF(Z107=0,0,IF(AND(Z107=1,$H$3=1),D107*U107,IF($H$3=2,D107,"N/A")))</f>
        <v>0</v>
      </c>
      <c r="F107" s="111" t="n">
        <f aca="false">E107*Y107</f>
        <v>0</v>
      </c>
      <c r="G107" s="124" t="n">
        <f aca="false">VLOOKUP($A107,Table,MATCH(G$4,Curves,0))</f>
        <v>3</v>
      </c>
      <c r="H107" s="125" t="n">
        <f aca="false">G107+$H$7</f>
        <v>3</v>
      </c>
      <c r="I107" s="124" t="n">
        <f aca="false">H107</f>
        <v>3</v>
      </c>
      <c r="J107" s="124" t="n">
        <f aca="false">VLOOKUP($A107,Table,MATCH(J$4,Curves,0))</f>
        <v>4</v>
      </c>
      <c r="K107" s="125" t="n">
        <f aca="false">J107+$K$7</f>
        <v>4</v>
      </c>
      <c r="L107" s="126" t="n">
        <f aca="false">K107</f>
        <v>4</v>
      </c>
      <c r="M107" s="124" t="n">
        <f aca="false">VLOOKUP($A107,Table,MATCH(M$4,Curves,0))</f>
        <v>4</v>
      </c>
      <c r="N107" s="125" t="n">
        <f aca="false">M107+$N$7</f>
        <v>4</v>
      </c>
      <c r="O107" s="126" t="n">
        <f aca="false">IF(B107&gt;0,(1000/B107*0.25)+((B107-1000)/B107*0.12),0)</f>
        <v>0</v>
      </c>
      <c r="P107" s="114"/>
      <c r="Q107" s="126" t="n">
        <f aca="false">M107+J107+G107</f>
        <v>11</v>
      </c>
      <c r="R107" s="126" t="n">
        <f aca="false">N107+K107+H107</f>
        <v>11</v>
      </c>
      <c r="S107" s="126" t="n">
        <f aca="false">O107+L107+I107</f>
        <v>7</v>
      </c>
      <c r="T107" s="127"/>
      <c r="U107" s="5" t="n">
        <f aca="false">A108-A107</f>
        <v>31</v>
      </c>
      <c r="V107" s="128" t="n">
        <f aca="false">CHOOSE(F$3,A108+24,A107)</f>
        <v>40238</v>
      </c>
      <c r="W107" s="5" t="n">
        <f aca="false">V107-C$3</f>
        <v>3007</v>
      </c>
      <c r="X107" s="124" t="n">
        <f aca="false">VLOOKUP($A107,Table,MATCH(X$4,Curves,0))</f>
        <v>2</v>
      </c>
      <c r="Y107" s="129" t="n">
        <f aca="false">1/(1+CHOOSE(F$3,(X108+($K$3/10000))/2,(X107+($K$3/10000))/2))^(2*W107/365.25)</f>
        <v>1.10512215000258E-005</v>
      </c>
      <c r="Z107" s="5" t="n">
        <f aca="false">IF(AND(mthbeg&lt;=A107,mthend&gt;=A107),1,0)</f>
        <v>0</v>
      </c>
      <c r="AA107" s="5" t="n">
        <f aca="false">U107*Z107</f>
        <v>0</v>
      </c>
      <c r="AC107" s="115" t="n">
        <f aca="false">IF(G100=2,F107*(S107-Q107),F107*(Q107-S107))</f>
        <v>0</v>
      </c>
      <c r="AE107" s="116" t="n">
        <f aca="false">IF($G$3=1,F107*(R107-Q107),F107*(Q107-R107))</f>
        <v>0</v>
      </c>
      <c r="AG107" s="116" t="n">
        <f aca="false">AC107+AE107</f>
        <v>0</v>
      </c>
    </row>
    <row r="108" customFormat="false" ht="12.75" hidden="false" customHeight="false" outlineLevel="0" collapsed="false">
      <c r="A108" s="120" t="n">
        <f aca="false">EDATE(A107,1)</f>
        <v>40269</v>
      </c>
      <c r="B108" s="121" t="n">
        <v>0</v>
      </c>
      <c r="C108" s="122"/>
      <c r="D108" s="123" t="n">
        <f aca="false">B108+C108</f>
        <v>0</v>
      </c>
      <c r="E108" s="111" t="n">
        <f aca="false">IF(Z108=0,0,IF(AND(Z108=1,$H$3=1),D108*U108,IF($H$3=2,D108,"N/A")))</f>
        <v>0</v>
      </c>
      <c r="F108" s="111" t="n">
        <f aca="false">E108*Y108</f>
        <v>0</v>
      </c>
      <c r="G108" s="124" t="n">
        <f aca="false">VLOOKUP($A108,Table,MATCH(G$4,Curves,0))</f>
        <v>3</v>
      </c>
      <c r="H108" s="125" t="n">
        <f aca="false">G108+$H$7</f>
        <v>3</v>
      </c>
      <c r="I108" s="124" t="n">
        <f aca="false">H108</f>
        <v>3</v>
      </c>
      <c r="J108" s="124" t="n">
        <f aca="false">VLOOKUP($A108,Table,MATCH(J$4,Curves,0))</f>
        <v>4</v>
      </c>
      <c r="K108" s="125" t="n">
        <f aca="false">J108+$K$7</f>
        <v>4</v>
      </c>
      <c r="L108" s="126" t="n">
        <f aca="false">K108</f>
        <v>4</v>
      </c>
      <c r="M108" s="124" t="n">
        <f aca="false">VLOOKUP($A108,Table,MATCH(M$4,Curves,0))</f>
        <v>4</v>
      </c>
      <c r="N108" s="125" t="n">
        <f aca="false">M108+$N$7</f>
        <v>4</v>
      </c>
      <c r="O108" s="126" t="n">
        <f aca="false">IF(B108&gt;0,(1000/B108*0.25)+((B108-1000)/B108*0.12),0)</f>
        <v>0</v>
      </c>
      <c r="P108" s="114"/>
      <c r="Q108" s="126" t="n">
        <f aca="false">M108+J108+G108</f>
        <v>11</v>
      </c>
      <c r="R108" s="126" t="n">
        <f aca="false">N108+K108+H108</f>
        <v>11</v>
      </c>
      <c r="S108" s="126" t="n">
        <f aca="false">O108+L108+I108</f>
        <v>7</v>
      </c>
      <c r="T108" s="127"/>
      <c r="U108" s="5" t="n">
        <f aca="false">A109-A108</f>
        <v>30</v>
      </c>
      <c r="V108" s="128" t="n">
        <f aca="false">CHOOSE(F$3,A109+24,A108)</f>
        <v>40269</v>
      </c>
      <c r="W108" s="5" t="n">
        <f aca="false">V108-C$3</f>
        <v>3038</v>
      </c>
      <c r="X108" s="124" t="n">
        <f aca="false">VLOOKUP($A108,Table,MATCH(X$4,Curves,0))</f>
        <v>2</v>
      </c>
      <c r="Y108" s="129" t="n">
        <f aca="false">1/(1+CHOOSE(F$3,(X109+($K$3/10000))/2,(X108+($K$3/10000))/2))^(2*W108/365.25)</f>
        <v>9.82452179692048E-006</v>
      </c>
      <c r="Z108" s="5" t="n">
        <f aca="false">IF(AND(mthbeg&lt;=A108,mthend&gt;=A108),1,0)</f>
        <v>0</v>
      </c>
      <c r="AA108" s="5" t="n">
        <f aca="false">U108*Z108</f>
        <v>0</v>
      </c>
      <c r="AC108" s="115" t="n">
        <f aca="false">IF(G101=2,F108*(S108-Q108),F108*(Q108-S108))</f>
        <v>0</v>
      </c>
      <c r="AE108" s="116" t="n">
        <f aca="false">IF($G$3=1,F108*(R108-Q108),F108*(Q108-R108))</f>
        <v>0</v>
      </c>
      <c r="AG108" s="116" t="n">
        <f aca="false">AC108+AE108</f>
        <v>0</v>
      </c>
    </row>
    <row r="109" customFormat="false" ht="12.75" hidden="false" customHeight="false" outlineLevel="0" collapsed="false">
      <c r="A109" s="120" t="n">
        <f aca="false">EDATE(A108,1)</f>
        <v>40299</v>
      </c>
      <c r="B109" s="121" t="n">
        <v>0</v>
      </c>
      <c r="C109" s="122"/>
      <c r="D109" s="123" t="n">
        <f aca="false">B109+C109</f>
        <v>0</v>
      </c>
      <c r="E109" s="111" t="n">
        <f aca="false">IF(Z109=0,0,IF(AND(Z109=1,$H$3=1),D109*U109,IF($H$3=2,D109,"N/A")))</f>
        <v>0</v>
      </c>
      <c r="F109" s="111" t="n">
        <f aca="false">E109*Y109</f>
        <v>0</v>
      </c>
      <c r="G109" s="124" t="n">
        <f aca="false">VLOOKUP($A109,Table,MATCH(G$4,Curves,0))</f>
        <v>3</v>
      </c>
      <c r="H109" s="125" t="n">
        <f aca="false">G109+$H$7</f>
        <v>3</v>
      </c>
      <c r="I109" s="124" t="n">
        <f aca="false">H109</f>
        <v>3</v>
      </c>
      <c r="J109" s="124" t="n">
        <f aca="false">VLOOKUP($A109,Table,MATCH(J$4,Curves,0))</f>
        <v>4</v>
      </c>
      <c r="K109" s="125" t="n">
        <f aca="false">J109+$K$7</f>
        <v>4</v>
      </c>
      <c r="L109" s="126" t="n">
        <f aca="false">K109</f>
        <v>4</v>
      </c>
      <c r="M109" s="124" t="n">
        <f aca="false">VLOOKUP($A109,Table,MATCH(M$4,Curves,0))</f>
        <v>4</v>
      </c>
      <c r="N109" s="125" t="n">
        <f aca="false">M109+$N$7</f>
        <v>4</v>
      </c>
      <c r="O109" s="126" t="n">
        <f aca="false">IF(B109&gt;0,(1000/B109*0.25)+((B109-1000)/B109*0.12),0)</f>
        <v>0</v>
      </c>
      <c r="P109" s="114"/>
      <c r="Q109" s="126" t="n">
        <f aca="false">M109+J109+G109</f>
        <v>11</v>
      </c>
      <c r="R109" s="126" t="n">
        <f aca="false">N109+K109+H109</f>
        <v>11</v>
      </c>
      <c r="S109" s="126" t="n">
        <f aca="false">O109+L109+I109</f>
        <v>7</v>
      </c>
      <c r="T109" s="127"/>
      <c r="U109" s="5" t="n">
        <f aca="false">A110-A109</f>
        <v>31</v>
      </c>
      <c r="V109" s="128" t="n">
        <f aca="false">CHOOSE(F$3,A110+24,A109)</f>
        <v>40299</v>
      </c>
      <c r="W109" s="5" t="n">
        <f aca="false">V109-C$3</f>
        <v>3068</v>
      </c>
      <c r="X109" s="124" t="n">
        <f aca="false">VLOOKUP($A109,Table,MATCH(X$4,Curves,0))</f>
        <v>2</v>
      </c>
      <c r="Y109" s="129" t="n">
        <f aca="false">1/(1+CHOOSE(F$3,(X110+($K$3/10000))/2,(X109+($K$3/10000))/2))^(2*W109/365.25)</f>
        <v>8.76719987814404E-006</v>
      </c>
      <c r="Z109" s="5" t="n">
        <f aca="false">IF(AND(mthbeg&lt;=A109,mthend&gt;=A109),1,0)</f>
        <v>0</v>
      </c>
      <c r="AA109" s="5" t="n">
        <f aca="false">U109*Z109</f>
        <v>0</v>
      </c>
      <c r="AC109" s="115" t="n">
        <f aca="false">IF(G102=2,F109*(S109-Q109),F109*(Q109-S109))</f>
        <v>0</v>
      </c>
      <c r="AE109" s="116" t="n">
        <f aca="false">IF($G$3=1,F109*(R109-Q109),F109*(Q109-R109))</f>
        <v>0</v>
      </c>
      <c r="AG109" s="116" t="n">
        <f aca="false">AC109+AE109</f>
        <v>0</v>
      </c>
    </row>
    <row r="110" customFormat="false" ht="12.75" hidden="false" customHeight="false" outlineLevel="0" collapsed="false">
      <c r="A110" s="120" t="n">
        <f aca="false">EDATE(A109,1)</f>
        <v>40330</v>
      </c>
      <c r="B110" s="121" t="n">
        <v>0</v>
      </c>
      <c r="C110" s="122"/>
      <c r="D110" s="123" t="n">
        <f aca="false">B110+C110</f>
        <v>0</v>
      </c>
      <c r="E110" s="111" t="n">
        <f aca="false">IF(Z110=0,0,IF(AND(Z110=1,$H$3=1),D110*U110,IF($H$3=2,D110,"N/A")))</f>
        <v>0</v>
      </c>
      <c r="F110" s="111" t="n">
        <f aca="false">E110*Y110</f>
        <v>0</v>
      </c>
      <c r="G110" s="124" t="n">
        <f aca="false">VLOOKUP($A110,Table,MATCH(G$4,Curves,0))</f>
        <v>3</v>
      </c>
      <c r="H110" s="125" t="n">
        <f aca="false">G110+$H$7</f>
        <v>3</v>
      </c>
      <c r="I110" s="124" t="n">
        <f aca="false">H110</f>
        <v>3</v>
      </c>
      <c r="J110" s="124" t="n">
        <f aca="false">VLOOKUP($A110,Table,MATCH(J$4,Curves,0))</f>
        <v>4</v>
      </c>
      <c r="K110" s="125" t="n">
        <f aca="false">J110+$K$7</f>
        <v>4</v>
      </c>
      <c r="L110" s="126" t="n">
        <f aca="false">K110</f>
        <v>4</v>
      </c>
      <c r="M110" s="124" t="n">
        <f aca="false">VLOOKUP($A110,Table,MATCH(M$4,Curves,0))</f>
        <v>4</v>
      </c>
      <c r="N110" s="125" t="n">
        <f aca="false">M110+$N$7</f>
        <v>4</v>
      </c>
      <c r="O110" s="126" t="n">
        <f aca="false">IF(B110&gt;0,(1000/B110*0.25)+((B110-1000)/B110*0.12),0)</f>
        <v>0</v>
      </c>
      <c r="P110" s="114"/>
      <c r="Q110" s="126" t="n">
        <f aca="false">M110+J110+G110</f>
        <v>11</v>
      </c>
      <c r="R110" s="126" t="n">
        <f aca="false">N110+K110+H110</f>
        <v>11</v>
      </c>
      <c r="S110" s="126" t="n">
        <f aca="false">O110+L110+I110</f>
        <v>7</v>
      </c>
      <c r="T110" s="127"/>
      <c r="U110" s="5" t="n">
        <f aca="false">A111-A110</f>
        <v>30</v>
      </c>
      <c r="V110" s="128" t="n">
        <f aca="false">CHOOSE(F$3,A111+24,A110)</f>
        <v>40330</v>
      </c>
      <c r="W110" s="5" t="n">
        <f aca="false">V110-C$3</f>
        <v>3099</v>
      </c>
      <c r="X110" s="124" t="n">
        <f aca="false">VLOOKUP($A110,Table,MATCH(X$4,Curves,0))</f>
        <v>2</v>
      </c>
      <c r="Y110" s="129" t="n">
        <f aca="false">1/(1+CHOOSE(F$3,(X111+($K$3/10000))/2,(X110+($K$3/10000))/2))^(2*W110/365.25)</f>
        <v>7.79402949262973E-006</v>
      </c>
      <c r="Z110" s="5" t="n">
        <f aca="false">IF(AND(mthbeg&lt;=A110,mthend&gt;=A110),1,0)</f>
        <v>0</v>
      </c>
      <c r="AA110" s="5" t="n">
        <f aca="false">U110*Z110</f>
        <v>0</v>
      </c>
      <c r="AC110" s="115" t="n">
        <f aca="false">IF(G103=2,F110*(S110-Q110),F110*(Q110-S110))</f>
        <v>0</v>
      </c>
      <c r="AE110" s="116" t="n">
        <f aca="false">IF($G$3=1,F110*(R110-Q110),F110*(Q110-R110))</f>
        <v>0</v>
      </c>
      <c r="AG110" s="116" t="n">
        <f aca="false">AC110+AE110</f>
        <v>0</v>
      </c>
    </row>
    <row r="111" customFormat="false" ht="12.75" hidden="false" customHeight="false" outlineLevel="0" collapsed="false">
      <c r="A111" s="120" t="n">
        <f aca="false">EDATE(A110,1)</f>
        <v>40360</v>
      </c>
      <c r="B111" s="121" t="n">
        <v>0</v>
      </c>
      <c r="C111" s="122"/>
      <c r="D111" s="123" t="n">
        <f aca="false">B111+C111</f>
        <v>0</v>
      </c>
      <c r="E111" s="111" t="n">
        <f aca="false">IF(Z111=0,0,IF(AND(Z111=1,$H$3=1),D111*U111,IF($H$3=2,D111,"N/A")))</f>
        <v>0</v>
      </c>
      <c r="F111" s="111" t="n">
        <f aca="false">E111*Y111</f>
        <v>0</v>
      </c>
      <c r="G111" s="124" t="n">
        <f aca="false">VLOOKUP($A111,Table,MATCH(G$4,Curves,0))</f>
        <v>3</v>
      </c>
      <c r="H111" s="125" t="n">
        <f aca="false">G111+$H$7</f>
        <v>3</v>
      </c>
      <c r="I111" s="124" t="n">
        <f aca="false">H111</f>
        <v>3</v>
      </c>
      <c r="J111" s="124" t="n">
        <f aca="false">VLOOKUP($A111,Table,MATCH(J$4,Curves,0))</f>
        <v>4</v>
      </c>
      <c r="K111" s="125" t="n">
        <f aca="false">J111+$K$7</f>
        <v>4</v>
      </c>
      <c r="L111" s="126" t="n">
        <f aca="false">K111</f>
        <v>4</v>
      </c>
      <c r="M111" s="124" t="n">
        <f aca="false">VLOOKUP($A111,Table,MATCH(M$4,Curves,0))</f>
        <v>4</v>
      </c>
      <c r="N111" s="125" t="n">
        <f aca="false">M111+$N$7</f>
        <v>4</v>
      </c>
      <c r="O111" s="126" t="n">
        <f aca="false">IF(B111&gt;0,(1000/B111*0.25)+((B111-1000)/B111*0.12),0)</f>
        <v>0</v>
      </c>
      <c r="P111" s="114"/>
      <c r="Q111" s="126" t="n">
        <f aca="false">M111+J111+G111</f>
        <v>11</v>
      </c>
      <c r="R111" s="126" t="n">
        <f aca="false">N111+K111+H111</f>
        <v>11</v>
      </c>
      <c r="S111" s="126" t="n">
        <f aca="false">O111+L111+I111</f>
        <v>7</v>
      </c>
      <c r="T111" s="127"/>
      <c r="U111" s="5" t="n">
        <f aca="false">A112-A111</f>
        <v>31</v>
      </c>
      <c r="V111" s="128" t="n">
        <f aca="false">CHOOSE(F$3,A112+24,A111)</f>
        <v>40360</v>
      </c>
      <c r="W111" s="5" t="n">
        <f aca="false">V111-C$3</f>
        <v>3129</v>
      </c>
      <c r="X111" s="124" t="n">
        <f aca="false">VLOOKUP($A111,Table,MATCH(X$4,Curves,0))</f>
        <v>2</v>
      </c>
      <c r="Y111" s="129" t="n">
        <f aca="false">1/(1+CHOOSE(F$3,(X112+($K$3/10000))/2,(X111+($K$3/10000))/2))^(2*W111/365.25)</f>
        <v>6.95523057818991E-006</v>
      </c>
      <c r="Z111" s="5" t="n">
        <f aca="false">IF(AND(mthbeg&lt;=A111,mthend&gt;=A111),1,0)</f>
        <v>0</v>
      </c>
      <c r="AA111" s="5" t="n">
        <f aca="false">U111*Z111</f>
        <v>0</v>
      </c>
      <c r="AC111" s="115" t="n">
        <f aca="false">IF(G104=2,F111*(S111-Q111),F111*(Q111-S111))</f>
        <v>0</v>
      </c>
      <c r="AE111" s="116" t="n">
        <f aca="false">IF($G$3=1,F111*(R111-Q111),F111*(Q111-R111))</f>
        <v>0</v>
      </c>
      <c r="AG111" s="116" t="n">
        <f aca="false">AC111+AE111</f>
        <v>0</v>
      </c>
    </row>
    <row r="112" customFormat="false" ht="12.75" hidden="false" customHeight="false" outlineLevel="0" collapsed="false">
      <c r="A112" s="120" t="n">
        <f aca="false">EDATE(A111,1)</f>
        <v>40391</v>
      </c>
      <c r="B112" s="121" t="n">
        <v>0</v>
      </c>
      <c r="C112" s="122"/>
      <c r="D112" s="123" t="n">
        <f aca="false">B112+C112</f>
        <v>0</v>
      </c>
      <c r="E112" s="111" t="n">
        <f aca="false">IF(Z112=0,0,IF(AND(Z112=1,$H$3=1),D112*U112,IF($H$3=2,D112,"N/A")))</f>
        <v>0</v>
      </c>
      <c r="F112" s="111" t="n">
        <f aca="false">E112*Y112</f>
        <v>0</v>
      </c>
      <c r="G112" s="124" t="n">
        <f aca="false">VLOOKUP($A112,Table,MATCH(G$4,Curves,0))</f>
        <v>3</v>
      </c>
      <c r="H112" s="125" t="n">
        <f aca="false">G112+$H$7</f>
        <v>3</v>
      </c>
      <c r="I112" s="124" t="n">
        <f aca="false">H112</f>
        <v>3</v>
      </c>
      <c r="J112" s="124" t="n">
        <f aca="false">VLOOKUP($A112,Table,MATCH(J$4,Curves,0))</f>
        <v>4</v>
      </c>
      <c r="K112" s="125" t="n">
        <f aca="false">J112+$K$7</f>
        <v>4</v>
      </c>
      <c r="L112" s="126" t="n">
        <f aca="false">K112</f>
        <v>4</v>
      </c>
      <c r="M112" s="124" t="n">
        <f aca="false">VLOOKUP($A112,Table,MATCH(M$4,Curves,0))</f>
        <v>4</v>
      </c>
      <c r="N112" s="125" t="n">
        <f aca="false">M112+$N$7</f>
        <v>4</v>
      </c>
      <c r="O112" s="126" t="n">
        <f aca="false">IF(B112&gt;0,(1000/B112*0.25)+((B112-1000)/B112*0.12),0)</f>
        <v>0</v>
      </c>
      <c r="P112" s="114"/>
      <c r="Q112" s="126" t="n">
        <f aca="false">M112+J112+G112</f>
        <v>11</v>
      </c>
      <c r="R112" s="126" t="n">
        <f aca="false">N112+K112+H112</f>
        <v>11</v>
      </c>
      <c r="S112" s="126" t="n">
        <f aca="false">O112+L112+I112</f>
        <v>7</v>
      </c>
      <c r="T112" s="127"/>
      <c r="U112" s="5" t="n">
        <f aca="false">A113-A112</f>
        <v>31</v>
      </c>
      <c r="V112" s="128" t="n">
        <f aca="false">CHOOSE(F$3,A113+24,A112)</f>
        <v>40391</v>
      </c>
      <c r="W112" s="5" t="n">
        <f aca="false">V112-C$3</f>
        <v>3160</v>
      </c>
      <c r="X112" s="124" t="n">
        <f aca="false">VLOOKUP($A112,Table,MATCH(X$4,Curves,0))</f>
        <v>2</v>
      </c>
      <c r="Y112" s="129" t="n">
        <f aca="false">1/(1+CHOOSE(F$3,(X113+($K$3/10000))/2,(X112+($K$3/10000))/2))^(2*W112/365.25)</f>
        <v>6.18319109954272E-006</v>
      </c>
      <c r="Z112" s="5" t="n">
        <f aca="false">IF(AND(mthbeg&lt;=A112,mthend&gt;=A112),1,0)</f>
        <v>0</v>
      </c>
      <c r="AA112" s="5" t="n">
        <f aca="false">U112*Z112</f>
        <v>0</v>
      </c>
      <c r="AC112" s="115" t="n">
        <f aca="false">IF(G105=2,F112*(S112-Q112),F112*(Q112-S112))</f>
        <v>0</v>
      </c>
      <c r="AE112" s="116" t="n">
        <f aca="false">IF($G$3=1,F112*(R112-Q112),F112*(Q112-R112))</f>
        <v>0</v>
      </c>
      <c r="AG112" s="116" t="n">
        <f aca="false">AC112+AE112</f>
        <v>0</v>
      </c>
    </row>
    <row r="113" customFormat="false" ht="12.75" hidden="false" customHeight="false" outlineLevel="0" collapsed="false">
      <c r="A113" s="120" t="n">
        <f aca="false">EDATE(A112,1)</f>
        <v>40422</v>
      </c>
      <c r="B113" s="121" t="n">
        <v>0</v>
      </c>
      <c r="C113" s="122"/>
      <c r="D113" s="123" t="n">
        <f aca="false">B113+C113</f>
        <v>0</v>
      </c>
      <c r="E113" s="111" t="n">
        <f aca="false">IF(Z113=0,0,IF(AND(Z113=1,$H$3=1),D113*U113,IF($H$3=2,D113,"N/A")))</f>
        <v>0</v>
      </c>
      <c r="F113" s="111" t="n">
        <f aca="false">E113*Y113</f>
        <v>0</v>
      </c>
      <c r="G113" s="124" t="n">
        <f aca="false">VLOOKUP($A113,Table,MATCH(G$4,Curves,0))</f>
        <v>3</v>
      </c>
      <c r="H113" s="125" t="n">
        <f aca="false">G113+$H$7</f>
        <v>3</v>
      </c>
      <c r="I113" s="124" t="n">
        <f aca="false">H113</f>
        <v>3</v>
      </c>
      <c r="J113" s="124" t="n">
        <f aca="false">VLOOKUP($A113,Table,MATCH(J$4,Curves,0))</f>
        <v>4</v>
      </c>
      <c r="K113" s="125" t="n">
        <f aca="false">J113+$K$7</f>
        <v>4</v>
      </c>
      <c r="L113" s="126" t="n">
        <f aca="false">K113</f>
        <v>4</v>
      </c>
      <c r="M113" s="124" t="n">
        <f aca="false">VLOOKUP($A113,Table,MATCH(M$4,Curves,0))</f>
        <v>4</v>
      </c>
      <c r="N113" s="125" t="n">
        <f aca="false">M113+$N$7</f>
        <v>4</v>
      </c>
      <c r="O113" s="126" t="n">
        <f aca="false">IF(B113&gt;0,(1000/B113*0.25)+((B113-1000)/B113*0.12),0)</f>
        <v>0</v>
      </c>
      <c r="P113" s="114"/>
      <c r="Q113" s="126" t="n">
        <f aca="false">M113+J113+G113</f>
        <v>11</v>
      </c>
      <c r="R113" s="126" t="n">
        <f aca="false">N113+K113+H113</f>
        <v>11</v>
      </c>
      <c r="S113" s="126" t="n">
        <f aca="false">O113+L113+I113</f>
        <v>7</v>
      </c>
      <c r="T113" s="127"/>
      <c r="U113" s="5" t="n">
        <f aca="false">A114-A113</f>
        <v>30</v>
      </c>
      <c r="V113" s="128" t="n">
        <f aca="false">CHOOSE(F$3,A114+24,A113)</f>
        <v>40422</v>
      </c>
      <c r="W113" s="5" t="n">
        <f aca="false">V113-C$3</f>
        <v>3191</v>
      </c>
      <c r="X113" s="124" t="n">
        <f aca="false">VLOOKUP($A113,Table,MATCH(X$4,Curves,0))</f>
        <v>2</v>
      </c>
      <c r="Y113" s="129" t="n">
        <f aca="false">1/(1+CHOOSE(F$3,(X114+($K$3/10000))/2,(X113+($K$3/10000))/2))^(2*W113/365.25)</f>
        <v>5.49684898921267E-006</v>
      </c>
      <c r="Z113" s="5" t="n">
        <f aca="false">IF(AND(mthbeg&lt;=A113,mthend&gt;=A113),1,0)</f>
        <v>0</v>
      </c>
      <c r="AA113" s="5" t="n">
        <f aca="false">U113*Z113</f>
        <v>0</v>
      </c>
      <c r="AC113" s="115" t="n">
        <f aca="false">IF(G106=2,F113*(S113-Q113),F113*(Q113-S113))</f>
        <v>0</v>
      </c>
      <c r="AE113" s="116" t="n">
        <f aca="false">IF($G$3=1,F113*(R113-Q113),F113*(Q113-R113))</f>
        <v>0</v>
      </c>
      <c r="AG113" s="116" t="n">
        <f aca="false">AC113+AE113</f>
        <v>0</v>
      </c>
    </row>
    <row r="114" customFormat="false" ht="12.75" hidden="false" customHeight="false" outlineLevel="0" collapsed="false">
      <c r="A114" s="120" t="n">
        <f aca="false">EDATE(A113,1)</f>
        <v>40452</v>
      </c>
      <c r="B114" s="121" t="n">
        <v>0</v>
      </c>
      <c r="C114" s="122"/>
      <c r="D114" s="123" t="n">
        <f aca="false">B114+C114</f>
        <v>0</v>
      </c>
      <c r="E114" s="111" t="n">
        <f aca="false">IF(Z114=0,0,IF(AND(Z114=1,$H$3=1),D114*U114,IF($H$3=2,D114,"N/A")))</f>
        <v>0</v>
      </c>
      <c r="F114" s="111" t="n">
        <f aca="false">E114*Y114</f>
        <v>0</v>
      </c>
      <c r="G114" s="124" t="n">
        <f aca="false">VLOOKUP($A114,Table,MATCH(G$4,Curves,0))</f>
        <v>3</v>
      </c>
      <c r="H114" s="125" t="n">
        <f aca="false">G114+$H$7</f>
        <v>3</v>
      </c>
      <c r="I114" s="124" t="n">
        <f aca="false">H114</f>
        <v>3</v>
      </c>
      <c r="J114" s="124" t="n">
        <f aca="false">VLOOKUP($A114,Table,MATCH(J$4,Curves,0))</f>
        <v>4</v>
      </c>
      <c r="K114" s="125" t="n">
        <f aca="false">J114+$K$7</f>
        <v>4</v>
      </c>
      <c r="L114" s="126" t="n">
        <f aca="false">K114</f>
        <v>4</v>
      </c>
      <c r="M114" s="124" t="n">
        <f aca="false">VLOOKUP($A114,Table,MATCH(M$4,Curves,0))</f>
        <v>4</v>
      </c>
      <c r="N114" s="125" t="n">
        <f aca="false">M114+$N$7</f>
        <v>4</v>
      </c>
      <c r="O114" s="126" t="n">
        <f aca="false">IF(B114&gt;0,(1000/B114*0.25)+((B114-1000)/B114*0.12),0)</f>
        <v>0</v>
      </c>
      <c r="P114" s="114"/>
      <c r="Q114" s="126" t="n">
        <f aca="false">M114+J114+G114</f>
        <v>11</v>
      </c>
      <c r="R114" s="126" t="n">
        <f aca="false">N114+K114+H114</f>
        <v>11</v>
      </c>
      <c r="S114" s="126" t="n">
        <f aca="false">O114+L114+I114</f>
        <v>7</v>
      </c>
      <c r="T114" s="127"/>
      <c r="U114" s="5" t="n">
        <f aca="false">A115-A114</f>
        <v>31</v>
      </c>
      <c r="V114" s="128" t="n">
        <f aca="false">CHOOSE(F$3,A115+24,A114)</f>
        <v>40452</v>
      </c>
      <c r="W114" s="5" t="n">
        <f aca="false">V114-C$3</f>
        <v>3221</v>
      </c>
      <c r="X114" s="124" t="n">
        <f aca="false">VLOOKUP($A114,Table,MATCH(X$4,Curves,0))</f>
        <v>2</v>
      </c>
      <c r="Y114" s="129" t="n">
        <f aca="false">1/(1+CHOOSE(F$3,(X115+($K$3/10000))/2,(X114+($K$3/10000))/2))^(2*W114/365.25)</f>
        <v>4.90527424993932E-006</v>
      </c>
      <c r="Z114" s="5" t="n">
        <f aca="false">IF(AND(mthbeg&lt;=A114,mthend&gt;=A114),1,0)</f>
        <v>0</v>
      </c>
      <c r="AA114" s="5" t="n">
        <f aca="false">U114*Z114</f>
        <v>0</v>
      </c>
      <c r="AC114" s="115" t="n">
        <f aca="false">IF(G107=2,F114*(S114-Q114),F114*(Q114-S114))</f>
        <v>0</v>
      </c>
      <c r="AE114" s="116" t="n">
        <f aca="false">IF($G$3=1,F114*(R114-Q114),F114*(Q114-R114))</f>
        <v>0</v>
      </c>
      <c r="AG114" s="116" t="n">
        <f aca="false">AC114+AE114</f>
        <v>0</v>
      </c>
    </row>
    <row r="115" customFormat="false" ht="12.75" hidden="false" customHeight="false" outlineLevel="0" collapsed="false">
      <c r="A115" s="120" t="n">
        <f aca="false">EDATE(A114,1)</f>
        <v>40483</v>
      </c>
      <c r="B115" s="121" t="n">
        <v>0</v>
      </c>
      <c r="C115" s="122"/>
      <c r="D115" s="123" t="n">
        <f aca="false">B115+C115</f>
        <v>0</v>
      </c>
      <c r="E115" s="111" t="n">
        <f aca="false">IF(Z115=0,0,IF(AND(Z115=1,$H$3=1),D115*U115,IF($H$3=2,D115,"N/A")))</f>
        <v>0</v>
      </c>
      <c r="F115" s="111" t="n">
        <f aca="false">E115*Y115</f>
        <v>0</v>
      </c>
      <c r="G115" s="124" t="n">
        <f aca="false">VLOOKUP($A115,Table,MATCH(G$4,Curves,0))</f>
        <v>3</v>
      </c>
      <c r="H115" s="125" t="n">
        <f aca="false">G115+$H$7</f>
        <v>3</v>
      </c>
      <c r="I115" s="124" t="n">
        <f aca="false">H115</f>
        <v>3</v>
      </c>
      <c r="J115" s="124" t="n">
        <f aca="false">VLOOKUP($A115,Table,MATCH(J$4,Curves,0))</f>
        <v>4</v>
      </c>
      <c r="K115" s="125" t="n">
        <f aca="false">J115+$K$7</f>
        <v>4</v>
      </c>
      <c r="L115" s="126" t="n">
        <f aca="false">K115</f>
        <v>4</v>
      </c>
      <c r="M115" s="124" t="n">
        <f aca="false">VLOOKUP($A115,Table,MATCH(M$4,Curves,0))</f>
        <v>4</v>
      </c>
      <c r="N115" s="125" t="n">
        <f aca="false">M115+$N$7</f>
        <v>4</v>
      </c>
      <c r="O115" s="126" t="n">
        <f aca="false">IF(B115&gt;0,(1000/B115*0.25)+((B115-1000)/B115*0.12),0)</f>
        <v>0</v>
      </c>
      <c r="P115" s="114"/>
      <c r="Q115" s="126" t="n">
        <f aca="false">M115+J115+G115</f>
        <v>11</v>
      </c>
      <c r="R115" s="126" t="n">
        <f aca="false">N115+K115+H115</f>
        <v>11</v>
      </c>
      <c r="S115" s="126" t="n">
        <f aca="false">O115+L115+I115</f>
        <v>7</v>
      </c>
      <c r="T115" s="127"/>
      <c r="U115" s="5" t="n">
        <f aca="false">A116-A115</f>
        <v>30</v>
      </c>
      <c r="V115" s="128" t="n">
        <f aca="false">CHOOSE(F$3,A116+24,A115)</f>
        <v>40483</v>
      </c>
      <c r="W115" s="5" t="n">
        <f aca="false">V115-C$3</f>
        <v>3252</v>
      </c>
      <c r="X115" s="124" t="n">
        <f aca="false">VLOOKUP($A115,Table,MATCH(X$4,Curves,0))</f>
        <v>2</v>
      </c>
      <c r="Y115" s="129" t="n">
        <f aca="false">1/(1+CHOOSE(F$3,(X116+($K$3/10000))/2,(X115+($K$3/10000))/2))^(2*W115/365.25)</f>
        <v>4.36078254229989E-006</v>
      </c>
      <c r="Z115" s="5" t="n">
        <f aca="false">IF(AND(mthbeg&lt;=A115,mthend&gt;=A115),1,0)</f>
        <v>0</v>
      </c>
      <c r="AA115" s="5" t="n">
        <f aca="false">U115*Z115</f>
        <v>0</v>
      </c>
      <c r="AC115" s="115" t="n">
        <f aca="false">IF(G108=2,F115*(S115-Q115),F115*(Q115-S115))</f>
        <v>0</v>
      </c>
      <c r="AE115" s="116" t="n">
        <f aca="false">IF($G$3=1,F115*(R115-Q115),F115*(Q115-R115))</f>
        <v>0</v>
      </c>
      <c r="AG115" s="116" t="n">
        <f aca="false">AC115+AE115</f>
        <v>0</v>
      </c>
    </row>
    <row r="116" customFormat="false" ht="12.75" hidden="false" customHeight="false" outlineLevel="0" collapsed="false">
      <c r="A116" s="120" t="n">
        <f aca="false">EDATE(A115,1)</f>
        <v>40513</v>
      </c>
      <c r="B116" s="121" t="n">
        <v>0</v>
      </c>
      <c r="C116" s="122"/>
      <c r="D116" s="123" t="n">
        <f aca="false">B116+C116</f>
        <v>0</v>
      </c>
      <c r="E116" s="111" t="n">
        <f aca="false">IF(Z116=0,0,IF(AND(Z116=1,$H$3=1),D116*U116,IF($H$3=2,D116,"N/A")))</f>
        <v>0</v>
      </c>
      <c r="F116" s="111" t="n">
        <f aca="false">E116*Y116</f>
        <v>0</v>
      </c>
      <c r="G116" s="124" t="n">
        <f aca="false">VLOOKUP($A116,Table,MATCH(G$4,Curves,0))</f>
        <v>3</v>
      </c>
      <c r="H116" s="125" t="n">
        <f aca="false">G116+$H$7</f>
        <v>3</v>
      </c>
      <c r="I116" s="124" t="n">
        <f aca="false">H116</f>
        <v>3</v>
      </c>
      <c r="J116" s="124" t="n">
        <f aca="false">VLOOKUP($A116,Table,MATCH(J$4,Curves,0))</f>
        <v>4</v>
      </c>
      <c r="K116" s="125" t="n">
        <f aca="false">J116+$K$7</f>
        <v>4</v>
      </c>
      <c r="L116" s="126" t="n">
        <f aca="false">K116</f>
        <v>4</v>
      </c>
      <c r="M116" s="124" t="n">
        <f aca="false">VLOOKUP($A116,Table,MATCH(M$4,Curves,0))</f>
        <v>4</v>
      </c>
      <c r="N116" s="125" t="n">
        <f aca="false">M116+$N$7</f>
        <v>4</v>
      </c>
      <c r="O116" s="126" t="n">
        <f aca="false">IF(B116&gt;0,(1000/B116*0.25)+((B116-1000)/B116*0.12),0)</f>
        <v>0</v>
      </c>
      <c r="P116" s="114"/>
      <c r="Q116" s="126" t="n">
        <f aca="false">M116+J116+G116</f>
        <v>11</v>
      </c>
      <c r="R116" s="126" t="n">
        <f aca="false">N116+K116+H116</f>
        <v>11</v>
      </c>
      <c r="S116" s="126" t="n">
        <f aca="false">O116+L116+I116</f>
        <v>7</v>
      </c>
      <c r="T116" s="127"/>
      <c r="U116" s="5" t="n">
        <f aca="false">A117-A116</f>
        <v>31</v>
      </c>
      <c r="V116" s="128" t="n">
        <f aca="false">CHOOSE(F$3,A117+24,A116)</f>
        <v>40513</v>
      </c>
      <c r="W116" s="5" t="n">
        <f aca="false">V116-C$3</f>
        <v>3282</v>
      </c>
      <c r="X116" s="124" t="n">
        <f aca="false">VLOOKUP($A116,Table,MATCH(X$4,Curves,0))</f>
        <v>2</v>
      </c>
      <c r="Y116" s="129" t="n">
        <f aca="false">1/(1+CHOOSE(F$3,(X117+($K$3/10000))/2,(X116+($K$3/10000))/2))^(2*W116/365.25)</f>
        <v>3.89147206996356E-006</v>
      </c>
      <c r="Z116" s="5" t="n">
        <f aca="false">IF(AND(mthbeg&lt;=A116,mthend&gt;=A116),1,0)</f>
        <v>0</v>
      </c>
      <c r="AA116" s="5" t="n">
        <f aca="false">U116*Z116</f>
        <v>0</v>
      </c>
      <c r="AC116" s="115" t="n">
        <f aca="false">IF(G109=2,F116*(S116-Q116),F116*(Q116-S116))</f>
        <v>0</v>
      </c>
      <c r="AE116" s="116" t="n">
        <f aca="false">IF($G$3=1,F116*(R116-Q116),F116*(Q116-R116))</f>
        <v>0</v>
      </c>
      <c r="AG116" s="116" t="n">
        <f aca="false">AC116+AE116</f>
        <v>0</v>
      </c>
    </row>
    <row r="117" customFormat="false" ht="12.75" hidden="false" customHeight="false" outlineLevel="0" collapsed="false">
      <c r="A117" s="120" t="n">
        <f aca="false">EDATE(A116,1)</f>
        <v>40544</v>
      </c>
      <c r="B117" s="121" t="n">
        <v>0</v>
      </c>
      <c r="C117" s="122"/>
      <c r="D117" s="123" t="n">
        <f aca="false">B117+C117</f>
        <v>0</v>
      </c>
      <c r="E117" s="111" t="n">
        <f aca="false">IF(Z117=0,0,IF(AND(Z117=1,$H$3=1),D117*U117,IF($H$3=2,D117,"N/A")))</f>
        <v>0</v>
      </c>
      <c r="F117" s="111" t="n">
        <f aca="false">E117*Y117</f>
        <v>0</v>
      </c>
      <c r="G117" s="124" t="n">
        <f aca="false">VLOOKUP($A117,Table,MATCH(G$4,Curves,0))</f>
        <v>3</v>
      </c>
      <c r="H117" s="125" t="n">
        <f aca="false">G117+$H$7</f>
        <v>3</v>
      </c>
      <c r="I117" s="124" t="n">
        <f aca="false">H117</f>
        <v>3</v>
      </c>
      <c r="J117" s="124" t="n">
        <f aca="false">VLOOKUP($A117,Table,MATCH(J$4,Curves,0))</f>
        <v>4</v>
      </c>
      <c r="K117" s="125" t="n">
        <f aca="false">J117+$K$7</f>
        <v>4</v>
      </c>
      <c r="L117" s="126" t="n">
        <f aca="false">K117</f>
        <v>4</v>
      </c>
      <c r="M117" s="124" t="n">
        <f aca="false">VLOOKUP($A117,Table,MATCH(M$4,Curves,0))</f>
        <v>4</v>
      </c>
      <c r="N117" s="125" t="n">
        <f aca="false">M117+$N$7</f>
        <v>4</v>
      </c>
      <c r="O117" s="126" t="n">
        <f aca="false">IF(B117&gt;0,(1000/B117*0.25)+((B117-1000)/B117*0.12),0)</f>
        <v>0</v>
      </c>
      <c r="P117" s="114"/>
      <c r="Q117" s="126" t="n">
        <f aca="false">M117+J117+G117</f>
        <v>11</v>
      </c>
      <c r="R117" s="126" t="n">
        <f aca="false">N117+K117+H117</f>
        <v>11</v>
      </c>
      <c r="S117" s="126" t="n">
        <f aca="false">O117+L117+I117</f>
        <v>7</v>
      </c>
      <c r="T117" s="127"/>
      <c r="U117" s="5" t="n">
        <f aca="false">A118-A117</f>
        <v>31</v>
      </c>
      <c r="V117" s="128" t="n">
        <f aca="false">CHOOSE(F$3,A118+24,A117)</f>
        <v>40544</v>
      </c>
      <c r="W117" s="5" t="n">
        <f aca="false">V117-C$3</f>
        <v>3313</v>
      </c>
      <c r="X117" s="124" t="n">
        <f aca="false">VLOOKUP($A117,Table,MATCH(X$4,Curves,0))</f>
        <v>2</v>
      </c>
      <c r="Y117" s="129" t="n">
        <f aca="false">1/(1+CHOOSE(F$3,(X118+($K$3/10000))/2,(X117+($K$3/10000))/2))^(2*W117/365.25)</f>
        <v>3.45951369931143E-006</v>
      </c>
      <c r="Z117" s="5" t="n">
        <f aca="false">IF(AND(mthbeg&lt;=A117,mthend&gt;=A117),1,0)</f>
        <v>0</v>
      </c>
      <c r="AA117" s="5" t="n">
        <f aca="false">U117*Z117</f>
        <v>0</v>
      </c>
      <c r="AC117" s="115" t="n">
        <f aca="false">IF(G110=2,F117*(S117-Q117),F117*(Q117-S117))</f>
        <v>0</v>
      </c>
      <c r="AE117" s="116" t="n">
        <f aca="false">IF($G$3=1,F117*(R117-Q117),F117*(Q117-R117))</f>
        <v>0</v>
      </c>
      <c r="AG117" s="116" t="n">
        <f aca="false">AC117+AE117</f>
        <v>0</v>
      </c>
    </row>
    <row r="118" customFormat="false" ht="12.75" hidden="false" customHeight="false" outlineLevel="0" collapsed="false">
      <c r="A118" s="120" t="n">
        <f aca="false">EDATE(A117,1)</f>
        <v>40575</v>
      </c>
      <c r="B118" s="121" t="n">
        <v>0</v>
      </c>
      <c r="C118" s="122"/>
      <c r="D118" s="123" t="n">
        <f aca="false">B118+C118</f>
        <v>0</v>
      </c>
      <c r="E118" s="111" t="n">
        <f aca="false">IF(Z118=0,0,IF(AND(Z118=1,$H$3=1),D118*U118,IF($H$3=2,D118,"N/A")))</f>
        <v>0</v>
      </c>
      <c r="F118" s="111" t="n">
        <f aca="false">E118*Y118</f>
        <v>0</v>
      </c>
      <c r="G118" s="124" t="n">
        <f aca="false">VLOOKUP($A118,Table,MATCH(G$4,Curves,0))</f>
        <v>3</v>
      </c>
      <c r="H118" s="125" t="n">
        <f aca="false">G118+$H$7</f>
        <v>3</v>
      </c>
      <c r="I118" s="124" t="n">
        <f aca="false">H118</f>
        <v>3</v>
      </c>
      <c r="J118" s="124" t="n">
        <f aca="false">VLOOKUP($A118,Table,MATCH(J$4,Curves,0))</f>
        <v>4</v>
      </c>
      <c r="K118" s="125" t="n">
        <f aca="false">J118+$K$7</f>
        <v>4</v>
      </c>
      <c r="L118" s="126" t="n">
        <f aca="false">K118</f>
        <v>4</v>
      </c>
      <c r="M118" s="124" t="n">
        <f aca="false">VLOOKUP($A118,Table,MATCH(M$4,Curves,0))</f>
        <v>4</v>
      </c>
      <c r="N118" s="125" t="n">
        <f aca="false">M118+$N$7</f>
        <v>4</v>
      </c>
      <c r="O118" s="126" t="n">
        <f aca="false">IF(B118&gt;0,(1000/B118*0.25)+((B118-1000)/B118*0.12),0)</f>
        <v>0</v>
      </c>
      <c r="P118" s="114"/>
      <c r="Q118" s="126" t="n">
        <f aca="false">M118+J118+G118</f>
        <v>11</v>
      </c>
      <c r="R118" s="126" t="n">
        <f aca="false">N118+K118+H118</f>
        <v>11</v>
      </c>
      <c r="S118" s="126" t="n">
        <f aca="false">O118+L118+I118</f>
        <v>7</v>
      </c>
      <c r="T118" s="127"/>
      <c r="U118" s="5" t="n">
        <f aca="false">A119-A118</f>
        <v>28</v>
      </c>
      <c r="V118" s="128" t="n">
        <f aca="false">CHOOSE(F$3,A119+24,A118)</f>
        <v>40575</v>
      </c>
      <c r="W118" s="5" t="n">
        <f aca="false">V118-C$3</f>
        <v>3344</v>
      </c>
      <c r="X118" s="124" t="n">
        <f aca="false">VLOOKUP($A118,Table,MATCH(X$4,Curves,0))</f>
        <v>2</v>
      </c>
      <c r="Y118" s="129" t="n">
        <f aca="false">1/(1+CHOOSE(F$3,(X119+($K$3/10000))/2,(X118+($K$3/10000))/2))^(2*W118/365.25)</f>
        <v>3.07550325957641E-006</v>
      </c>
      <c r="Z118" s="5" t="n">
        <f aca="false">IF(AND(mthbeg&lt;=A118,mthend&gt;=A118),1,0)</f>
        <v>0</v>
      </c>
      <c r="AA118" s="5" t="n">
        <f aca="false">U118*Z118</f>
        <v>0</v>
      </c>
      <c r="AC118" s="115" t="n">
        <f aca="false">IF(G111=2,F118*(S118-Q118),F118*(Q118-S118))</f>
        <v>0</v>
      </c>
      <c r="AE118" s="116" t="n">
        <f aca="false">IF($G$3=1,F118*(R118-Q118),F118*(Q118-R118))</f>
        <v>0</v>
      </c>
      <c r="AG118" s="116" t="n">
        <f aca="false">AC118+AE118</f>
        <v>0</v>
      </c>
    </row>
    <row r="119" customFormat="false" ht="12.75" hidden="false" customHeight="false" outlineLevel="0" collapsed="false">
      <c r="A119" s="120" t="n">
        <f aca="false">EDATE(A118,1)</f>
        <v>40603</v>
      </c>
      <c r="B119" s="121" t="n">
        <v>0</v>
      </c>
      <c r="C119" s="122"/>
      <c r="D119" s="123" t="n">
        <f aca="false">B119+C119</f>
        <v>0</v>
      </c>
      <c r="E119" s="111" t="n">
        <f aca="false">IF(Z119=0,0,IF(AND(Z119=1,$H$3=1),D119*U119,IF($H$3=2,D119,"N/A")))</f>
        <v>0</v>
      </c>
      <c r="F119" s="111" t="n">
        <f aca="false">E119*Y119</f>
        <v>0</v>
      </c>
      <c r="G119" s="124" t="n">
        <f aca="false">VLOOKUP($A119,Table,MATCH(G$4,Curves,0))</f>
        <v>3</v>
      </c>
      <c r="H119" s="125" t="n">
        <f aca="false">G119+$H$7</f>
        <v>3</v>
      </c>
      <c r="I119" s="124" t="n">
        <f aca="false">H119</f>
        <v>3</v>
      </c>
      <c r="J119" s="124" t="n">
        <f aca="false">VLOOKUP($A119,Table,MATCH(J$4,Curves,0))</f>
        <v>4</v>
      </c>
      <c r="K119" s="125" t="n">
        <f aca="false">J119+$K$7</f>
        <v>4</v>
      </c>
      <c r="L119" s="126" t="n">
        <f aca="false">K119</f>
        <v>4</v>
      </c>
      <c r="M119" s="124" t="n">
        <f aca="false">VLOOKUP($A119,Table,MATCH(M$4,Curves,0))</f>
        <v>4</v>
      </c>
      <c r="N119" s="125" t="n">
        <f aca="false">M119+$N$7</f>
        <v>4</v>
      </c>
      <c r="O119" s="126" t="n">
        <f aca="false">IF(B119&gt;0,(1000/B119*0.25)+((B119-1000)/B119*0.12),0)</f>
        <v>0</v>
      </c>
      <c r="P119" s="114"/>
      <c r="Q119" s="126" t="n">
        <f aca="false">M119+J119+G119</f>
        <v>11</v>
      </c>
      <c r="R119" s="126" t="n">
        <f aca="false">N119+K119+H119</f>
        <v>11</v>
      </c>
      <c r="S119" s="126" t="n">
        <f aca="false">O119+L119+I119</f>
        <v>7</v>
      </c>
      <c r="T119" s="127"/>
      <c r="U119" s="5" t="n">
        <f aca="false">A120-A119</f>
        <v>31</v>
      </c>
      <c r="V119" s="128" t="n">
        <f aca="false">CHOOSE(F$3,A120+24,A119)</f>
        <v>40603</v>
      </c>
      <c r="W119" s="5" t="n">
        <f aca="false">V119-C$3</f>
        <v>3372</v>
      </c>
      <c r="X119" s="124" t="n">
        <f aca="false">VLOOKUP($A119,Table,MATCH(X$4,Curves,0))</f>
        <v>2</v>
      </c>
      <c r="Y119" s="129" t="n">
        <f aca="false">1/(1+CHOOSE(F$3,(X120+($K$3/10000))/2,(X119+($K$3/10000))/2))^(2*W119/365.25)</f>
        <v>2.76542815337481E-006</v>
      </c>
      <c r="Z119" s="5" t="n">
        <f aca="false">IF(AND(mthbeg&lt;=A119,mthend&gt;=A119),1,0)</f>
        <v>0</v>
      </c>
      <c r="AA119" s="5" t="n">
        <f aca="false">U119*Z119</f>
        <v>0</v>
      </c>
      <c r="AC119" s="115" t="n">
        <f aca="false">IF(G112=2,F119*(S119-Q119),F119*(Q119-S119))</f>
        <v>0</v>
      </c>
      <c r="AE119" s="116" t="n">
        <f aca="false">IF($G$3=1,F119*(R119-Q119),F119*(Q119-R119))</f>
        <v>0</v>
      </c>
      <c r="AG119" s="116" t="n">
        <f aca="false">AC119+AE119</f>
        <v>0</v>
      </c>
    </row>
    <row r="120" customFormat="false" ht="12.75" hidden="false" customHeight="false" outlineLevel="0" collapsed="false">
      <c r="A120" s="120" t="n">
        <f aca="false">EDATE(A119,1)</f>
        <v>40634</v>
      </c>
      <c r="B120" s="121" t="n">
        <v>0</v>
      </c>
      <c r="C120" s="122"/>
      <c r="D120" s="123" t="n">
        <f aca="false">B120+C120</f>
        <v>0</v>
      </c>
      <c r="E120" s="111" t="n">
        <f aca="false">IF(Z120=0,0,IF(AND(Z120=1,$H$3=1),D120*U120,IF($H$3=2,D120,"N/A")))</f>
        <v>0</v>
      </c>
      <c r="F120" s="111" t="n">
        <f aca="false">E120*Y120</f>
        <v>0</v>
      </c>
      <c r="G120" s="124" t="n">
        <f aca="false">VLOOKUP($A120,Table,MATCH(G$4,Curves,0))</f>
        <v>3</v>
      </c>
      <c r="H120" s="125" t="n">
        <f aca="false">G120+$H$7</f>
        <v>3</v>
      </c>
      <c r="I120" s="124" t="n">
        <f aca="false">H120</f>
        <v>3</v>
      </c>
      <c r="J120" s="124" t="n">
        <f aca="false">VLOOKUP($A120,Table,MATCH(J$4,Curves,0))</f>
        <v>4</v>
      </c>
      <c r="K120" s="125" t="n">
        <f aca="false">J120+$K$7</f>
        <v>4</v>
      </c>
      <c r="L120" s="126" t="n">
        <f aca="false">K120</f>
        <v>4</v>
      </c>
      <c r="M120" s="124" t="n">
        <f aca="false">VLOOKUP($A120,Table,MATCH(M$4,Curves,0))</f>
        <v>4</v>
      </c>
      <c r="N120" s="125" t="n">
        <f aca="false">M120+$N$7</f>
        <v>4</v>
      </c>
      <c r="O120" s="126" t="n">
        <f aca="false">IF(B120&gt;0,(1000/B120*0.25)+((B120-1000)/B120*0.12),0)</f>
        <v>0</v>
      </c>
      <c r="P120" s="114"/>
      <c r="Q120" s="126" t="n">
        <f aca="false">M120+J120+G120</f>
        <v>11</v>
      </c>
      <c r="R120" s="126" t="n">
        <f aca="false">N120+K120+H120</f>
        <v>11</v>
      </c>
      <c r="S120" s="126" t="n">
        <f aca="false">O120+L120+I120</f>
        <v>7</v>
      </c>
      <c r="T120" s="127"/>
      <c r="U120" s="5" t="n">
        <f aca="false">A121-A120</f>
        <v>30</v>
      </c>
      <c r="V120" s="128" t="n">
        <f aca="false">CHOOSE(F$3,A121+24,A120)</f>
        <v>40634</v>
      </c>
      <c r="W120" s="5" t="n">
        <f aca="false">V120-C$3</f>
        <v>3403</v>
      </c>
      <c r="X120" s="124" t="n">
        <f aca="false">VLOOKUP($A120,Table,MATCH(X$4,Curves,0))</f>
        <v>2</v>
      </c>
      <c r="Y120" s="129" t="n">
        <f aca="false">1/(1+CHOOSE(F$3,(X121+($K$3/10000))/2,(X120+($K$3/10000))/2))^(2*W120/365.25)</f>
        <v>2.4584620958493E-006</v>
      </c>
      <c r="Z120" s="5" t="n">
        <f aca="false">IF(AND(mthbeg&lt;=A120,mthend&gt;=A120),1,0)</f>
        <v>0</v>
      </c>
      <c r="AA120" s="5" t="n">
        <f aca="false">U120*Z120</f>
        <v>0</v>
      </c>
      <c r="AC120" s="115" t="n">
        <f aca="false">IF(G113=2,F120*(S120-Q120),F120*(Q120-S120))</f>
        <v>0</v>
      </c>
      <c r="AE120" s="116" t="n">
        <f aca="false">IF($G$3=1,F120*(R120-Q120),F120*(Q120-R120))</f>
        <v>0</v>
      </c>
      <c r="AG120" s="116" t="n">
        <f aca="false">AC120+AE120</f>
        <v>0</v>
      </c>
    </row>
    <row r="121" customFormat="false" ht="12.75" hidden="false" customHeight="false" outlineLevel="0" collapsed="false">
      <c r="A121" s="120" t="n">
        <f aca="false">EDATE(A120,1)</f>
        <v>40664</v>
      </c>
      <c r="B121" s="121" t="n">
        <v>0</v>
      </c>
      <c r="C121" s="122"/>
      <c r="D121" s="123" t="n">
        <f aca="false">B121+C121</f>
        <v>0</v>
      </c>
      <c r="E121" s="111" t="n">
        <f aca="false">IF(Z121=0,0,IF(AND(Z121=1,$H$3=1),D121*U121,IF($H$3=2,D121,"N/A")))</f>
        <v>0</v>
      </c>
      <c r="F121" s="111" t="n">
        <f aca="false">E121*Y121</f>
        <v>0</v>
      </c>
      <c r="G121" s="124" t="n">
        <f aca="false">VLOOKUP($A121,Table,MATCH(G$4,Curves,0))</f>
        <v>3</v>
      </c>
      <c r="H121" s="125" t="n">
        <f aca="false">G121+$H$7</f>
        <v>3</v>
      </c>
      <c r="I121" s="124" t="n">
        <f aca="false">H121</f>
        <v>3</v>
      </c>
      <c r="J121" s="124" t="n">
        <f aca="false">VLOOKUP($A121,Table,MATCH(J$4,Curves,0))</f>
        <v>4</v>
      </c>
      <c r="K121" s="125" t="n">
        <f aca="false">J121+$K$7</f>
        <v>4</v>
      </c>
      <c r="L121" s="126" t="n">
        <f aca="false">K121</f>
        <v>4</v>
      </c>
      <c r="M121" s="124" t="n">
        <f aca="false">VLOOKUP($A121,Table,MATCH(M$4,Curves,0))</f>
        <v>4</v>
      </c>
      <c r="N121" s="125" t="n">
        <f aca="false">M121+$N$7</f>
        <v>4</v>
      </c>
      <c r="O121" s="126" t="n">
        <f aca="false">IF(B121&gt;0,(1000/B121*0.25)+((B121-1000)/B121*0.12),0)</f>
        <v>0</v>
      </c>
      <c r="P121" s="114"/>
      <c r="Q121" s="126" t="n">
        <f aca="false">M121+J121+G121</f>
        <v>11</v>
      </c>
      <c r="R121" s="126" t="n">
        <f aca="false">N121+K121+H121</f>
        <v>11</v>
      </c>
      <c r="S121" s="126" t="n">
        <f aca="false">O121+L121+I121</f>
        <v>7</v>
      </c>
      <c r="T121" s="127"/>
      <c r="U121" s="5" t="n">
        <f aca="false">A122-A121</f>
        <v>31</v>
      </c>
      <c r="V121" s="128" t="n">
        <f aca="false">CHOOSE(F$3,A122+24,A121)</f>
        <v>40664</v>
      </c>
      <c r="W121" s="5" t="n">
        <f aca="false">V121-C$3</f>
        <v>3433</v>
      </c>
      <c r="X121" s="124" t="n">
        <f aca="false">VLOOKUP($A121,Table,MATCH(X$4,Curves,0))</f>
        <v>2</v>
      </c>
      <c r="Y121" s="129" t="n">
        <f aca="false">1/(1+CHOOSE(F$3,(X122+($K$3/10000))/2,(X121+($K$3/10000))/2))^(2*W121/365.25)</f>
        <v>2.19388068271251E-006</v>
      </c>
      <c r="Z121" s="5" t="n">
        <f aca="false">IF(AND(mthbeg&lt;=A121,mthend&gt;=A121),1,0)</f>
        <v>0</v>
      </c>
      <c r="AA121" s="5" t="n">
        <f aca="false">U121*Z121</f>
        <v>0</v>
      </c>
      <c r="AC121" s="115" t="n">
        <f aca="false">IF(G114=2,F121*(S121-Q121),F121*(Q121-S121))</f>
        <v>0</v>
      </c>
      <c r="AE121" s="116" t="n">
        <f aca="false">IF($G$3=1,F121*(R121-Q121),F121*(Q121-R121))</f>
        <v>0</v>
      </c>
      <c r="AG121" s="116" t="n">
        <f aca="false">AC121+AE121</f>
        <v>0</v>
      </c>
    </row>
    <row r="122" customFormat="false" ht="12.75" hidden="false" customHeight="false" outlineLevel="0" collapsed="false">
      <c r="A122" s="120" t="n">
        <f aca="false">EDATE(A121,1)</f>
        <v>40695</v>
      </c>
      <c r="B122" s="121" t="n">
        <v>0</v>
      </c>
      <c r="C122" s="122"/>
      <c r="D122" s="123" t="n">
        <f aca="false">B122+C122</f>
        <v>0</v>
      </c>
      <c r="E122" s="111" t="n">
        <f aca="false">IF(Z122=0,0,IF(AND(Z122=1,$H$3=1),D122*U122,IF($H$3=2,D122,"N/A")))</f>
        <v>0</v>
      </c>
      <c r="F122" s="111" t="n">
        <f aca="false">E122*Y122</f>
        <v>0</v>
      </c>
      <c r="G122" s="124" t="n">
        <f aca="false">VLOOKUP($A122,Table,MATCH(G$4,Curves,0))</f>
        <v>3</v>
      </c>
      <c r="H122" s="125" t="n">
        <f aca="false">G122+$H$7</f>
        <v>3</v>
      </c>
      <c r="I122" s="124" t="n">
        <f aca="false">H122</f>
        <v>3</v>
      </c>
      <c r="J122" s="124" t="n">
        <f aca="false">VLOOKUP($A122,Table,MATCH(J$4,Curves,0))</f>
        <v>4</v>
      </c>
      <c r="K122" s="125" t="n">
        <f aca="false">J122+$K$7</f>
        <v>4</v>
      </c>
      <c r="L122" s="126" t="n">
        <f aca="false">K122</f>
        <v>4</v>
      </c>
      <c r="M122" s="124" t="n">
        <f aca="false">VLOOKUP($A122,Table,MATCH(M$4,Curves,0))</f>
        <v>4</v>
      </c>
      <c r="N122" s="125" t="n">
        <f aca="false">M122+$N$7</f>
        <v>4</v>
      </c>
      <c r="O122" s="126" t="n">
        <f aca="false">IF(B122&gt;0,(1000/B122*0.25)+((B122-1000)/B122*0.12),0)</f>
        <v>0</v>
      </c>
      <c r="P122" s="114"/>
      <c r="Q122" s="126" t="n">
        <f aca="false">M122+J122+G122</f>
        <v>11</v>
      </c>
      <c r="R122" s="126" t="n">
        <f aca="false">N122+K122+H122</f>
        <v>11</v>
      </c>
      <c r="S122" s="126" t="n">
        <f aca="false">O122+L122+I122</f>
        <v>7</v>
      </c>
      <c r="T122" s="127"/>
      <c r="U122" s="5" t="n">
        <f aca="false">A123-A122</f>
        <v>30</v>
      </c>
      <c r="V122" s="128" t="n">
        <f aca="false">CHOOSE(F$3,A123+24,A122)</f>
        <v>40695</v>
      </c>
      <c r="W122" s="5" t="n">
        <f aca="false">V122-C$3</f>
        <v>3464</v>
      </c>
      <c r="X122" s="124" t="n">
        <f aca="false">VLOOKUP($A122,Table,MATCH(X$4,Curves,0))</f>
        <v>2</v>
      </c>
      <c r="Y122" s="129" t="n">
        <f aca="false">1/(1+CHOOSE(F$3,(X123+($K$3/10000))/2,(X122+($K$3/10000))/2))^(2*W122/365.25)</f>
        <v>1.95035712451348E-006</v>
      </c>
      <c r="Z122" s="5" t="n">
        <f aca="false">IF(AND(mthbeg&lt;=A122,mthend&gt;=A122),1,0)</f>
        <v>0</v>
      </c>
      <c r="AA122" s="5" t="n">
        <f aca="false">U122*Z122</f>
        <v>0</v>
      </c>
      <c r="AC122" s="115" t="n">
        <f aca="false">IF(G115=2,F122*(S122-Q122),F122*(Q122-S122))</f>
        <v>0</v>
      </c>
      <c r="AE122" s="116" t="n">
        <f aca="false">IF($G$3=1,F122*(R122-Q122),F122*(Q122-R122))</f>
        <v>0</v>
      </c>
      <c r="AG122" s="116" t="n">
        <f aca="false">AC122+AE122</f>
        <v>0</v>
      </c>
    </row>
    <row r="123" customFormat="false" ht="12.75" hidden="false" customHeight="false" outlineLevel="0" collapsed="false">
      <c r="A123" s="120" t="n">
        <f aca="false">EDATE(A122,1)</f>
        <v>40725</v>
      </c>
      <c r="B123" s="121" t="n">
        <v>0</v>
      </c>
      <c r="C123" s="122"/>
      <c r="D123" s="123" t="n">
        <f aca="false">B123+C123</f>
        <v>0</v>
      </c>
      <c r="E123" s="111" t="n">
        <f aca="false">IF(Z123=0,0,IF(AND(Z123=1,$H$3=1),D123*U123,IF($H$3=2,D123,"N/A")))</f>
        <v>0</v>
      </c>
      <c r="F123" s="111" t="n">
        <f aca="false">E123*Y123</f>
        <v>0</v>
      </c>
      <c r="G123" s="124" t="n">
        <f aca="false">VLOOKUP($A123,Table,MATCH(G$4,Curves,0))</f>
        <v>3</v>
      </c>
      <c r="H123" s="125" t="n">
        <f aca="false">G123+$H$7</f>
        <v>3</v>
      </c>
      <c r="I123" s="124" t="n">
        <f aca="false">H123</f>
        <v>3</v>
      </c>
      <c r="J123" s="124" t="n">
        <f aca="false">VLOOKUP($A123,Table,MATCH(J$4,Curves,0))</f>
        <v>4</v>
      </c>
      <c r="K123" s="125" t="n">
        <f aca="false">J123+$K$7</f>
        <v>4</v>
      </c>
      <c r="L123" s="126" t="n">
        <f aca="false">K123</f>
        <v>4</v>
      </c>
      <c r="M123" s="124" t="n">
        <f aca="false">VLOOKUP($A123,Table,MATCH(M$4,Curves,0))</f>
        <v>4</v>
      </c>
      <c r="N123" s="125" t="n">
        <f aca="false">M123+$N$7</f>
        <v>4</v>
      </c>
      <c r="O123" s="126" t="n">
        <f aca="false">IF(B123&gt;0,(1000/B123*0.25)+((B123-1000)/B123*0.12),0)</f>
        <v>0</v>
      </c>
      <c r="P123" s="114"/>
      <c r="Q123" s="126" t="n">
        <f aca="false">M123+J123+G123</f>
        <v>11</v>
      </c>
      <c r="R123" s="126" t="n">
        <f aca="false">N123+K123+H123</f>
        <v>11</v>
      </c>
      <c r="S123" s="126" t="n">
        <f aca="false">O123+L123+I123</f>
        <v>7</v>
      </c>
      <c r="T123" s="127"/>
      <c r="U123" s="5" t="n">
        <f aca="false">A124-A123</f>
        <v>31</v>
      </c>
      <c r="V123" s="128" t="n">
        <f aca="false">CHOOSE(F$3,A124+24,A123)</f>
        <v>40725</v>
      </c>
      <c r="W123" s="5" t="n">
        <f aca="false">V123-C$3</f>
        <v>3494</v>
      </c>
      <c r="X123" s="124" t="n">
        <f aca="false">VLOOKUP($A123,Table,MATCH(X$4,Curves,0))</f>
        <v>2</v>
      </c>
      <c r="Y123" s="129" t="n">
        <f aca="false">1/(1+CHOOSE(F$3,(X124+($K$3/10000))/2,(X123+($K$3/10000))/2))^(2*W123/365.25)</f>
        <v>1.74045832436666E-006</v>
      </c>
      <c r="Z123" s="5" t="n">
        <f aca="false">IF(AND(mthbeg&lt;=A123,mthend&gt;=A123),1,0)</f>
        <v>0</v>
      </c>
      <c r="AA123" s="5" t="n">
        <f aca="false">U123*Z123</f>
        <v>0</v>
      </c>
      <c r="AC123" s="115" t="n">
        <f aca="false">IF(G116=2,F123*(S123-Q123),F123*(Q123-S123))</f>
        <v>0</v>
      </c>
      <c r="AE123" s="116" t="n">
        <f aca="false">IF($G$3=1,F123*(R123-Q123),F123*(Q123-R123))</f>
        <v>0</v>
      </c>
      <c r="AG123" s="116" t="n">
        <f aca="false">AC123+AE123</f>
        <v>0</v>
      </c>
    </row>
    <row r="124" customFormat="false" ht="12.75" hidden="false" customHeight="false" outlineLevel="0" collapsed="false">
      <c r="A124" s="120" t="n">
        <f aca="false">EDATE(A123,1)</f>
        <v>40756</v>
      </c>
      <c r="B124" s="121" t="n">
        <v>0</v>
      </c>
      <c r="C124" s="122"/>
      <c r="D124" s="123" t="n">
        <f aca="false">B124+C124</f>
        <v>0</v>
      </c>
      <c r="E124" s="111" t="n">
        <f aca="false">IF(Z124=0,0,IF(AND(Z124=1,$H$3=1),D124*U124,IF($H$3=2,D124,"N/A")))</f>
        <v>0</v>
      </c>
      <c r="F124" s="111" t="n">
        <f aca="false">E124*Y124</f>
        <v>0</v>
      </c>
      <c r="G124" s="124" t="n">
        <f aca="false">VLOOKUP($A124,Table,MATCH(G$4,Curves,0))</f>
        <v>3</v>
      </c>
      <c r="H124" s="125" t="n">
        <f aca="false">G124+$H$7</f>
        <v>3</v>
      </c>
      <c r="I124" s="124" t="n">
        <f aca="false">H124</f>
        <v>3</v>
      </c>
      <c r="J124" s="124" t="n">
        <f aca="false">VLOOKUP($A124,Table,MATCH(J$4,Curves,0))</f>
        <v>4</v>
      </c>
      <c r="K124" s="125" t="n">
        <f aca="false">J124+$K$7</f>
        <v>4</v>
      </c>
      <c r="L124" s="126" t="n">
        <f aca="false">K124</f>
        <v>4</v>
      </c>
      <c r="M124" s="124" t="n">
        <f aca="false">VLOOKUP($A124,Table,MATCH(M$4,Curves,0))</f>
        <v>4</v>
      </c>
      <c r="N124" s="125" t="n">
        <f aca="false">M124+$N$7</f>
        <v>4</v>
      </c>
      <c r="O124" s="126" t="n">
        <f aca="false">IF(B124&gt;0,(1000/B124*0.25)+((B124-1000)/B124*0.12),0)</f>
        <v>0</v>
      </c>
      <c r="P124" s="114"/>
      <c r="Q124" s="126" t="n">
        <f aca="false">M124+J124+G124</f>
        <v>11</v>
      </c>
      <c r="R124" s="126" t="n">
        <f aca="false">N124+K124+H124</f>
        <v>11</v>
      </c>
      <c r="S124" s="126" t="n">
        <f aca="false">O124+L124+I124</f>
        <v>7</v>
      </c>
      <c r="T124" s="127"/>
      <c r="U124" s="5" t="n">
        <f aca="false">A125-A124</f>
        <v>31</v>
      </c>
      <c r="V124" s="128" t="n">
        <f aca="false">CHOOSE(F$3,A125+24,A124)</f>
        <v>40756</v>
      </c>
      <c r="W124" s="5" t="n">
        <f aca="false">V124-C$3</f>
        <v>3525</v>
      </c>
      <c r="X124" s="124" t="n">
        <f aca="false">VLOOKUP($A124,Table,MATCH(X$4,Curves,0))</f>
        <v>2</v>
      </c>
      <c r="Y124" s="129" t="n">
        <f aca="false">1/(1+CHOOSE(F$3,(X125+($K$3/10000))/2,(X124+($K$3/10000))/2))^(2*W124/365.25)</f>
        <v>1.54726522713639E-006</v>
      </c>
      <c r="Z124" s="5" t="n">
        <f aca="false">IF(AND(mthbeg&lt;=A124,mthend&gt;=A124),1,0)</f>
        <v>0</v>
      </c>
      <c r="AA124" s="5" t="n">
        <f aca="false">U124*Z124</f>
        <v>0</v>
      </c>
      <c r="AC124" s="115" t="n">
        <f aca="false">IF(G117=2,F124*(S124-Q124),F124*(Q124-S124))</f>
        <v>0</v>
      </c>
      <c r="AE124" s="116" t="n">
        <f aca="false">IF($G$3=1,F124*(R124-Q124),F124*(Q124-R124))</f>
        <v>0</v>
      </c>
      <c r="AG124" s="116" t="n">
        <f aca="false">AC124+AE124</f>
        <v>0</v>
      </c>
    </row>
    <row r="125" customFormat="false" ht="12.75" hidden="false" customHeight="false" outlineLevel="0" collapsed="false">
      <c r="A125" s="120" t="n">
        <f aca="false">EDATE(A124,1)</f>
        <v>40787</v>
      </c>
      <c r="B125" s="121" t="n">
        <v>0</v>
      </c>
      <c r="C125" s="122"/>
      <c r="D125" s="123" t="n">
        <f aca="false">B125+C125</f>
        <v>0</v>
      </c>
      <c r="E125" s="111" t="n">
        <f aca="false">IF(Z125=0,0,IF(AND(Z125=1,$H$3=1),D125*U125,IF($H$3=2,D125,"N/A")))</f>
        <v>0</v>
      </c>
      <c r="F125" s="111" t="n">
        <f aca="false">E125*Y125</f>
        <v>0</v>
      </c>
      <c r="G125" s="124" t="n">
        <f aca="false">VLOOKUP($A125,Table,MATCH(G$4,Curves,0))</f>
        <v>3</v>
      </c>
      <c r="H125" s="125" t="n">
        <f aca="false">G125+$H$7</f>
        <v>3</v>
      </c>
      <c r="I125" s="124" t="n">
        <f aca="false">H125</f>
        <v>3</v>
      </c>
      <c r="J125" s="124" t="n">
        <f aca="false">VLOOKUP($A125,Table,MATCH(J$4,Curves,0))</f>
        <v>4</v>
      </c>
      <c r="K125" s="125" t="n">
        <f aca="false">J125+$K$7</f>
        <v>4</v>
      </c>
      <c r="L125" s="126" t="n">
        <f aca="false">K125</f>
        <v>4</v>
      </c>
      <c r="M125" s="124" t="n">
        <f aca="false">VLOOKUP($A125,Table,MATCH(M$4,Curves,0))</f>
        <v>4</v>
      </c>
      <c r="N125" s="125" t="n">
        <f aca="false">M125+$N$7</f>
        <v>4</v>
      </c>
      <c r="O125" s="126" t="n">
        <f aca="false">IF(B125&gt;0,(1000/B125*0.25)+((B125-1000)/B125*0.12),0)</f>
        <v>0</v>
      </c>
      <c r="P125" s="114"/>
      <c r="Q125" s="126" t="n">
        <f aca="false">M125+J125+G125</f>
        <v>11</v>
      </c>
      <c r="R125" s="126" t="n">
        <f aca="false">N125+K125+H125</f>
        <v>11</v>
      </c>
      <c r="S125" s="126" t="n">
        <f aca="false">O125+L125+I125</f>
        <v>7</v>
      </c>
      <c r="T125" s="127"/>
      <c r="U125" s="5" t="n">
        <f aca="false">A126-A125</f>
        <v>30</v>
      </c>
      <c r="V125" s="128" t="n">
        <f aca="false">CHOOSE(F$3,A126+24,A125)</f>
        <v>40787</v>
      </c>
      <c r="W125" s="5" t="n">
        <f aca="false">V125-C$3</f>
        <v>3556</v>
      </c>
      <c r="X125" s="124" t="n">
        <f aca="false">VLOOKUP($A125,Table,MATCH(X$4,Curves,0))</f>
        <v>2</v>
      </c>
      <c r="Y125" s="129" t="n">
        <f aca="false">1/(1+CHOOSE(F$3,(X126+($K$3/10000))/2,(X125+($K$3/10000))/2))^(2*W125/365.25)</f>
        <v>1.37551681047956E-006</v>
      </c>
      <c r="Z125" s="5" t="n">
        <f aca="false">IF(AND(mthbeg&lt;=A125,mthend&gt;=A125),1,0)</f>
        <v>0</v>
      </c>
      <c r="AA125" s="5" t="n">
        <f aca="false">U125*Z125</f>
        <v>0</v>
      </c>
      <c r="AC125" s="115" t="n">
        <f aca="false">IF(G118=2,F125*(S125-Q125),F125*(Q125-S125))</f>
        <v>0</v>
      </c>
      <c r="AE125" s="116" t="n">
        <f aca="false">IF($G$3=1,F125*(R125-Q125),F125*(Q125-R125))</f>
        <v>0</v>
      </c>
      <c r="AG125" s="116" t="n">
        <f aca="false">AC125+AE125</f>
        <v>0</v>
      </c>
    </row>
    <row r="126" customFormat="false" ht="12.75" hidden="false" customHeight="false" outlineLevel="0" collapsed="false">
      <c r="A126" s="120" t="n">
        <f aca="false">EDATE(A125,1)</f>
        <v>40817</v>
      </c>
      <c r="B126" s="121" t="n">
        <v>0</v>
      </c>
      <c r="C126" s="122"/>
      <c r="D126" s="123" t="n">
        <f aca="false">B126+C126</f>
        <v>0</v>
      </c>
      <c r="E126" s="111" t="n">
        <f aca="false">IF(Z126=0,0,IF(AND(Z126=1,$H$3=1),D126*U126,IF($H$3=2,D126,"N/A")))</f>
        <v>0</v>
      </c>
      <c r="F126" s="111" t="n">
        <f aca="false">E126*Y126</f>
        <v>0</v>
      </c>
      <c r="G126" s="124" t="n">
        <f aca="false">VLOOKUP($A126,Table,MATCH(G$4,Curves,0))</f>
        <v>3</v>
      </c>
      <c r="H126" s="125" t="n">
        <f aca="false">G126+$H$7</f>
        <v>3</v>
      </c>
      <c r="I126" s="124" t="n">
        <f aca="false">H126</f>
        <v>3</v>
      </c>
      <c r="J126" s="124" t="n">
        <f aca="false">VLOOKUP($A126,Table,MATCH(J$4,Curves,0))</f>
        <v>4</v>
      </c>
      <c r="K126" s="125" t="n">
        <f aca="false">J126+$K$7</f>
        <v>4</v>
      </c>
      <c r="L126" s="126" t="n">
        <f aca="false">K126</f>
        <v>4</v>
      </c>
      <c r="M126" s="124" t="n">
        <f aca="false">VLOOKUP($A126,Table,MATCH(M$4,Curves,0))</f>
        <v>4</v>
      </c>
      <c r="N126" s="125" t="n">
        <f aca="false">M126+$N$7</f>
        <v>4</v>
      </c>
      <c r="O126" s="126" t="n">
        <f aca="false">IF(B126&gt;0,(1000/B126*0.25)+((B126-1000)/B126*0.12),0)</f>
        <v>0</v>
      </c>
      <c r="P126" s="114"/>
      <c r="Q126" s="126" t="n">
        <f aca="false">M126+J126+G126</f>
        <v>11</v>
      </c>
      <c r="R126" s="126" t="n">
        <f aca="false">N126+K126+H126</f>
        <v>11</v>
      </c>
      <c r="S126" s="126" t="n">
        <f aca="false">O126+L126+I126</f>
        <v>7</v>
      </c>
      <c r="T126" s="127"/>
      <c r="U126" s="5" t="n">
        <f aca="false">A127-A126</f>
        <v>31</v>
      </c>
      <c r="V126" s="128" t="n">
        <f aca="false">CHOOSE(F$3,A127+24,A126)</f>
        <v>40817</v>
      </c>
      <c r="W126" s="5" t="n">
        <f aca="false">V126-C$3</f>
        <v>3586</v>
      </c>
      <c r="X126" s="124" t="n">
        <f aca="false">VLOOKUP($A126,Table,MATCH(X$4,Curves,0))</f>
        <v>2</v>
      </c>
      <c r="Y126" s="129" t="n">
        <f aca="false">1/(1+CHOOSE(F$3,(X127+($K$3/10000))/2,(X126+($K$3/10000))/2))^(2*W126/365.25)</f>
        <v>1.22748272765821E-006</v>
      </c>
      <c r="Z126" s="5" t="n">
        <f aca="false">IF(AND(mthbeg&lt;=A126,mthend&gt;=A126),1,0)</f>
        <v>0</v>
      </c>
      <c r="AA126" s="5" t="n">
        <f aca="false">U126*Z126</f>
        <v>0</v>
      </c>
      <c r="AC126" s="115" t="n">
        <f aca="false">IF(G119=2,F126*(S126-Q126),F126*(Q126-S126))</f>
        <v>0</v>
      </c>
      <c r="AE126" s="116" t="n">
        <f aca="false">IF($G$3=1,F126*(R126-Q126),F126*(Q126-R126))</f>
        <v>0</v>
      </c>
      <c r="AG126" s="116" t="n">
        <f aca="false">AC126+AE126</f>
        <v>0</v>
      </c>
    </row>
    <row r="127" customFormat="false" ht="12.75" hidden="false" customHeight="false" outlineLevel="0" collapsed="false">
      <c r="A127" s="120" t="n">
        <f aca="false">EDATE(A126,1)</f>
        <v>40848</v>
      </c>
      <c r="B127" s="121" t="n">
        <v>0</v>
      </c>
      <c r="C127" s="122"/>
      <c r="D127" s="123" t="n">
        <f aca="false">B127+C127</f>
        <v>0</v>
      </c>
      <c r="E127" s="111" t="n">
        <f aca="false">IF(Z127=0,0,IF(AND(Z127=1,$H$3=1),D127*U127,IF($H$3=2,D127,"N/A")))</f>
        <v>0</v>
      </c>
      <c r="F127" s="111" t="n">
        <f aca="false">E127*Y127</f>
        <v>0</v>
      </c>
      <c r="G127" s="124" t="n">
        <f aca="false">VLOOKUP($A127,Table,MATCH(G$4,Curves,0))</f>
        <v>3</v>
      </c>
      <c r="H127" s="125" t="n">
        <f aca="false">G127+$H$7</f>
        <v>3</v>
      </c>
      <c r="I127" s="124" t="n">
        <f aca="false">H127</f>
        <v>3</v>
      </c>
      <c r="J127" s="124" t="n">
        <f aca="false">VLOOKUP($A127,Table,MATCH(J$4,Curves,0))</f>
        <v>4</v>
      </c>
      <c r="K127" s="125" t="n">
        <f aca="false">J127+$K$7</f>
        <v>4</v>
      </c>
      <c r="L127" s="126" t="n">
        <f aca="false">K127</f>
        <v>4</v>
      </c>
      <c r="M127" s="124" t="n">
        <f aca="false">VLOOKUP($A127,Table,MATCH(M$4,Curves,0))</f>
        <v>4</v>
      </c>
      <c r="N127" s="125" t="n">
        <f aca="false">M127+$N$7</f>
        <v>4</v>
      </c>
      <c r="O127" s="126" t="n">
        <f aca="false">IF(B127&gt;0,(1000/B127*0.25)+((B127-1000)/B127*0.12),0)</f>
        <v>0</v>
      </c>
      <c r="P127" s="114"/>
      <c r="Q127" s="126" t="n">
        <f aca="false">M127+J127+G127</f>
        <v>11</v>
      </c>
      <c r="R127" s="126" t="n">
        <f aca="false">N127+K127+H127</f>
        <v>11</v>
      </c>
      <c r="S127" s="126" t="n">
        <f aca="false">O127+L127+I127</f>
        <v>7</v>
      </c>
      <c r="T127" s="127"/>
      <c r="U127" s="5" t="n">
        <f aca="false">A128-A127</f>
        <v>30</v>
      </c>
      <c r="V127" s="128" t="n">
        <f aca="false">CHOOSE(F$3,A128+24,A127)</f>
        <v>40848</v>
      </c>
      <c r="W127" s="5" t="n">
        <f aca="false">V127-C$3</f>
        <v>3617</v>
      </c>
      <c r="X127" s="124" t="n">
        <f aca="false">VLOOKUP($A127,Table,MATCH(X$4,Curves,0))</f>
        <v>2</v>
      </c>
      <c r="Y127" s="129" t="n">
        <f aca="false">1/(1+CHOOSE(F$3,(X128+($K$3/10000))/2,(X127+($K$3/10000))/2))^(2*W127/365.25)</f>
        <v>1.09123057692702E-006</v>
      </c>
      <c r="Z127" s="5" t="n">
        <f aca="false">IF(AND(mthbeg&lt;=A127,mthend&gt;=A127),1,0)</f>
        <v>0</v>
      </c>
      <c r="AA127" s="5" t="n">
        <f aca="false">U127*Z127</f>
        <v>0</v>
      </c>
      <c r="AC127" s="115" t="n">
        <f aca="false">IF(G120=2,F127*(S127-Q127),F127*(Q127-S127))</f>
        <v>0</v>
      </c>
      <c r="AE127" s="116" t="n">
        <f aca="false">IF($G$3=1,F127*(R127-Q127),F127*(Q127-R127))</f>
        <v>0</v>
      </c>
      <c r="AG127" s="116" t="n">
        <f aca="false">AC127+AE127</f>
        <v>0</v>
      </c>
    </row>
    <row r="128" customFormat="false" ht="12.75" hidden="false" customHeight="false" outlineLevel="0" collapsed="false">
      <c r="A128" s="120" t="n">
        <f aca="false">EDATE(A127,1)</f>
        <v>40878</v>
      </c>
      <c r="B128" s="121" t="n">
        <v>0</v>
      </c>
      <c r="C128" s="122"/>
      <c r="D128" s="123" t="n">
        <f aca="false">B128+C128</f>
        <v>0</v>
      </c>
      <c r="E128" s="111" t="n">
        <f aca="false">IF(Z128=0,0,IF(AND(Z128=1,$H$3=1),D128*U128,IF($H$3=2,D128,"N/A")))</f>
        <v>0</v>
      </c>
      <c r="F128" s="111" t="n">
        <f aca="false">E128*Y128</f>
        <v>0</v>
      </c>
      <c r="G128" s="124" t="n">
        <f aca="false">VLOOKUP($A128,Table,MATCH(G$4,Curves,0))</f>
        <v>3</v>
      </c>
      <c r="H128" s="125" t="n">
        <f aca="false">G128+$H$7</f>
        <v>3</v>
      </c>
      <c r="I128" s="124" t="n">
        <f aca="false">H128</f>
        <v>3</v>
      </c>
      <c r="J128" s="124" t="n">
        <f aca="false">VLOOKUP($A128,Table,MATCH(J$4,Curves,0))</f>
        <v>4</v>
      </c>
      <c r="K128" s="125" t="n">
        <f aca="false">J128+$K$7</f>
        <v>4</v>
      </c>
      <c r="L128" s="126" t="n">
        <f aca="false">K128</f>
        <v>4</v>
      </c>
      <c r="M128" s="124" t="n">
        <f aca="false">VLOOKUP($A128,Table,MATCH(M$4,Curves,0))</f>
        <v>4</v>
      </c>
      <c r="N128" s="125" t="n">
        <f aca="false">M128+$N$7</f>
        <v>4</v>
      </c>
      <c r="O128" s="126" t="n">
        <f aca="false">IF(B128&gt;0,(1000/B128*0.25)+((B128-1000)/B128*0.12),0)</f>
        <v>0</v>
      </c>
      <c r="P128" s="114"/>
      <c r="Q128" s="126" t="n">
        <f aca="false">M128+J128+G128</f>
        <v>11</v>
      </c>
      <c r="R128" s="126" t="n">
        <f aca="false">N128+K128+H128</f>
        <v>11</v>
      </c>
      <c r="S128" s="126" t="n">
        <f aca="false">O128+L128+I128</f>
        <v>7</v>
      </c>
      <c r="T128" s="127"/>
      <c r="U128" s="5" t="n">
        <f aca="false">A129-A128</f>
        <v>31</v>
      </c>
      <c r="V128" s="128" t="n">
        <f aca="false">CHOOSE(F$3,A129+24,A128)</f>
        <v>40878</v>
      </c>
      <c r="W128" s="5" t="n">
        <f aca="false">V128-C$3</f>
        <v>3647</v>
      </c>
      <c r="X128" s="124" t="n">
        <f aca="false">VLOOKUP($A128,Table,MATCH(X$4,Curves,0))</f>
        <v>2</v>
      </c>
      <c r="Y128" s="129" t="n">
        <f aca="false">1/(1+CHOOSE(F$3,(X129+($K$3/10000))/2,(X128+($K$3/10000))/2))^(2*W128/365.25)</f>
        <v>9.73791577729562E-007</v>
      </c>
      <c r="Z128" s="5" t="n">
        <f aca="false">IF(AND(mthbeg&lt;=A128,mthend&gt;=A128),1,0)</f>
        <v>0</v>
      </c>
      <c r="AA128" s="5" t="n">
        <f aca="false">U128*Z128</f>
        <v>0</v>
      </c>
      <c r="AC128" s="115" t="n">
        <f aca="false">IF(G121=2,F128*(S128-Q128),F128*(Q128-S128))</f>
        <v>0</v>
      </c>
      <c r="AE128" s="116" t="n">
        <f aca="false">IF($G$3=1,F128*(R128-Q128),F128*(Q128-R128))</f>
        <v>0</v>
      </c>
      <c r="AG128" s="116" t="n">
        <f aca="false">AC128+AE128</f>
        <v>0</v>
      </c>
    </row>
    <row r="129" customFormat="false" ht="12.75" hidden="false" customHeight="false" outlineLevel="0" collapsed="false">
      <c r="A129" s="120" t="n">
        <f aca="false">EDATE(A128,1)</f>
        <v>40909</v>
      </c>
      <c r="B129" s="121" t="n">
        <v>0</v>
      </c>
      <c r="C129" s="122"/>
      <c r="D129" s="123" t="n">
        <f aca="false">B129+C129</f>
        <v>0</v>
      </c>
      <c r="E129" s="111" t="n">
        <f aca="false">IF(Z129=0,0,IF(AND(Z129=1,$H$3=1),D129*U129,IF($H$3=2,D129,"N/A")))</f>
        <v>0</v>
      </c>
      <c r="F129" s="111" t="n">
        <f aca="false">E129*Y129</f>
        <v>0</v>
      </c>
      <c r="G129" s="124" t="n">
        <f aca="false">VLOOKUP($A129,Table,MATCH(G$4,Curves,0))</f>
        <v>3</v>
      </c>
      <c r="H129" s="125" t="n">
        <f aca="false">G129+$H$7</f>
        <v>3</v>
      </c>
      <c r="I129" s="124" t="n">
        <f aca="false">H129</f>
        <v>3</v>
      </c>
      <c r="J129" s="124" t="n">
        <f aca="false">VLOOKUP($A129,Table,MATCH(J$4,Curves,0))</f>
        <v>4</v>
      </c>
      <c r="K129" s="125" t="n">
        <f aca="false">J129+$K$7</f>
        <v>4</v>
      </c>
      <c r="L129" s="126" t="n">
        <f aca="false">K129</f>
        <v>4</v>
      </c>
      <c r="M129" s="124" t="n">
        <f aca="false">VLOOKUP($A129,Table,MATCH(M$4,Curves,0))</f>
        <v>4</v>
      </c>
      <c r="N129" s="125" t="n">
        <f aca="false">M129+$N$7</f>
        <v>4</v>
      </c>
      <c r="O129" s="126" t="n">
        <f aca="false">IF(B129&gt;0,(1000/B129*0.25)+((B129-1000)/B129*0.12),0)</f>
        <v>0</v>
      </c>
      <c r="P129" s="114"/>
      <c r="Q129" s="126" t="n">
        <f aca="false">M129+J129+G129</f>
        <v>11</v>
      </c>
      <c r="R129" s="126" t="n">
        <f aca="false">N129+K129+H129</f>
        <v>11</v>
      </c>
      <c r="S129" s="126" t="n">
        <f aca="false">O129+L129+I129</f>
        <v>7</v>
      </c>
      <c r="T129" s="127"/>
      <c r="U129" s="5" t="n">
        <f aca="false">A130-A129</f>
        <v>31</v>
      </c>
      <c r="V129" s="128" t="n">
        <f aca="false">CHOOSE(F$3,A130+24,A129)</f>
        <v>40909</v>
      </c>
      <c r="W129" s="5" t="n">
        <f aca="false">V129-C$3</f>
        <v>3678</v>
      </c>
      <c r="X129" s="124" t="n">
        <f aca="false">VLOOKUP($A129,Table,MATCH(X$4,Curves,0))</f>
        <v>2</v>
      </c>
      <c r="Y129" s="129" t="n">
        <f aca="false">1/(1+CHOOSE(F$3,(X130+($K$3/10000))/2,(X129+($K$3/10000))/2))^(2*W129/365.25)</f>
        <v>8.65699468700301E-007</v>
      </c>
      <c r="Z129" s="5" t="n">
        <f aca="false">IF(AND(mthbeg&lt;=A129,mthend&gt;=A129),1,0)</f>
        <v>0</v>
      </c>
      <c r="AA129" s="5" t="n">
        <f aca="false">U129*Z129</f>
        <v>0</v>
      </c>
      <c r="AC129" s="115" t="n">
        <f aca="false">IF(G122=2,F129*(S129-Q129),F129*(Q129-S129))</f>
        <v>0</v>
      </c>
      <c r="AE129" s="116" t="n">
        <f aca="false">IF($G$3=1,F129*(R129-Q129),F129*(Q129-R129))</f>
        <v>0</v>
      </c>
      <c r="AG129" s="116" t="n">
        <f aca="false">AC129+AE129</f>
        <v>0</v>
      </c>
    </row>
    <row r="130" customFormat="false" ht="12.75" hidden="false" customHeight="false" outlineLevel="0" collapsed="false">
      <c r="A130" s="120" t="n">
        <f aca="false">EDATE(A129,1)</f>
        <v>40940</v>
      </c>
      <c r="B130" s="121" t="n">
        <v>0</v>
      </c>
      <c r="C130" s="122"/>
      <c r="D130" s="123" t="n">
        <f aca="false">B130+C130</f>
        <v>0</v>
      </c>
      <c r="E130" s="111" t="n">
        <f aca="false">IF(Z130=0,0,IF(AND(Z130=1,$H$3=1),D130*U130,IF($H$3=2,D130,"N/A")))</f>
        <v>0</v>
      </c>
      <c r="F130" s="111" t="n">
        <f aca="false">E130*Y130</f>
        <v>0</v>
      </c>
      <c r="G130" s="124" t="n">
        <f aca="false">VLOOKUP($A130,Table,MATCH(G$4,Curves,0))</f>
        <v>3</v>
      </c>
      <c r="H130" s="125" t="n">
        <f aca="false">G130+$H$7</f>
        <v>3</v>
      </c>
      <c r="I130" s="124" t="n">
        <f aca="false">H130</f>
        <v>3</v>
      </c>
      <c r="J130" s="124" t="n">
        <f aca="false">VLOOKUP($A130,Table,MATCH(J$4,Curves,0))</f>
        <v>4</v>
      </c>
      <c r="K130" s="125" t="n">
        <f aca="false">J130+$K$7</f>
        <v>4</v>
      </c>
      <c r="L130" s="126" t="n">
        <f aca="false">K130</f>
        <v>4</v>
      </c>
      <c r="M130" s="124" t="n">
        <f aca="false">VLOOKUP($A130,Table,MATCH(M$4,Curves,0))</f>
        <v>4</v>
      </c>
      <c r="N130" s="125" t="n">
        <f aca="false">M130+$N$7</f>
        <v>4</v>
      </c>
      <c r="O130" s="126" t="n">
        <f aca="false">IF(B130&gt;0,(1000/B130*0.25)+((B130-1000)/B130*0.12),0)</f>
        <v>0</v>
      </c>
      <c r="P130" s="114"/>
      <c r="Q130" s="126" t="n">
        <f aca="false">M130+J130+G130</f>
        <v>11</v>
      </c>
      <c r="R130" s="126" t="n">
        <f aca="false">N130+K130+H130</f>
        <v>11</v>
      </c>
      <c r="S130" s="126" t="n">
        <f aca="false">O130+L130+I130</f>
        <v>7</v>
      </c>
      <c r="T130" s="127"/>
      <c r="U130" s="5" t="n">
        <f aca="false">A131-A130</f>
        <v>29</v>
      </c>
      <c r="V130" s="128" t="n">
        <f aca="false">CHOOSE(F$3,A131+24,A130)</f>
        <v>40940</v>
      </c>
      <c r="W130" s="5" t="n">
        <f aca="false">V130-C$3</f>
        <v>3709</v>
      </c>
      <c r="X130" s="124" t="n">
        <f aca="false">VLOOKUP($A130,Table,MATCH(X$4,Curves,0))</f>
        <v>2</v>
      </c>
      <c r="Y130" s="129" t="n">
        <f aca="false">1/(1+CHOOSE(F$3,(X131+($K$3/10000))/2,(X130+($K$3/10000))/2))^(2*W130/365.25)</f>
        <v>7.69605721847919E-007</v>
      </c>
      <c r="Z130" s="5" t="n">
        <f aca="false">IF(AND(mthbeg&lt;=A130,mthend&gt;=A130),1,0)</f>
        <v>0</v>
      </c>
      <c r="AA130" s="5" t="n">
        <f aca="false">U130*Z130</f>
        <v>0</v>
      </c>
      <c r="AC130" s="115" t="n">
        <f aca="false">IF(G123=2,F130*(S130-Q130),F130*(Q130-S130))</f>
        <v>0</v>
      </c>
      <c r="AE130" s="116" t="n">
        <f aca="false">IF($G$3=1,F130*(R130-Q130),F130*(Q130-R130))</f>
        <v>0</v>
      </c>
      <c r="AG130" s="116" t="n">
        <f aca="false">AC130+AE130</f>
        <v>0</v>
      </c>
    </row>
    <row r="131" customFormat="false" ht="12.75" hidden="false" customHeight="false" outlineLevel="0" collapsed="false">
      <c r="A131" s="120" t="n">
        <f aca="false">EDATE(A130,1)</f>
        <v>40969</v>
      </c>
      <c r="B131" s="121" t="n">
        <v>0</v>
      </c>
      <c r="C131" s="122"/>
      <c r="D131" s="123" t="n">
        <f aca="false">B131+C131</f>
        <v>0</v>
      </c>
      <c r="E131" s="111" t="n">
        <f aca="false">IF(Z131=0,0,IF(AND(Z131=1,$H$3=1),D131*U131,IF($H$3=2,D131,"N/A")))</f>
        <v>0</v>
      </c>
      <c r="F131" s="111" t="n">
        <f aca="false">E131*Y131</f>
        <v>0</v>
      </c>
      <c r="G131" s="124" t="n">
        <f aca="false">VLOOKUP($A131,Table,MATCH(G$4,Curves,0))</f>
        <v>3</v>
      </c>
      <c r="H131" s="125" t="n">
        <f aca="false">G131+$H$7</f>
        <v>3</v>
      </c>
      <c r="I131" s="124" t="n">
        <f aca="false">H131</f>
        <v>3</v>
      </c>
      <c r="J131" s="124" t="n">
        <f aca="false">VLOOKUP($A131,Table,MATCH(J$4,Curves,0))</f>
        <v>4</v>
      </c>
      <c r="K131" s="125" t="n">
        <f aca="false">J131+$K$7</f>
        <v>4</v>
      </c>
      <c r="L131" s="126" t="n">
        <f aca="false">K131</f>
        <v>4</v>
      </c>
      <c r="M131" s="124" t="n">
        <f aca="false">VLOOKUP($A131,Table,MATCH(M$4,Curves,0))</f>
        <v>4</v>
      </c>
      <c r="N131" s="125" t="n">
        <f aca="false">M131+$N$7</f>
        <v>4</v>
      </c>
      <c r="O131" s="126" t="n">
        <f aca="false">IF(B131&gt;0,(1000/B131*0.25)+((B131-1000)/B131*0.12),0)</f>
        <v>0</v>
      </c>
      <c r="P131" s="114"/>
      <c r="Q131" s="126" t="n">
        <f aca="false">M131+J131+G131</f>
        <v>11</v>
      </c>
      <c r="R131" s="126" t="n">
        <f aca="false">N131+K131+H131</f>
        <v>11</v>
      </c>
      <c r="S131" s="126" t="n">
        <f aca="false">O131+L131+I131</f>
        <v>7</v>
      </c>
      <c r="T131" s="127"/>
      <c r="U131" s="5" t="n">
        <f aca="false">A132-A131</f>
        <v>31</v>
      </c>
      <c r="V131" s="128" t="n">
        <f aca="false">CHOOSE(F$3,A132+24,A131)</f>
        <v>40969</v>
      </c>
      <c r="W131" s="5" t="n">
        <f aca="false">V131-C$3</f>
        <v>3738</v>
      </c>
      <c r="X131" s="124" t="n">
        <f aca="false">VLOOKUP($A131,Table,MATCH(X$4,Curves,0))</f>
        <v>2</v>
      </c>
      <c r="Y131" s="129" t="n">
        <f aca="false">1/(1+CHOOSE(F$3,(X132+($K$3/10000))/2,(X131+($K$3/10000))/2))^(2*W131/365.25)</f>
        <v>6.89391819592831E-007</v>
      </c>
      <c r="Z131" s="5" t="n">
        <f aca="false">IF(AND(mthbeg&lt;=A131,mthend&gt;=A131),1,0)</f>
        <v>0</v>
      </c>
      <c r="AA131" s="5" t="n">
        <f aca="false">U131*Z131</f>
        <v>0</v>
      </c>
      <c r="AC131" s="115" t="n">
        <f aca="false">IF(G124=2,F131*(S131-Q131),F131*(Q131-S131))</f>
        <v>0</v>
      </c>
      <c r="AE131" s="116" t="n">
        <f aca="false">IF($G$3=1,F131*(R131-Q131),F131*(Q131-R131))</f>
        <v>0</v>
      </c>
      <c r="AG131" s="116" t="n">
        <f aca="false">AC131+AE131</f>
        <v>0</v>
      </c>
    </row>
    <row r="132" customFormat="false" ht="12.75" hidden="false" customHeight="false" outlineLevel="0" collapsed="false">
      <c r="A132" s="120" t="n">
        <f aca="false">EDATE(A131,1)</f>
        <v>41000</v>
      </c>
      <c r="B132" s="121" t="n">
        <v>0</v>
      </c>
      <c r="C132" s="122"/>
      <c r="D132" s="123" t="n">
        <f aca="false">B132+C132</f>
        <v>0</v>
      </c>
      <c r="E132" s="111" t="n">
        <f aca="false">IF(Z132=0,0,IF(AND(Z132=1,$H$3=1),D132*U132,IF($H$3=2,D132,"N/A")))</f>
        <v>0</v>
      </c>
      <c r="F132" s="111" t="n">
        <f aca="false">E132*Y132</f>
        <v>0</v>
      </c>
      <c r="G132" s="124" t="n">
        <f aca="false">VLOOKUP($A132,Table,MATCH(G$4,Curves,0))</f>
        <v>3</v>
      </c>
      <c r="H132" s="125" t="n">
        <f aca="false">G132+$H$7</f>
        <v>3</v>
      </c>
      <c r="I132" s="124" t="n">
        <f aca="false">H132</f>
        <v>3</v>
      </c>
      <c r="J132" s="124" t="n">
        <f aca="false">VLOOKUP($A132,Table,MATCH(J$4,Curves,0))</f>
        <v>4</v>
      </c>
      <c r="K132" s="125" t="n">
        <f aca="false">J132+$K$7</f>
        <v>4</v>
      </c>
      <c r="L132" s="126" t="n">
        <f aca="false">K132</f>
        <v>4</v>
      </c>
      <c r="M132" s="124" t="n">
        <f aca="false">VLOOKUP($A132,Table,MATCH(M$4,Curves,0))</f>
        <v>4</v>
      </c>
      <c r="N132" s="125" t="n">
        <f aca="false">M132+$N$7</f>
        <v>4</v>
      </c>
      <c r="O132" s="126" t="n">
        <f aca="false">IF(B132&gt;0,(1000/B132*0.25)+((B132-1000)/B132*0.12),0)</f>
        <v>0</v>
      </c>
      <c r="P132" s="114"/>
      <c r="Q132" s="126" t="n">
        <f aca="false">M132+J132+G132</f>
        <v>11</v>
      </c>
      <c r="R132" s="126" t="n">
        <f aca="false">N132+K132+H132</f>
        <v>11</v>
      </c>
      <c r="S132" s="126" t="n">
        <f aca="false">O132+L132+I132</f>
        <v>7</v>
      </c>
      <c r="T132" s="127"/>
      <c r="U132" s="5" t="n">
        <f aca="false">A133-A132</f>
        <v>30</v>
      </c>
      <c r="V132" s="128" t="n">
        <f aca="false">CHOOSE(F$3,A133+24,A132)</f>
        <v>41000</v>
      </c>
      <c r="W132" s="5" t="n">
        <f aca="false">V132-C$3</f>
        <v>3769</v>
      </c>
      <c r="X132" s="124" t="n">
        <f aca="false">VLOOKUP($A132,Table,MATCH(X$4,Curves,0))</f>
        <v>2</v>
      </c>
      <c r="Y132" s="129" t="n">
        <f aca="false">1/(1+CHOOSE(F$3,(X133+($K$3/10000))/2,(X132+($K$3/10000))/2))^(2*W132/365.25)</f>
        <v>6.12868447003134E-007</v>
      </c>
      <c r="Z132" s="5" t="n">
        <f aca="false">IF(AND(mthbeg&lt;=A132,mthend&gt;=A132),1,0)</f>
        <v>0</v>
      </c>
      <c r="AA132" s="5" t="n">
        <f aca="false">U132*Z132</f>
        <v>0</v>
      </c>
      <c r="AC132" s="115" t="n">
        <f aca="false">IF(G125=2,F132*(S132-Q132),F132*(Q132-S132))</f>
        <v>0</v>
      </c>
      <c r="AE132" s="116" t="n">
        <f aca="false">IF($G$3=1,F132*(R132-Q132),F132*(Q132-R132))</f>
        <v>0</v>
      </c>
      <c r="AG132" s="116" t="n">
        <f aca="false">AC132+AE132</f>
        <v>0</v>
      </c>
    </row>
    <row r="133" customFormat="false" ht="12.75" hidden="false" customHeight="false" outlineLevel="0" collapsed="false">
      <c r="A133" s="120" t="n">
        <f aca="false">EDATE(A132,1)</f>
        <v>41030</v>
      </c>
      <c r="B133" s="121" t="n">
        <v>0</v>
      </c>
      <c r="C133" s="122"/>
      <c r="D133" s="123" t="n">
        <f aca="false">B133+C133</f>
        <v>0</v>
      </c>
      <c r="E133" s="111" t="n">
        <f aca="false">IF(Z133=0,0,IF(AND(Z133=1,$H$3=1),D133*U133,IF($H$3=2,D133,"N/A")))</f>
        <v>0</v>
      </c>
      <c r="F133" s="111" t="n">
        <f aca="false">E133*Y133</f>
        <v>0</v>
      </c>
      <c r="G133" s="124" t="n">
        <f aca="false">VLOOKUP($A133,Table,MATCH(G$4,Curves,0))</f>
        <v>3</v>
      </c>
      <c r="H133" s="125" t="n">
        <f aca="false">G133+$H$7</f>
        <v>3</v>
      </c>
      <c r="I133" s="124" t="n">
        <f aca="false">H133</f>
        <v>3</v>
      </c>
      <c r="J133" s="124" t="n">
        <f aca="false">VLOOKUP($A133,Table,MATCH(J$4,Curves,0))</f>
        <v>4</v>
      </c>
      <c r="K133" s="125" t="n">
        <f aca="false">J133+$K$7</f>
        <v>4</v>
      </c>
      <c r="L133" s="126" t="n">
        <f aca="false">K133</f>
        <v>4</v>
      </c>
      <c r="M133" s="124" t="n">
        <f aca="false">VLOOKUP($A133,Table,MATCH(M$4,Curves,0))</f>
        <v>4</v>
      </c>
      <c r="N133" s="125" t="n">
        <f aca="false">M133+$N$7</f>
        <v>4</v>
      </c>
      <c r="O133" s="126" t="n">
        <f aca="false">IF(B133&gt;0,(1000/B133*0.25)+((B133-1000)/B133*0.12),0)</f>
        <v>0</v>
      </c>
      <c r="P133" s="114"/>
      <c r="Q133" s="126" t="n">
        <f aca="false">M133+J133+G133</f>
        <v>11</v>
      </c>
      <c r="R133" s="126" t="n">
        <f aca="false">N133+K133+H133</f>
        <v>11</v>
      </c>
      <c r="S133" s="126" t="n">
        <f aca="false">O133+L133+I133</f>
        <v>7</v>
      </c>
      <c r="T133" s="127"/>
      <c r="U133" s="5" t="n">
        <f aca="false">A134-A133</f>
        <v>31</v>
      </c>
      <c r="V133" s="128" t="n">
        <f aca="false">CHOOSE(F$3,A134+24,A133)</f>
        <v>41030</v>
      </c>
      <c r="W133" s="5" t="n">
        <f aca="false">V133-C$3</f>
        <v>3799</v>
      </c>
      <c r="X133" s="124" t="n">
        <f aca="false">VLOOKUP($A133,Table,MATCH(X$4,Curves,0))</f>
        <v>2</v>
      </c>
      <c r="Y133" s="129" t="n">
        <f aca="false">1/(1+CHOOSE(F$3,(X134+($K$3/10000))/2,(X133+($K$3/10000))/2))^(2*W133/365.25)</f>
        <v>5.46911115365271E-007</v>
      </c>
      <c r="Z133" s="5" t="n">
        <f aca="false">IF(AND(mthbeg&lt;=A133,mthend&gt;=A133),1,0)</f>
        <v>0</v>
      </c>
      <c r="AA133" s="5" t="n">
        <f aca="false">U133*Z133</f>
        <v>0</v>
      </c>
      <c r="AC133" s="115" t="n">
        <f aca="false">IF(G126=2,F133*(S133-Q133),F133*(Q133-S133))</f>
        <v>0</v>
      </c>
      <c r="AE133" s="116" t="n">
        <f aca="false">IF($G$3=1,F133*(R133-Q133),F133*(Q133-R133))</f>
        <v>0</v>
      </c>
      <c r="AG133" s="116" t="n">
        <f aca="false">AC133+AE133</f>
        <v>0</v>
      </c>
    </row>
    <row r="134" customFormat="false" ht="12.75" hidden="false" customHeight="false" outlineLevel="0" collapsed="false">
      <c r="A134" s="120" t="n">
        <f aca="false">EDATE(A133,1)</f>
        <v>41061</v>
      </c>
      <c r="B134" s="121" t="n">
        <v>0</v>
      </c>
      <c r="C134" s="122"/>
      <c r="D134" s="123" t="n">
        <f aca="false">B134+C134</f>
        <v>0</v>
      </c>
      <c r="E134" s="111" t="n">
        <f aca="false">IF(Z134=0,0,IF(AND(Z134=1,$H$3=1),D134*U134,IF($H$3=2,D134,"N/A")))</f>
        <v>0</v>
      </c>
      <c r="F134" s="111" t="n">
        <f aca="false">E134*Y134</f>
        <v>0</v>
      </c>
      <c r="G134" s="124" t="n">
        <f aca="false">VLOOKUP($A134,Table,MATCH(G$4,Curves,0))</f>
        <v>3</v>
      </c>
      <c r="H134" s="125" t="n">
        <f aca="false">G134+$H$7</f>
        <v>3</v>
      </c>
      <c r="I134" s="124" t="n">
        <f aca="false">H134</f>
        <v>3</v>
      </c>
      <c r="J134" s="124" t="n">
        <f aca="false">VLOOKUP($A134,Table,MATCH(J$4,Curves,0))</f>
        <v>4</v>
      </c>
      <c r="K134" s="125" t="n">
        <f aca="false">J134+$K$7</f>
        <v>4</v>
      </c>
      <c r="L134" s="126" t="n">
        <f aca="false">K134</f>
        <v>4</v>
      </c>
      <c r="M134" s="124" t="n">
        <f aca="false">VLOOKUP($A134,Table,MATCH(M$4,Curves,0))</f>
        <v>4</v>
      </c>
      <c r="N134" s="125" t="n">
        <f aca="false">M134+$N$7</f>
        <v>4</v>
      </c>
      <c r="O134" s="126" t="n">
        <f aca="false">IF(B134&gt;0,(1000/B134*0.25)+((B134-1000)/B134*0.12),0)</f>
        <v>0</v>
      </c>
      <c r="P134" s="114"/>
      <c r="Q134" s="126" t="n">
        <f aca="false">M134+J134+G134</f>
        <v>11</v>
      </c>
      <c r="R134" s="126" t="n">
        <f aca="false">N134+K134+H134</f>
        <v>11</v>
      </c>
      <c r="S134" s="126" t="n">
        <f aca="false">O134+L134+I134</f>
        <v>7</v>
      </c>
      <c r="T134" s="127"/>
      <c r="U134" s="5" t="n">
        <f aca="false">A135-A134</f>
        <v>30</v>
      </c>
      <c r="V134" s="128" t="n">
        <f aca="false">CHOOSE(F$3,A135+24,A134)</f>
        <v>41061</v>
      </c>
      <c r="W134" s="5" t="n">
        <f aca="false">V134-C$3</f>
        <v>3830</v>
      </c>
      <c r="X134" s="124" t="n">
        <f aca="false">VLOOKUP($A134,Table,MATCH(X$4,Curves,0))</f>
        <v>2</v>
      </c>
      <c r="Y134" s="129" t="n">
        <f aca="false">1/(1+CHOOSE(F$3,(X135+($K$3/10000))/2,(X134+($K$3/10000))/2))^(2*W134/365.25)</f>
        <v>4.86203282946746E-007</v>
      </c>
      <c r="Z134" s="5" t="n">
        <f aca="false">IF(AND(mthbeg&lt;=A134,mthend&gt;=A134),1,0)</f>
        <v>0</v>
      </c>
      <c r="AA134" s="5" t="n">
        <f aca="false">U134*Z134</f>
        <v>0</v>
      </c>
      <c r="AC134" s="115" t="n">
        <f aca="false">IF(G127=2,F134*(S134-Q134),F134*(Q134-S134))</f>
        <v>0</v>
      </c>
      <c r="AE134" s="116" t="n">
        <f aca="false">IF($G$3=1,F134*(R134-Q134),F134*(Q134-R134))</f>
        <v>0</v>
      </c>
      <c r="AG134" s="116" t="n">
        <f aca="false">AC134+AE134</f>
        <v>0</v>
      </c>
    </row>
    <row r="135" customFormat="false" ht="12.75" hidden="false" customHeight="false" outlineLevel="0" collapsed="false">
      <c r="A135" s="120" t="n">
        <f aca="false">EDATE(A134,1)</f>
        <v>41091</v>
      </c>
      <c r="B135" s="121" t="n">
        <v>0</v>
      </c>
      <c r="C135" s="122"/>
      <c r="D135" s="123" t="n">
        <f aca="false">B135+C135</f>
        <v>0</v>
      </c>
      <c r="E135" s="111" t="n">
        <f aca="false">IF(Z135=0,0,IF(AND(Z135=1,$H$3=1),D135*U135,IF($H$3=2,D135,"N/A")))</f>
        <v>0</v>
      </c>
      <c r="F135" s="111" t="n">
        <f aca="false">E135*Y135</f>
        <v>0</v>
      </c>
      <c r="G135" s="124" t="n">
        <f aca="false">VLOOKUP($A135,Table,MATCH(G$4,Curves,0))</f>
        <v>3</v>
      </c>
      <c r="H135" s="125" t="n">
        <f aca="false">G135+$H$7</f>
        <v>3</v>
      </c>
      <c r="I135" s="124" t="n">
        <f aca="false">H135</f>
        <v>3</v>
      </c>
      <c r="J135" s="124" t="n">
        <f aca="false">VLOOKUP($A135,Table,MATCH(J$4,Curves,0))</f>
        <v>4</v>
      </c>
      <c r="K135" s="125" t="n">
        <f aca="false">J135+$K$7</f>
        <v>4</v>
      </c>
      <c r="L135" s="126" t="n">
        <f aca="false">K135</f>
        <v>4</v>
      </c>
      <c r="M135" s="124" t="n">
        <f aca="false">VLOOKUP($A135,Table,MATCH(M$4,Curves,0))</f>
        <v>4</v>
      </c>
      <c r="N135" s="125" t="n">
        <f aca="false">M135+$N$7</f>
        <v>4</v>
      </c>
      <c r="O135" s="126" t="n">
        <f aca="false">IF(B135&gt;0,(1000/B135*0.25)+((B135-1000)/B135*0.12),0)</f>
        <v>0</v>
      </c>
      <c r="P135" s="114"/>
      <c r="Q135" s="126" t="n">
        <f aca="false">M135+J135+G135</f>
        <v>11</v>
      </c>
      <c r="R135" s="126" t="n">
        <f aca="false">N135+K135+H135</f>
        <v>11</v>
      </c>
      <c r="S135" s="126" t="n">
        <f aca="false">O135+L135+I135</f>
        <v>7</v>
      </c>
      <c r="T135" s="127"/>
      <c r="U135" s="5" t="n">
        <f aca="false">A136-A135</f>
        <v>31</v>
      </c>
      <c r="V135" s="128" t="n">
        <f aca="false">CHOOSE(F$3,A136+24,A135)</f>
        <v>41091</v>
      </c>
      <c r="W135" s="5" t="n">
        <f aca="false">V135-C$3</f>
        <v>3860</v>
      </c>
      <c r="X135" s="124" t="n">
        <f aca="false">VLOOKUP($A135,Table,MATCH(X$4,Curves,0))</f>
        <v>2</v>
      </c>
      <c r="Y135" s="129" t="n">
        <f aca="false">1/(1+CHOOSE(F$3,(X136+($K$3/10000))/2,(X135+($K$3/10000))/2))^(2*W135/365.25)</f>
        <v>4.33877745005368E-007</v>
      </c>
      <c r="Z135" s="5" t="n">
        <f aca="false">IF(AND(mthbeg&lt;=A135,mthend&gt;=A135),1,0)</f>
        <v>0</v>
      </c>
      <c r="AA135" s="5" t="n">
        <f aca="false">U135*Z135</f>
        <v>0</v>
      </c>
      <c r="AC135" s="115" t="n">
        <f aca="false">IF(G128=2,F135*(S135-Q135),F135*(Q135-S135))</f>
        <v>0</v>
      </c>
      <c r="AE135" s="116" t="n">
        <f aca="false">IF($G$3=1,F135*(R135-Q135),F135*(Q135-R135))</f>
        <v>0</v>
      </c>
      <c r="AG135" s="116" t="n">
        <f aca="false">AC135+AE135</f>
        <v>0</v>
      </c>
    </row>
    <row r="136" customFormat="false" ht="12.75" hidden="false" customHeight="false" outlineLevel="0" collapsed="false">
      <c r="A136" s="120" t="n">
        <f aca="false">EDATE(A135,1)</f>
        <v>41122</v>
      </c>
      <c r="B136" s="121" t="n">
        <v>0</v>
      </c>
      <c r="C136" s="122"/>
      <c r="D136" s="123" t="n">
        <f aca="false">B136+C136</f>
        <v>0</v>
      </c>
      <c r="E136" s="111" t="n">
        <f aca="false">IF(Z136=0,0,IF(AND(Z136=1,$H$3=1),D136*U136,IF($H$3=2,D136,"N/A")))</f>
        <v>0</v>
      </c>
      <c r="F136" s="111" t="n">
        <f aca="false">E136*Y136</f>
        <v>0</v>
      </c>
      <c r="G136" s="124" t="n">
        <f aca="false">VLOOKUP($A136,Table,MATCH(G$4,Curves,0))</f>
        <v>3</v>
      </c>
      <c r="H136" s="125" t="n">
        <f aca="false">G136+$H$7</f>
        <v>3</v>
      </c>
      <c r="I136" s="124" t="n">
        <f aca="false">H136</f>
        <v>3</v>
      </c>
      <c r="J136" s="124" t="n">
        <f aca="false">VLOOKUP($A136,Table,MATCH(J$4,Curves,0))</f>
        <v>4</v>
      </c>
      <c r="K136" s="125" t="n">
        <f aca="false">J136+$K$7</f>
        <v>4</v>
      </c>
      <c r="L136" s="126" t="n">
        <f aca="false">K136</f>
        <v>4</v>
      </c>
      <c r="M136" s="124" t="n">
        <f aca="false">VLOOKUP($A136,Table,MATCH(M$4,Curves,0))</f>
        <v>4</v>
      </c>
      <c r="N136" s="125" t="n">
        <f aca="false">M136+$N$7</f>
        <v>4</v>
      </c>
      <c r="O136" s="126" t="n">
        <f aca="false">IF(B136&gt;0,(1000/B136*0.25)+((B136-1000)/B136*0.12),0)</f>
        <v>0</v>
      </c>
      <c r="P136" s="114"/>
      <c r="Q136" s="126" t="n">
        <f aca="false">M136+J136+G136</f>
        <v>11</v>
      </c>
      <c r="R136" s="126" t="n">
        <f aca="false">N136+K136+H136</f>
        <v>11</v>
      </c>
      <c r="S136" s="126" t="n">
        <f aca="false">O136+L136+I136</f>
        <v>7</v>
      </c>
      <c r="T136" s="127"/>
      <c r="U136" s="5" t="n">
        <f aca="false">A137-A136</f>
        <v>31</v>
      </c>
      <c r="V136" s="128" t="n">
        <f aca="false">CHOOSE(F$3,A137+24,A136)</f>
        <v>41122</v>
      </c>
      <c r="W136" s="5" t="n">
        <f aca="false">V136-C$3</f>
        <v>3891</v>
      </c>
      <c r="X136" s="124" t="n">
        <f aca="false">VLOOKUP($A136,Table,MATCH(X$4,Curves,0))</f>
        <v>2</v>
      </c>
      <c r="Y136" s="129" t="n">
        <f aca="false">1/(1+CHOOSE(F$3,(X137+($K$3/10000))/2,(X136+($K$3/10000))/2))^(2*W136/365.25)</f>
        <v>3.85716761083289E-007</v>
      </c>
      <c r="Z136" s="5" t="n">
        <f aca="false">IF(AND(mthbeg&lt;=A136,mthend&gt;=A136),1,0)</f>
        <v>0</v>
      </c>
      <c r="AA136" s="5" t="n">
        <f aca="false">U136*Z136</f>
        <v>0</v>
      </c>
      <c r="AC136" s="115" t="n">
        <f aca="false">IF(G129=2,F136*(S136-Q136),F136*(Q136-S136))</f>
        <v>0</v>
      </c>
      <c r="AE136" s="116" t="n">
        <f aca="false">IF($G$3=1,F136*(R136-Q136),F136*(Q136-R136))</f>
        <v>0</v>
      </c>
      <c r="AG136" s="116" t="n">
        <f aca="false">AC136+AE136</f>
        <v>0</v>
      </c>
    </row>
    <row r="137" customFormat="false" ht="12.75" hidden="false" customHeight="false" outlineLevel="0" collapsed="false">
      <c r="A137" s="120" t="n">
        <f aca="false">EDATE(A136,1)</f>
        <v>41153</v>
      </c>
      <c r="B137" s="121" t="n">
        <v>0</v>
      </c>
      <c r="C137" s="122"/>
      <c r="D137" s="123" t="n">
        <f aca="false">B137+C137</f>
        <v>0</v>
      </c>
      <c r="E137" s="111" t="n">
        <f aca="false">IF(Z137=0,0,IF(AND(Z137=1,$H$3=1),D137*U137,IF($H$3=2,D137,"N/A")))</f>
        <v>0</v>
      </c>
      <c r="F137" s="111" t="n">
        <f aca="false">E137*Y137</f>
        <v>0</v>
      </c>
      <c r="G137" s="124" t="n">
        <f aca="false">VLOOKUP($A137,Table,MATCH(G$4,Curves,0))</f>
        <v>3</v>
      </c>
      <c r="H137" s="125" t="n">
        <f aca="false">G137+$H$7</f>
        <v>3</v>
      </c>
      <c r="I137" s="124" t="n">
        <f aca="false">H137</f>
        <v>3</v>
      </c>
      <c r="J137" s="124" t="n">
        <f aca="false">VLOOKUP($A137,Table,MATCH(J$4,Curves,0))</f>
        <v>4</v>
      </c>
      <c r="K137" s="125" t="n">
        <f aca="false">J137+$K$7</f>
        <v>4</v>
      </c>
      <c r="L137" s="126" t="n">
        <f aca="false">K137</f>
        <v>4</v>
      </c>
      <c r="M137" s="124" t="n">
        <f aca="false">VLOOKUP($A137,Table,MATCH(M$4,Curves,0))</f>
        <v>4</v>
      </c>
      <c r="N137" s="125" t="n">
        <f aca="false">M137+$N$7</f>
        <v>4</v>
      </c>
      <c r="O137" s="126" t="n">
        <f aca="false">IF(B137&gt;0,(1000/B137*0.25)+((B137-1000)/B137*0.12),0)</f>
        <v>0</v>
      </c>
      <c r="P137" s="114"/>
      <c r="Q137" s="126" t="n">
        <f aca="false">M137+J137+G137</f>
        <v>11</v>
      </c>
      <c r="R137" s="126" t="n">
        <f aca="false">N137+K137+H137</f>
        <v>11</v>
      </c>
      <c r="S137" s="126" t="n">
        <f aca="false">O137+L137+I137</f>
        <v>7</v>
      </c>
      <c r="T137" s="127"/>
      <c r="U137" s="5" t="n">
        <f aca="false">A138-A137</f>
        <v>30</v>
      </c>
      <c r="V137" s="128" t="n">
        <f aca="false">CHOOSE(F$3,A138+24,A137)</f>
        <v>41153</v>
      </c>
      <c r="W137" s="5" t="n">
        <f aca="false">V137-C$3</f>
        <v>3922</v>
      </c>
      <c r="X137" s="124" t="n">
        <f aca="false">VLOOKUP($A137,Table,MATCH(X$4,Curves,0))</f>
        <v>2</v>
      </c>
      <c r="Y137" s="129" t="n">
        <f aca="false">1/(1+CHOOSE(F$3,(X138+($K$3/10000))/2,(X137+($K$3/10000))/2))^(2*W137/365.25)</f>
        <v>3.42901707896407E-007</v>
      </c>
      <c r="Z137" s="5" t="n">
        <f aca="false">IF(AND(mthbeg&lt;=A137,mthend&gt;=A137),1,0)</f>
        <v>0</v>
      </c>
      <c r="AA137" s="5" t="n">
        <f aca="false">U137*Z137</f>
        <v>0</v>
      </c>
      <c r="AC137" s="115" t="n">
        <f aca="false">IF(G130=2,F137*(S137-Q137),F137*(Q137-S137))</f>
        <v>0</v>
      </c>
      <c r="AE137" s="116" t="n">
        <f aca="false">IF($G$3=1,F137*(R137-Q137),F137*(Q137-R137))</f>
        <v>0</v>
      </c>
      <c r="AG137" s="116" t="n">
        <f aca="false">AC137+AE137</f>
        <v>0</v>
      </c>
    </row>
    <row r="138" customFormat="false" ht="12.75" hidden="false" customHeight="false" outlineLevel="0" collapsed="false">
      <c r="A138" s="120" t="n">
        <f aca="false">EDATE(A137,1)</f>
        <v>41183</v>
      </c>
      <c r="B138" s="121" t="n">
        <v>0</v>
      </c>
      <c r="C138" s="122"/>
      <c r="D138" s="123" t="n">
        <f aca="false">B138+C138</f>
        <v>0</v>
      </c>
      <c r="E138" s="111" t="n">
        <f aca="false">IF(Z138=0,0,IF(AND(Z138=1,$H$3=1),D138*U138,IF($H$3=2,D138,"N/A")))</f>
        <v>0</v>
      </c>
      <c r="F138" s="111" t="n">
        <f aca="false">E138*Y138</f>
        <v>0</v>
      </c>
      <c r="G138" s="124" t="n">
        <f aca="false">VLOOKUP($A138,Table,MATCH(G$4,Curves,0))</f>
        <v>3</v>
      </c>
      <c r="H138" s="125" t="n">
        <f aca="false">G138+$H$7</f>
        <v>3</v>
      </c>
      <c r="I138" s="124" t="n">
        <f aca="false">H138</f>
        <v>3</v>
      </c>
      <c r="J138" s="124" t="n">
        <f aca="false">VLOOKUP($A138,Table,MATCH(J$4,Curves,0))</f>
        <v>4</v>
      </c>
      <c r="K138" s="125" t="n">
        <f aca="false">J138+$K$7</f>
        <v>4</v>
      </c>
      <c r="L138" s="126" t="n">
        <f aca="false">K138</f>
        <v>4</v>
      </c>
      <c r="M138" s="124" t="n">
        <f aca="false">VLOOKUP($A138,Table,MATCH(M$4,Curves,0))</f>
        <v>4</v>
      </c>
      <c r="N138" s="125" t="n">
        <f aca="false">M138+$N$7</f>
        <v>4</v>
      </c>
      <c r="O138" s="126" t="n">
        <f aca="false">IF(B138&gt;0,(1000/B138*0.25)+((B138-1000)/B138*0.12),0)</f>
        <v>0</v>
      </c>
      <c r="P138" s="114"/>
      <c r="Q138" s="126" t="n">
        <f aca="false">M138+J138+G138</f>
        <v>11</v>
      </c>
      <c r="R138" s="126" t="n">
        <f aca="false">N138+K138+H138</f>
        <v>11</v>
      </c>
      <c r="S138" s="126" t="n">
        <f aca="false">O138+L138+I138</f>
        <v>7</v>
      </c>
      <c r="T138" s="127"/>
      <c r="U138" s="5" t="n">
        <f aca="false">A139-A138</f>
        <v>31</v>
      </c>
      <c r="V138" s="128" t="n">
        <f aca="false">CHOOSE(F$3,A139+24,A138)</f>
        <v>41183</v>
      </c>
      <c r="W138" s="5" t="n">
        <f aca="false">V138-C$3</f>
        <v>3952</v>
      </c>
      <c r="X138" s="124" t="n">
        <f aca="false">VLOOKUP($A138,Table,MATCH(X$4,Curves,0))</f>
        <v>2</v>
      </c>
      <c r="Y138" s="129" t="n">
        <f aca="false">1/(1+CHOOSE(F$3,(X139+($K$3/10000))/2,(X138+($K$3/10000))/2))^(2*W138/365.25)</f>
        <v>3.05998385858038E-007</v>
      </c>
      <c r="Z138" s="5" t="n">
        <f aca="false">IF(AND(mthbeg&lt;=A138,mthend&gt;=A138),1,0)</f>
        <v>0</v>
      </c>
      <c r="AA138" s="5" t="n">
        <f aca="false">U138*Z138</f>
        <v>0</v>
      </c>
      <c r="AC138" s="115" t="n">
        <f aca="false">IF(G131=2,F138*(S138-Q138),F138*(Q138-S138))</f>
        <v>0</v>
      </c>
      <c r="AE138" s="116" t="n">
        <f aca="false">IF($G$3=1,F138*(R138-Q138),F138*(Q138-R138))</f>
        <v>0</v>
      </c>
      <c r="AG138" s="116" t="n">
        <f aca="false">AC138+AE138</f>
        <v>0</v>
      </c>
    </row>
    <row r="139" customFormat="false" ht="12.75" hidden="false" customHeight="false" outlineLevel="0" collapsed="false">
      <c r="A139" s="120" t="n">
        <f aca="false">EDATE(A138,1)</f>
        <v>41214</v>
      </c>
      <c r="B139" s="121" t="n">
        <v>0</v>
      </c>
      <c r="C139" s="122"/>
      <c r="D139" s="123" t="n">
        <f aca="false">B139+C139</f>
        <v>0</v>
      </c>
      <c r="E139" s="111" t="n">
        <f aca="false">IF(Z139=0,0,IF(AND(Z139=1,$H$3=1),D139*U139,IF($H$3=2,D139,"N/A")))</f>
        <v>0</v>
      </c>
      <c r="F139" s="111" t="n">
        <f aca="false">E139*Y139</f>
        <v>0</v>
      </c>
      <c r="G139" s="124" t="n">
        <f aca="false">VLOOKUP($A139,Table,MATCH(G$4,Curves,0))</f>
        <v>3</v>
      </c>
      <c r="H139" s="125" t="n">
        <f aca="false">G139+$H$7</f>
        <v>3</v>
      </c>
      <c r="I139" s="124" t="n">
        <f aca="false">H139</f>
        <v>3</v>
      </c>
      <c r="J139" s="124" t="n">
        <f aca="false">VLOOKUP($A139,Table,MATCH(J$4,Curves,0))</f>
        <v>4</v>
      </c>
      <c r="K139" s="125" t="n">
        <f aca="false">J139+$K$7</f>
        <v>4</v>
      </c>
      <c r="L139" s="126" t="n">
        <f aca="false">K139</f>
        <v>4</v>
      </c>
      <c r="M139" s="124" t="n">
        <f aca="false">VLOOKUP($A139,Table,MATCH(M$4,Curves,0))</f>
        <v>4</v>
      </c>
      <c r="N139" s="125" t="n">
        <f aca="false">M139+$N$7</f>
        <v>4</v>
      </c>
      <c r="O139" s="126" t="n">
        <f aca="false">IF(B139&gt;0,(1000/B139*0.25)+((B139-1000)/B139*0.12),0)</f>
        <v>0</v>
      </c>
      <c r="P139" s="114"/>
      <c r="Q139" s="126" t="n">
        <f aca="false">M139+J139+G139</f>
        <v>11</v>
      </c>
      <c r="R139" s="126" t="n">
        <f aca="false">N139+K139+H139</f>
        <v>11</v>
      </c>
      <c r="S139" s="126" t="n">
        <f aca="false">O139+L139+I139</f>
        <v>7</v>
      </c>
      <c r="T139" s="127"/>
      <c r="U139" s="5" t="n">
        <f aca="false">A140-A139</f>
        <v>30</v>
      </c>
      <c r="V139" s="128" t="n">
        <f aca="false">CHOOSE(F$3,A140+24,A139)</f>
        <v>41214</v>
      </c>
      <c r="W139" s="5" t="n">
        <f aca="false">V139-C$3</f>
        <v>3983</v>
      </c>
      <c r="X139" s="124" t="n">
        <f aca="false">VLOOKUP($A139,Table,MATCH(X$4,Curves,0))</f>
        <v>2</v>
      </c>
      <c r="Y139" s="129" t="n">
        <f aca="false">1/(1+CHOOSE(F$3,(X140+($K$3/10000))/2,(X139+($K$3/10000))/2))^(2*W139/365.25)</f>
        <v>2.72032174151768E-007</v>
      </c>
      <c r="Z139" s="5" t="n">
        <f aca="false">IF(AND(mthbeg&lt;=A139,mthend&gt;=A139),1,0)</f>
        <v>0</v>
      </c>
      <c r="AA139" s="5" t="n">
        <f aca="false">U139*Z139</f>
        <v>0</v>
      </c>
      <c r="AC139" s="115" t="n">
        <f aca="false">IF(G132=2,F139*(S139-Q139),F139*(Q139-S139))</f>
        <v>0</v>
      </c>
      <c r="AE139" s="116" t="n">
        <f aca="false">IF($G$3=1,F139*(R139-Q139),F139*(Q139-R139))</f>
        <v>0</v>
      </c>
      <c r="AG139" s="116" t="n">
        <f aca="false">AC139+AE139</f>
        <v>0</v>
      </c>
    </row>
    <row r="140" customFormat="false" ht="12.75" hidden="false" customHeight="false" outlineLevel="0" collapsed="false">
      <c r="A140" s="120" t="n">
        <f aca="false">EDATE(A139,1)</f>
        <v>41244</v>
      </c>
      <c r="B140" s="121" t="n">
        <v>0</v>
      </c>
      <c r="C140" s="122"/>
      <c r="D140" s="123" t="n">
        <f aca="false">B140+C140</f>
        <v>0</v>
      </c>
      <c r="E140" s="111" t="n">
        <f aca="false">IF(Z140=0,0,IF(AND(Z140=1,$H$3=1),D140*U140,IF($H$3=2,D140,"N/A")))</f>
        <v>0</v>
      </c>
      <c r="F140" s="111" t="n">
        <f aca="false">E140*Y140</f>
        <v>0</v>
      </c>
      <c r="G140" s="124" t="n">
        <f aca="false">VLOOKUP($A140,Table,MATCH(G$4,Curves,0))</f>
        <v>3</v>
      </c>
      <c r="H140" s="125" t="n">
        <f aca="false">G140+$H$7</f>
        <v>3</v>
      </c>
      <c r="I140" s="124" t="n">
        <f aca="false">H140</f>
        <v>3</v>
      </c>
      <c r="J140" s="124" t="n">
        <f aca="false">VLOOKUP($A140,Table,MATCH(J$4,Curves,0))</f>
        <v>4</v>
      </c>
      <c r="K140" s="125" t="n">
        <f aca="false">J140+$K$7</f>
        <v>4</v>
      </c>
      <c r="L140" s="126" t="n">
        <f aca="false">K140</f>
        <v>4</v>
      </c>
      <c r="M140" s="124" t="n">
        <f aca="false">VLOOKUP($A140,Table,MATCH(M$4,Curves,0))</f>
        <v>4</v>
      </c>
      <c r="N140" s="125" t="n">
        <f aca="false">M140+$N$7</f>
        <v>4</v>
      </c>
      <c r="O140" s="126" t="n">
        <f aca="false">IF(B140&gt;0,(1000/B140*0.25)+((B140-1000)/B140*0.12),0)</f>
        <v>0</v>
      </c>
      <c r="P140" s="114"/>
      <c r="Q140" s="126" t="n">
        <f aca="false">M140+J140+G140</f>
        <v>11</v>
      </c>
      <c r="R140" s="126" t="n">
        <f aca="false">N140+K140+H140</f>
        <v>11</v>
      </c>
      <c r="S140" s="126" t="n">
        <f aca="false">O140+L140+I140</f>
        <v>7</v>
      </c>
      <c r="T140" s="127"/>
      <c r="U140" s="5" t="n">
        <f aca="false">A141-A140</f>
        <v>31</v>
      </c>
      <c r="V140" s="128" t="n">
        <f aca="false">CHOOSE(F$3,A141+24,A140)</f>
        <v>41244</v>
      </c>
      <c r="W140" s="5" t="n">
        <f aca="false">V140-C$3</f>
        <v>4013</v>
      </c>
      <c r="X140" s="124" t="n">
        <f aca="false">VLOOKUP($A140,Table,MATCH(X$4,Curves,0))</f>
        <v>2</v>
      </c>
      <c r="Y140" s="129" t="n">
        <f aca="false">1/(1+CHOOSE(F$3,(X141+($K$3/10000))/2,(X140+($K$3/10000))/2))^(2*W140/365.25)</f>
        <v>2.42755880985699E-007</v>
      </c>
      <c r="Z140" s="5" t="n">
        <f aca="false">IF(AND(mthbeg&lt;=A140,mthend&gt;=A140),1,0)</f>
        <v>0</v>
      </c>
      <c r="AA140" s="5" t="n">
        <f aca="false">U140*Z140</f>
        <v>0</v>
      </c>
      <c r="AC140" s="115" t="n">
        <f aca="false">IF(G133=2,F140*(S140-Q140),F140*(Q140-S140))</f>
        <v>0</v>
      </c>
      <c r="AE140" s="116" t="n">
        <f aca="false">IF($G$3=1,F140*(R140-Q140),F140*(Q140-R140))</f>
        <v>0</v>
      </c>
      <c r="AG140" s="116" t="n">
        <f aca="false">AC140+AE140</f>
        <v>0</v>
      </c>
    </row>
    <row r="141" customFormat="false" ht="12.75" hidden="false" customHeight="false" outlineLevel="0" collapsed="false">
      <c r="A141" s="120" t="n">
        <f aca="false">EDATE(A140,1)</f>
        <v>41275</v>
      </c>
      <c r="B141" s="121" t="n">
        <v>0</v>
      </c>
      <c r="C141" s="122"/>
      <c r="D141" s="123" t="n">
        <f aca="false">B141+C141</f>
        <v>0</v>
      </c>
      <c r="E141" s="111" t="n">
        <f aca="false">IF(Z141=0,0,IF(AND(Z141=1,$H$3=1),D141*U141,IF($H$3=2,D141,"N/A")))</f>
        <v>0</v>
      </c>
      <c r="F141" s="111" t="n">
        <f aca="false">E141*Y141</f>
        <v>0</v>
      </c>
      <c r="G141" s="124" t="n">
        <f aca="false">VLOOKUP($A141,Table,MATCH(G$4,Curves,0))</f>
        <v>3</v>
      </c>
      <c r="H141" s="125" t="n">
        <f aca="false">G141+$H$7</f>
        <v>3</v>
      </c>
      <c r="I141" s="124" t="n">
        <f aca="false">H141</f>
        <v>3</v>
      </c>
      <c r="J141" s="124" t="n">
        <f aca="false">VLOOKUP($A141,Table,MATCH(J$4,Curves,0))</f>
        <v>4</v>
      </c>
      <c r="K141" s="125" t="n">
        <f aca="false">J141+$K$7</f>
        <v>4</v>
      </c>
      <c r="L141" s="126" t="n">
        <f aca="false">K141</f>
        <v>4</v>
      </c>
      <c r="M141" s="124" t="n">
        <f aca="false">VLOOKUP($A141,Table,MATCH(M$4,Curves,0))</f>
        <v>4</v>
      </c>
      <c r="N141" s="125" t="n">
        <f aca="false">M141+$N$7</f>
        <v>4</v>
      </c>
      <c r="O141" s="126" t="n">
        <f aca="false">IF(B141&gt;0,(1000/B141*0.25)+((B141-1000)/B141*0.12),0)</f>
        <v>0</v>
      </c>
      <c r="P141" s="114"/>
      <c r="Q141" s="126" t="n">
        <f aca="false">M141+J141+G141</f>
        <v>11</v>
      </c>
      <c r="R141" s="126" t="n">
        <f aca="false">N141+K141+H141</f>
        <v>11</v>
      </c>
      <c r="S141" s="126" t="n">
        <f aca="false">O141+L141+I141</f>
        <v>7</v>
      </c>
      <c r="T141" s="127"/>
      <c r="U141" s="5" t="n">
        <f aca="false">A142-A141</f>
        <v>31</v>
      </c>
      <c r="V141" s="128" t="n">
        <f aca="false">CHOOSE(F$3,A142+24,A141)</f>
        <v>41275</v>
      </c>
      <c r="W141" s="5" t="n">
        <f aca="false">V141-C$3</f>
        <v>4044</v>
      </c>
      <c r="X141" s="124" t="n">
        <f aca="false">VLOOKUP($A141,Table,MATCH(X$4,Curves,0))</f>
        <v>2</v>
      </c>
      <c r="Y141" s="129" t="n">
        <f aca="false">1/(1+CHOOSE(F$3,(X142+($K$3/10000))/2,(X141+($K$3/10000))/2))^(2*W141/365.25)</f>
        <v>2.15809668104931E-007</v>
      </c>
      <c r="Z141" s="5" t="n">
        <f aca="false">IF(AND(mthbeg&lt;=A141,mthend&gt;=A141),1,0)</f>
        <v>0</v>
      </c>
      <c r="AA141" s="5" t="n">
        <f aca="false">U141*Z141</f>
        <v>0</v>
      </c>
      <c r="AC141" s="115" t="n">
        <f aca="false">IF(G134=2,F141*(S141-Q141),F141*(Q141-S141))</f>
        <v>0</v>
      </c>
      <c r="AE141" s="116" t="n">
        <f aca="false">IF($G$3=1,F141*(R141-Q141),F141*(Q141-R141))</f>
        <v>0</v>
      </c>
      <c r="AG141" s="116" t="n">
        <f aca="false">AC141+AE141</f>
        <v>0</v>
      </c>
    </row>
    <row r="142" customFormat="false" ht="12.75" hidden="false" customHeight="false" outlineLevel="0" collapsed="false">
      <c r="A142" s="120" t="n">
        <f aca="false">EDATE(A141,1)</f>
        <v>41306</v>
      </c>
      <c r="B142" s="121" t="n">
        <v>0</v>
      </c>
      <c r="C142" s="122"/>
      <c r="D142" s="123" t="n">
        <f aca="false">B142+C142</f>
        <v>0</v>
      </c>
      <c r="E142" s="111" t="n">
        <f aca="false">IF(Z142=0,0,IF(AND(Z142=1,$H$3=1),D142*U142,IF($H$3=2,D142,"N/A")))</f>
        <v>0</v>
      </c>
      <c r="F142" s="111" t="n">
        <f aca="false">E142*Y142</f>
        <v>0</v>
      </c>
      <c r="G142" s="124" t="n">
        <f aca="false">VLOOKUP($A142,Table,MATCH(G$4,Curves,0))</f>
        <v>3</v>
      </c>
      <c r="H142" s="125" t="n">
        <f aca="false">G142+$H$7</f>
        <v>3</v>
      </c>
      <c r="I142" s="124" t="n">
        <f aca="false">H142</f>
        <v>3</v>
      </c>
      <c r="J142" s="124" t="n">
        <f aca="false">VLOOKUP($A142,Table,MATCH(J$4,Curves,0))</f>
        <v>4</v>
      </c>
      <c r="K142" s="125" t="n">
        <f aca="false">J142+$K$7</f>
        <v>4</v>
      </c>
      <c r="L142" s="126" t="n">
        <f aca="false">K142</f>
        <v>4</v>
      </c>
      <c r="M142" s="124" t="n">
        <f aca="false">VLOOKUP($A142,Table,MATCH(M$4,Curves,0))</f>
        <v>4</v>
      </c>
      <c r="N142" s="125" t="n">
        <f aca="false">M142+$N$7</f>
        <v>4</v>
      </c>
      <c r="O142" s="126" t="n">
        <f aca="false">IF(B142&gt;0,(1000/B142*0.25)+((B142-1000)/B142*0.12),0)</f>
        <v>0</v>
      </c>
      <c r="P142" s="114"/>
      <c r="Q142" s="126" t="n">
        <f aca="false">M142+J142+G142</f>
        <v>11</v>
      </c>
      <c r="R142" s="126" t="n">
        <f aca="false">N142+K142+H142</f>
        <v>11</v>
      </c>
      <c r="S142" s="126" t="n">
        <f aca="false">O142+L142+I142</f>
        <v>7</v>
      </c>
      <c r="T142" s="127"/>
      <c r="U142" s="5" t="n">
        <f aca="false">A143-A142</f>
        <v>28</v>
      </c>
      <c r="V142" s="128" t="n">
        <f aca="false">CHOOSE(F$3,A143+24,A142)</f>
        <v>41306</v>
      </c>
      <c r="W142" s="5" t="n">
        <f aca="false">V142-C$3</f>
        <v>4075</v>
      </c>
      <c r="X142" s="124" t="n">
        <f aca="false">VLOOKUP($A142,Table,MATCH(X$4,Curves,0))</f>
        <v>2</v>
      </c>
      <c r="Y142" s="129" t="n">
        <f aca="false">1/(1+CHOOSE(F$3,(X143+($K$3/10000))/2,(X142+($K$3/10000))/2))^(2*W142/365.25)</f>
        <v>1.91854519274464E-007</v>
      </c>
      <c r="Z142" s="5" t="n">
        <f aca="false">IF(AND(mthbeg&lt;=A142,mthend&gt;=A142),1,0)</f>
        <v>0</v>
      </c>
      <c r="AA142" s="5" t="n">
        <f aca="false">U142*Z142</f>
        <v>0</v>
      </c>
      <c r="AC142" s="115" t="n">
        <f aca="false">IF(G135=2,F142*(S142-Q142),F142*(Q142-S142))</f>
        <v>0</v>
      </c>
      <c r="AE142" s="116" t="n">
        <f aca="false">IF($G$3=1,F142*(R142-Q142),F142*(Q142-R142))</f>
        <v>0</v>
      </c>
      <c r="AG142" s="116" t="n">
        <f aca="false">AC142+AE142</f>
        <v>0</v>
      </c>
    </row>
    <row r="143" customFormat="false" ht="12.75" hidden="false" customHeight="false" outlineLevel="0" collapsed="false">
      <c r="A143" s="120" t="n">
        <f aca="false">EDATE(A142,1)</f>
        <v>41334</v>
      </c>
      <c r="B143" s="121" t="n">
        <v>0</v>
      </c>
      <c r="C143" s="122"/>
      <c r="D143" s="123" t="n">
        <f aca="false">B143+C143</f>
        <v>0</v>
      </c>
      <c r="E143" s="111" t="n">
        <f aca="false">IF(Z143=0,0,IF(AND(Z143=1,$H$3=1),D143*U143,IF($H$3=2,D143,"N/A")))</f>
        <v>0</v>
      </c>
      <c r="F143" s="111" t="n">
        <f aca="false">E143*Y143</f>
        <v>0</v>
      </c>
      <c r="G143" s="124" t="n">
        <f aca="false">VLOOKUP($A143,Table,MATCH(G$4,Curves,0))</f>
        <v>3</v>
      </c>
      <c r="H143" s="125" t="n">
        <f aca="false">G143+$H$7</f>
        <v>3</v>
      </c>
      <c r="I143" s="124" t="n">
        <f aca="false">H143</f>
        <v>3</v>
      </c>
      <c r="J143" s="124" t="n">
        <f aca="false">VLOOKUP($A143,Table,MATCH(J$4,Curves,0))</f>
        <v>4</v>
      </c>
      <c r="K143" s="125" t="n">
        <f aca="false">J143+$K$7</f>
        <v>4</v>
      </c>
      <c r="L143" s="126" t="n">
        <f aca="false">K143</f>
        <v>4</v>
      </c>
      <c r="M143" s="124" t="n">
        <f aca="false">VLOOKUP($A143,Table,MATCH(M$4,Curves,0))</f>
        <v>4</v>
      </c>
      <c r="N143" s="125" t="n">
        <f aca="false">M143+$N$7</f>
        <v>4</v>
      </c>
      <c r="O143" s="126" t="n">
        <f aca="false">IF(B143&gt;0,(1000/B143*0.25)+((B143-1000)/B143*0.12),0)</f>
        <v>0</v>
      </c>
      <c r="P143" s="114"/>
      <c r="Q143" s="126" t="n">
        <f aca="false">M143+J143+G143</f>
        <v>11</v>
      </c>
      <c r="R143" s="126" t="n">
        <f aca="false">N143+K143+H143</f>
        <v>11</v>
      </c>
      <c r="S143" s="126" t="n">
        <f aca="false">O143+L143+I143</f>
        <v>7</v>
      </c>
      <c r="T143" s="127"/>
      <c r="U143" s="5" t="n">
        <f aca="false">A144-A143</f>
        <v>31</v>
      </c>
      <c r="V143" s="128" t="n">
        <f aca="false">CHOOSE(F$3,A144+24,A143)</f>
        <v>41334</v>
      </c>
      <c r="W143" s="5" t="n">
        <f aca="false">V143-C$3</f>
        <v>4103</v>
      </c>
      <c r="X143" s="124" t="n">
        <f aca="false">VLOOKUP($A143,Table,MATCH(X$4,Curves,0))</f>
        <v>2</v>
      </c>
      <c r="Y143" s="129" t="n">
        <f aca="false">1/(1+CHOOSE(F$3,(X144+($K$3/10000))/2,(X143+($K$3/10000))/2))^(2*W143/365.25)</f>
        <v>1.72511567757813E-007</v>
      </c>
      <c r="Z143" s="5" t="n">
        <f aca="false">IF(AND(mthbeg&lt;=A143,mthend&gt;=A143),1,0)</f>
        <v>0</v>
      </c>
      <c r="AA143" s="5" t="n">
        <f aca="false">U143*Z143</f>
        <v>0</v>
      </c>
      <c r="AC143" s="115" t="n">
        <f aca="false">IF(G136=2,F143*(S143-Q143),F143*(Q143-S143))</f>
        <v>0</v>
      </c>
      <c r="AE143" s="116" t="n">
        <f aca="false">IF($G$3=1,F143*(R143-Q143),F143*(Q143-R143))</f>
        <v>0</v>
      </c>
      <c r="AG143" s="116" t="n">
        <f aca="false">AC143+AE143</f>
        <v>0</v>
      </c>
    </row>
    <row r="144" customFormat="false" ht="12.75" hidden="false" customHeight="false" outlineLevel="0" collapsed="false">
      <c r="A144" s="120" t="n">
        <f aca="false">EDATE(A143,1)</f>
        <v>41365</v>
      </c>
      <c r="B144" s="121" t="n">
        <v>0</v>
      </c>
      <c r="C144" s="122"/>
      <c r="D144" s="123" t="n">
        <f aca="false">B144+C144</f>
        <v>0</v>
      </c>
      <c r="E144" s="111" t="n">
        <f aca="false">IF(Z144=0,0,IF(AND(Z144=1,$H$3=1),D144*U144,IF($H$3=2,D144,"N/A")))</f>
        <v>0</v>
      </c>
      <c r="F144" s="111" t="n">
        <f aca="false">E144*Y144</f>
        <v>0</v>
      </c>
      <c r="G144" s="124" t="n">
        <f aca="false">VLOOKUP($A144,Table,MATCH(G$4,Curves,0))</f>
        <v>3</v>
      </c>
      <c r="H144" s="125" t="n">
        <f aca="false">G144+$H$7</f>
        <v>3</v>
      </c>
      <c r="I144" s="124" t="n">
        <f aca="false">H144</f>
        <v>3</v>
      </c>
      <c r="J144" s="124" t="n">
        <f aca="false">VLOOKUP($A144,Table,MATCH(J$4,Curves,0))</f>
        <v>4</v>
      </c>
      <c r="K144" s="125" t="n">
        <f aca="false">J144+$K$7</f>
        <v>4</v>
      </c>
      <c r="L144" s="126" t="n">
        <f aca="false">K144</f>
        <v>4</v>
      </c>
      <c r="M144" s="124" t="n">
        <f aca="false">VLOOKUP($A144,Table,MATCH(M$4,Curves,0))</f>
        <v>4</v>
      </c>
      <c r="N144" s="125" t="n">
        <f aca="false">M144+$N$7</f>
        <v>4</v>
      </c>
      <c r="O144" s="126" t="n">
        <f aca="false">IF(B144&gt;0,(1000/B144*0.25)+((B144-1000)/B144*0.12),0)</f>
        <v>0</v>
      </c>
      <c r="P144" s="114"/>
      <c r="Q144" s="126" t="n">
        <f aca="false">M144+J144+G144</f>
        <v>11</v>
      </c>
      <c r="R144" s="126" t="n">
        <f aca="false">N144+K144+H144</f>
        <v>11</v>
      </c>
      <c r="S144" s="126" t="n">
        <f aca="false">O144+L144+I144</f>
        <v>7</v>
      </c>
      <c r="T144" s="127"/>
      <c r="U144" s="5" t="n">
        <f aca="false">A145-A144</f>
        <v>30</v>
      </c>
      <c r="V144" s="128" t="n">
        <f aca="false">CHOOSE(F$3,A145+24,A144)</f>
        <v>41365</v>
      </c>
      <c r="W144" s="5" t="n">
        <f aca="false">V144-C$3</f>
        <v>4134</v>
      </c>
      <c r="X144" s="124" t="n">
        <f aca="false">VLOOKUP($A144,Table,MATCH(X$4,Curves,0))</f>
        <v>2</v>
      </c>
      <c r="Y144" s="129" t="n">
        <f aca="false">1/(1+CHOOSE(F$3,(X145+($K$3/10000))/2,(X144+($K$3/10000))/2))^(2*W144/365.25)</f>
        <v>1.53362563373977E-007</v>
      </c>
      <c r="Z144" s="5" t="n">
        <f aca="false">IF(AND(mthbeg&lt;=A144,mthend&gt;=A144),1,0)</f>
        <v>0</v>
      </c>
      <c r="AA144" s="5" t="n">
        <f aca="false">U144*Z144</f>
        <v>0</v>
      </c>
      <c r="AC144" s="115" t="n">
        <f aca="false">IF(G137=2,F144*(S144-Q144),F144*(Q144-S144))</f>
        <v>0</v>
      </c>
      <c r="AE144" s="116" t="n">
        <f aca="false">IF($G$3=1,F144*(R144-Q144),F144*(Q144-R144))</f>
        <v>0</v>
      </c>
      <c r="AG144" s="116" t="n">
        <f aca="false">AC144+AE144</f>
        <v>0</v>
      </c>
    </row>
    <row r="145" customFormat="false" ht="12.75" hidden="false" customHeight="false" outlineLevel="0" collapsed="false">
      <c r="A145" s="120" t="n">
        <f aca="false">EDATE(A144,1)</f>
        <v>41395</v>
      </c>
      <c r="B145" s="121" t="n">
        <v>0</v>
      </c>
      <c r="C145" s="122"/>
      <c r="D145" s="123" t="n">
        <f aca="false">B145+C145</f>
        <v>0</v>
      </c>
      <c r="E145" s="111" t="n">
        <f aca="false">IF(Z145=0,0,IF(AND(Z145=1,$H$3=1),D145*U145,IF($H$3=2,D145,"N/A")))</f>
        <v>0</v>
      </c>
      <c r="F145" s="111" t="n">
        <f aca="false">E145*Y145</f>
        <v>0</v>
      </c>
      <c r="G145" s="124" t="n">
        <f aca="false">VLOOKUP($A145,Table,MATCH(G$4,Curves,0))</f>
        <v>3</v>
      </c>
      <c r="H145" s="125" t="n">
        <f aca="false">G145+$H$7</f>
        <v>3</v>
      </c>
      <c r="I145" s="124" t="n">
        <f aca="false">H145</f>
        <v>3</v>
      </c>
      <c r="J145" s="124" t="n">
        <f aca="false">VLOOKUP($A145,Table,MATCH(J$4,Curves,0))</f>
        <v>4</v>
      </c>
      <c r="K145" s="125" t="n">
        <f aca="false">J145+$K$7</f>
        <v>4</v>
      </c>
      <c r="L145" s="126" t="n">
        <f aca="false">K145</f>
        <v>4</v>
      </c>
      <c r="M145" s="124" t="n">
        <f aca="false">VLOOKUP($A145,Table,MATCH(M$4,Curves,0))</f>
        <v>4</v>
      </c>
      <c r="N145" s="125" t="n">
        <f aca="false">M145+$N$7</f>
        <v>4</v>
      </c>
      <c r="O145" s="126" t="n">
        <f aca="false">IF(B145&gt;0,(1000/B145*0.25)+((B145-1000)/B145*0.12),0)</f>
        <v>0</v>
      </c>
      <c r="P145" s="114"/>
      <c r="Q145" s="126" t="n">
        <f aca="false">M145+J145+G145</f>
        <v>11</v>
      </c>
      <c r="R145" s="126" t="n">
        <f aca="false">N145+K145+H145</f>
        <v>11</v>
      </c>
      <c r="S145" s="126" t="n">
        <f aca="false">O145+L145+I145</f>
        <v>7</v>
      </c>
      <c r="T145" s="127"/>
      <c r="U145" s="5" t="n">
        <f aca="false">A146-A145</f>
        <v>31</v>
      </c>
      <c r="V145" s="128" t="n">
        <f aca="false">CHOOSE(F$3,A146+24,A145)</f>
        <v>41395</v>
      </c>
      <c r="W145" s="5" t="n">
        <f aca="false">V145-C$3</f>
        <v>4164</v>
      </c>
      <c r="X145" s="124" t="n">
        <f aca="false">VLOOKUP($A145,Table,MATCH(X$4,Curves,0))</f>
        <v>2</v>
      </c>
      <c r="Y145" s="129" t="n">
        <f aca="false">1/(1+CHOOSE(F$3,(X146+($K$3/10000))/2,(X145+($K$3/10000))/2))^(2*W145/365.25)</f>
        <v>1.36857576858921E-007</v>
      </c>
      <c r="Z145" s="5" t="n">
        <f aca="false">IF(AND(mthbeg&lt;=A145,mthend&gt;=A145),1,0)</f>
        <v>0</v>
      </c>
      <c r="AA145" s="5" t="n">
        <f aca="false">U145*Z145</f>
        <v>0</v>
      </c>
      <c r="AC145" s="115" t="n">
        <f aca="false">IF(G138=2,F145*(S145-Q145),F145*(Q145-S145))</f>
        <v>0</v>
      </c>
      <c r="AE145" s="116" t="n">
        <f aca="false">IF($G$3=1,F145*(R145-Q145),F145*(Q145-R145))</f>
        <v>0</v>
      </c>
      <c r="AG145" s="116" t="n">
        <f aca="false">AC145+AE145</f>
        <v>0</v>
      </c>
    </row>
    <row r="146" customFormat="false" ht="12.75" hidden="false" customHeight="false" outlineLevel="0" collapsed="false">
      <c r="A146" s="120" t="n">
        <f aca="false">EDATE(A145,1)</f>
        <v>41426</v>
      </c>
      <c r="B146" s="121" t="n">
        <v>0</v>
      </c>
      <c r="C146" s="122"/>
      <c r="D146" s="123" t="n">
        <f aca="false">B146+C146</f>
        <v>0</v>
      </c>
      <c r="E146" s="111" t="n">
        <f aca="false">IF(Z146=0,0,IF(AND(Z146=1,$H$3=1),D146*U146,IF($H$3=2,D146,"N/A")))</f>
        <v>0</v>
      </c>
      <c r="F146" s="111" t="n">
        <f aca="false">E146*Y146</f>
        <v>0</v>
      </c>
      <c r="G146" s="124" t="n">
        <f aca="false">VLOOKUP($A146,Table,MATCH(G$4,Curves,0))</f>
        <v>3</v>
      </c>
      <c r="H146" s="125" t="n">
        <f aca="false">G146+$H$7</f>
        <v>3</v>
      </c>
      <c r="I146" s="124" t="n">
        <f aca="false">H146</f>
        <v>3</v>
      </c>
      <c r="J146" s="124" t="n">
        <f aca="false">VLOOKUP($A146,Table,MATCH(J$4,Curves,0))</f>
        <v>4</v>
      </c>
      <c r="K146" s="125" t="n">
        <f aca="false">J146+$K$7</f>
        <v>4</v>
      </c>
      <c r="L146" s="126" t="n">
        <f aca="false">K146</f>
        <v>4</v>
      </c>
      <c r="M146" s="124" t="n">
        <f aca="false">VLOOKUP($A146,Table,MATCH(M$4,Curves,0))</f>
        <v>4</v>
      </c>
      <c r="N146" s="125" t="n">
        <f aca="false">M146+$N$7</f>
        <v>4</v>
      </c>
      <c r="O146" s="126" t="n">
        <f aca="false">IF(B146&gt;0,(1000/B146*0.25)+((B146-1000)/B146*0.12),0)</f>
        <v>0</v>
      </c>
      <c r="P146" s="114"/>
      <c r="Q146" s="126" t="n">
        <f aca="false">M146+J146+G146</f>
        <v>11</v>
      </c>
      <c r="R146" s="126" t="n">
        <f aca="false">N146+K146+H146</f>
        <v>11</v>
      </c>
      <c r="S146" s="126" t="n">
        <f aca="false">O146+L146+I146</f>
        <v>7</v>
      </c>
      <c r="T146" s="127"/>
      <c r="U146" s="5" t="n">
        <f aca="false">A147-A146</f>
        <v>30</v>
      </c>
      <c r="V146" s="128" t="n">
        <f aca="false">CHOOSE(F$3,A147+24,A146)</f>
        <v>41426</v>
      </c>
      <c r="W146" s="5" t="n">
        <f aca="false">V146-C$3</f>
        <v>4195</v>
      </c>
      <c r="X146" s="124" t="n">
        <f aca="false">VLOOKUP($A146,Table,MATCH(X$4,Curves,0))</f>
        <v>2</v>
      </c>
      <c r="Y146" s="129" t="n">
        <f aca="false">1/(1+CHOOSE(F$3,(X147+($K$3/10000))/2,(X146+($K$3/10000))/2))^(2*W146/365.25)</f>
        <v>1.21666211008534E-007</v>
      </c>
      <c r="Z146" s="5" t="n">
        <f aca="false">IF(AND(mthbeg&lt;=A146,mthend&gt;=A146),1,0)</f>
        <v>0</v>
      </c>
      <c r="AA146" s="5" t="n">
        <f aca="false">U146*Z146</f>
        <v>0</v>
      </c>
      <c r="AC146" s="115" t="n">
        <f aca="false">IF(G139=2,F146*(S146-Q146),F146*(Q146-S146))</f>
        <v>0</v>
      </c>
      <c r="AE146" s="116" t="n">
        <f aca="false">IF($G$3=1,F146*(R146-Q146),F146*(Q146-R146))</f>
        <v>0</v>
      </c>
      <c r="AG146" s="116" t="n">
        <f aca="false">AC146+AE146</f>
        <v>0</v>
      </c>
    </row>
    <row r="147" customFormat="false" ht="12.75" hidden="false" customHeight="false" outlineLevel="0" collapsed="false">
      <c r="A147" s="120" t="n">
        <f aca="false">EDATE(A146,1)</f>
        <v>41456</v>
      </c>
      <c r="B147" s="121" t="n">
        <v>0</v>
      </c>
      <c r="C147" s="122"/>
      <c r="D147" s="123" t="n">
        <f aca="false">B147+C147</f>
        <v>0</v>
      </c>
      <c r="E147" s="111" t="n">
        <f aca="false">IF(Z147=0,0,IF(AND(Z147=1,$H$3=1),D147*U147,IF($H$3=2,D147,"N/A")))</f>
        <v>0</v>
      </c>
      <c r="F147" s="111" t="n">
        <f aca="false">E147*Y147</f>
        <v>0</v>
      </c>
      <c r="G147" s="124" t="n">
        <f aca="false">VLOOKUP($A147,Table,MATCH(G$4,Curves,0))</f>
        <v>3</v>
      </c>
      <c r="H147" s="125" t="n">
        <f aca="false">G147+$H$7</f>
        <v>3</v>
      </c>
      <c r="I147" s="124" t="n">
        <f aca="false">H147</f>
        <v>3</v>
      </c>
      <c r="J147" s="124" t="n">
        <f aca="false">VLOOKUP($A147,Table,MATCH(J$4,Curves,0))</f>
        <v>4</v>
      </c>
      <c r="K147" s="125" t="n">
        <f aca="false">J147+$K$7</f>
        <v>4</v>
      </c>
      <c r="L147" s="126" t="n">
        <f aca="false">K147</f>
        <v>4</v>
      </c>
      <c r="M147" s="124" t="n">
        <f aca="false">VLOOKUP($A147,Table,MATCH(M$4,Curves,0))</f>
        <v>4</v>
      </c>
      <c r="N147" s="125" t="n">
        <f aca="false">M147+$N$7</f>
        <v>4</v>
      </c>
      <c r="O147" s="126" t="n">
        <f aca="false">IF(B147&gt;0,(1000/B147*0.25)+((B147-1000)/B147*0.12),0)</f>
        <v>0</v>
      </c>
      <c r="P147" s="114"/>
      <c r="Q147" s="126" t="n">
        <f aca="false">M147+J147+G147</f>
        <v>11</v>
      </c>
      <c r="R147" s="126" t="n">
        <f aca="false">N147+K147+H147</f>
        <v>11</v>
      </c>
      <c r="S147" s="126" t="n">
        <f aca="false">O147+L147+I147</f>
        <v>7</v>
      </c>
      <c r="T147" s="127"/>
      <c r="U147" s="5" t="n">
        <f aca="false">A148-A147</f>
        <v>31</v>
      </c>
      <c r="V147" s="128" t="n">
        <f aca="false">CHOOSE(F$3,A148+24,A147)</f>
        <v>41456</v>
      </c>
      <c r="W147" s="5" t="n">
        <f aca="false">V147-C$3</f>
        <v>4225</v>
      </c>
      <c r="X147" s="124" t="n">
        <f aca="false">VLOOKUP($A147,Table,MATCH(X$4,Curves,0))</f>
        <v>2</v>
      </c>
      <c r="Y147" s="129" t="n">
        <f aca="false">1/(1+CHOOSE(F$3,(X148+($K$3/10000))/2,(X147+($K$3/10000))/2))^(2*W147/365.25)</f>
        <v>1.08572408141292E-007</v>
      </c>
      <c r="Z147" s="5" t="n">
        <f aca="false">IF(AND(mthbeg&lt;=A147,mthend&gt;=A147),1,0)</f>
        <v>0</v>
      </c>
      <c r="AA147" s="5" t="n">
        <f aca="false">U147*Z147</f>
        <v>0</v>
      </c>
      <c r="AC147" s="115" t="n">
        <f aca="false">IF(G140=2,F147*(S147-Q147),F147*(Q147-S147))</f>
        <v>0</v>
      </c>
      <c r="AE147" s="116" t="n">
        <f aca="false">IF($G$3=1,F147*(R147-Q147),F147*(Q147-R147))</f>
        <v>0</v>
      </c>
      <c r="AG147" s="116" t="n">
        <f aca="false">AC147+AE147</f>
        <v>0</v>
      </c>
    </row>
    <row r="148" customFormat="false" ht="12.75" hidden="false" customHeight="false" outlineLevel="0" collapsed="false">
      <c r="A148" s="120" t="n">
        <f aca="false">EDATE(A147,1)</f>
        <v>41487</v>
      </c>
      <c r="B148" s="121" t="n">
        <v>0</v>
      </c>
      <c r="C148" s="122"/>
      <c r="D148" s="123" t="n">
        <f aca="false">B148+C148</f>
        <v>0</v>
      </c>
      <c r="E148" s="111" t="n">
        <f aca="false">IF(Z148=0,0,IF(AND(Z148=1,$H$3=1),D148*U148,IF($H$3=2,D148,"N/A")))</f>
        <v>0</v>
      </c>
      <c r="F148" s="111" t="n">
        <f aca="false">E148*Y148</f>
        <v>0</v>
      </c>
      <c r="G148" s="124" t="n">
        <f aca="false">VLOOKUP($A148,Table,MATCH(G$4,Curves,0))</f>
        <v>3</v>
      </c>
      <c r="H148" s="125" t="n">
        <f aca="false">G148+$H$7</f>
        <v>3</v>
      </c>
      <c r="I148" s="124" t="n">
        <f aca="false">H148</f>
        <v>3</v>
      </c>
      <c r="J148" s="124" t="n">
        <f aca="false">VLOOKUP($A148,Table,MATCH(J$4,Curves,0))</f>
        <v>4</v>
      </c>
      <c r="K148" s="125" t="n">
        <f aca="false">J148+$K$7</f>
        <v>4</v>
      </c>
      <c r="L148" s="126" t="n">
        <f aca="false">K148</f>
        <v>4</v>
      </c>
      <c r="M148" s="124" t="n">
        <f aca="false">VLOOKUP($A148,Table,MATCH(M$4,Curves,0))</f>
        <v>4</v>
      </c>
      <c r="N148" s="125" t="n">
        <f aca="false">M148+$N$7</f>
        <v>4</v>
      </c>
      <c r="O148" s="126" t="n">
        <f aca="false">IF(B148&gt;0,(1000/B148*0.25)+((B148-1000)/B148*0.12),0)</f>
        <v>0</v>
      </c>
      <c r="P148" s="114"/>
      <c r="Q148" s="126" t="n">
        <f aca="false">M148+J148+G148</f>
        <v>11</v>
      </c>
      <c r="R148" s="126" t="n">
        <f aca="false">N148+K148+H148</f>
        <v>11</v>
      </c>
      <c r="S148" s="126" t="n">
        <f aca="false">O148+L148+I148</f>
        <v>7</v>
      </c>
      <c r="T148" s="127"/>
      <c r="U148" s="5" t="n">
        <f aca="false">A149-A148</f>
        <v>31</v>
      </c>
      <c r="V148" s="128" t="n">
        <f aca="false">CHOOSE(F$3,A149+24,A148)</f>
        <v>41487</v>
      </c>
      <c r="W148" s="5" t="n">
        <f aca="false">V148-C$3</f>
        <v>4256</v>
      </c>
      <c r="X148" s="124" t="n">
        <f aca="false">VLOOKUP($A148,Table,MATCH(X$4,Curves,0))</f>
        <v>2</v>
      </c>
      <c r="Y148" s="129" t="n">
        <f aca="false">1/(1+CHOOSE(F$3,(X149+($K$3/10000))/2,(X148+($K$3/10000))/2))^(2*W148/365.25)</f>
        <v>9.65207321494535E-008</v>
      </c>
      <c r="Z148" s="5" t="n">
        <f aca="false">IF(AND(mthbeg&lt;=A148,mthend&gt;=A148),1,0)</f>
        <v>0</v>
      </c>
      <c r="AA148" s="5" t="n">
        <f aca="false">U148*Z148</f>
        <v>0</v>
      </c>
      <c r="AC148" s="115" t="n">
        <f aca="false">IF(G141=2,F148*(S148-Q148),F148*(Q148-S148))</f>
        <v>0</v>
      </c>
      <c r="AE148" s="116" t="n">
        <f aca="false">IF($G$3=1,F148*(R148-Q148),F148*(Q148-R148))</f>
        <v>0</v>
      </c>
      <c r="AG148" s="116" t="n">
        <f aca="false">AC148+AE148</f>
        <v>0</v>
      </c>
    </row>
    <row r="149" customFormat="false" ht="12.75" hidden="false" customHeight="false" outlineLevel="0" collapsed="false">
      <c r="A149" s="120" t="n">
        <f aca="false">EDATE(A148,1)</f>
        <v>41518</v>
      </c>
      <c r="B149" s="121" t="n">
        <v>0</v>
      </c>
      <c r="C149" s="122"/>
      <c r="D149" s="123" t="n">
        <f aca="false">B149+C149</f>
        <v>0</v>
      </c>
      <c r="E149" s="111" t="n">
        <f aca="false">IF(Z149=0,0,IF(AND(Z149=1,$H$3=1),D149*U149,IF($H$3=2,D149,"N/A")))</f>
        <v>0</v>
      </c>
      <c r="F149" s="111" t="n">
        <f aca="false">E149*Y149</f>
        <v>0</v>
      </c>
      <c r="G149" s="124" t="n">
        <f aca="false">VLOOKUP($A149,Table,MATCH(G$4,Curves,0))</f>
        <v>3</v>
      </c>
      <c r="H149" s="125" t="n">
        <f aca="false">G149+$H$7</f>
        <v>3</v>
      </c>
      <c r="I149" s="124" t="n">
        <f aca="false">H149</f>
        <v>3</v>
      </c>
      <c r="J149" s="124" t="n">
        <f aca="false">VLOOKUP($A149,Table,MATCH(J$4,Curves,0))</f>
        <v>4</v>
      </c>
      <c r="K149" s="125" t="n">
        <f aca="false">J149+$K$7</f>
        <v>4</v>
      </c>
      <c r="L149" s="126" t="n">
        <f aca="false">K149</f>
        <v>4</v>
      </c>
      <c r="M149" s="124" t="n">
        <f aca="false">VLOOKUP($A149,Table,MATCH(M$4,Curves,0))</f>
        <v>4</v>
      </c>
      <c r="N149" s="125" t="n">
        <f aca="false">M149+$N$7</f>
        <v>4</v>
      </c>
      <c r="O149" s="126" t="n">
        <f aca="false">IF(B149&gt;0,(1000/B149*0.25)+((B149-1000)/B149*0.12),0)</f>
        <v>0</v>
      </c>
      <c r="P149" s="114"/>
      <c r="Q149" s="126" t="n">
        <f aca="false">M149+J149+G149</f>
        <v>11</v>
      </c>
      <c r="R149" s="126" t="n">
        <f aca="false">N149+K149+H149</f>
        <v>11</v>
      </c>
      <c r="S149" s="126" t="n">
        <f aca="false">O149+L149+I149</f>
        <v>7</v>
      </c>
      <c r="T149" s="127"/>
      <c r="U149" s="5" t="n">
        <f aca="false">A150-A149</f>
        <v>30</v>
      </c>
      <c r="V149" s="128" t="n">
        <f aca="false">CHOOSE(F$3,A150+24,A149)</f>
        <v>41518</v>
      </c>
      <c r="W149" s="5" t="n">
        <f aca="false">V149-C$3</f>
        <v>4287</v>
      </c>
      <c r="X149" s="124" t="n">
        <f aca="false">VLOOKUP($A149,Table,MATCH(X$4,Curves,0))</f>
        <v>2</v>
      </c>
      <c r="Y149" s="129" t="n">
        <f aca="false">1/(1+CHOOSE(F$3,(X150+($K$3/10000))/2,(X149+($K$3/10000))/2))^(2*W149/365.25)</f>
        <v>8.58068075872714E-008</v>
      </c>
      <c r="Z149" s="5" t="n">
        <f aca="false">IF(AND(mthbeg&lt;=A149,mthend&gt;=A149),1,0)</f>
        <v>0</v>
      </c>
      <c r="AA149" s="5" t="n">
        <f aca="false">U149*Z149</f>
        <v>0</v>
      </c>
      <c r="AC149" s="115" t="n">
        <f aca="false">IF(G142=2,F149*(S149-Q149),F149*(Q149-S149))</f>
        <v>0</v>
      </c>
      <c r="AE149" s="116" t="n">
        <f aca="false">IF($G$3=1,F149*(R149-Q149),F149*(Q149-R149))</f>
        <v>0</v>
      </c>
      <c r="AG149" s="116" t="n">
        <f aca="false">AC149+AE149</f>
        <v>0</v>
      </c>
    </row>
    <row r="150" customFormat="false" ht="12.75" hidden="false" customHeight="false" outlineLevel="0" collapsed="false">
      <c r="A150" s="120" t="n">
        <f aca="false">EDATE(A149,1)</f>
        <v>41548</v>
      </c>
      <c r="B150" s="121" t="n">
        <v>0</v>
      </c>
      <c r="C150" s="122"/>
      <c r="D150" s="123" t="n">
        <f aca="false">B150+C150</f>
        <v>0</v>
      </c>
      <c r="E150" s="111" t="n">
        <f aca="false">IF(Z150=0,0,IF(AND(Z150=1,$H$3=1),D150*U150,IF($H$3=2,D150,"N/A")))</f>
        <v>0</v>
      </c>
      <c r="F150" s="111" t="n">
        <f aca="false">E150*Y150</f>
        <v>0</v>
      </c>
      <c r="G150" s="124" t="n">
        <f aca="false">VLOOKUP($A150,Table,MATCH(G$4,Curves,0))</f>
        <v>3</v>
      </c>
      <c r="H150" s="125" t="n">
        <f aca="false">G150+$H$7</f>
        <v>3</v>
      </c>
      <c r="I150" s="124" t="n">
        <f aca="false">H150</f>
        <v>3</v>
      </c>
      <c r="J150" s="124" t="n">
        <f aca="false">VLOOKUP($A150,Table,MATCH(J$4,Curves,0))</f>
        <v>4</v>
      </c>
      <c r="K150" s="125" t="n">
        <f aca="false">J150+$K$7</f>
        <v>4</v>
      </c>
      <c r="L150" s="126" t="n">
        <f aca="false">K150</f>
        <v>4</v>
      </c>
      <c r="M150" s="124" t="n">
        <f aca="false">VLOOKUP($A150,Table,MATCH(M$4,Curves,0))</f>
        <v>4</v>
      </c>
      <c r="N150" s="125" t="n">
        <f aca="false">M150+$N$7</f>
        <v>4</v>
      </c>
      <c r="O150" s="126" t="n">
        <f aca="false">IF(B150&gt;0,(1000/B150*0.25)+((B150-1000)/B150*0.12),0)</f>
        <v>0</v>
      </c>
      <c r="P150" s="114"/>
      <c r="Q150" s="126" t="n">
        <f aca="false">M150+J150+G150</f>
        <v>11</v>
      </c>
      <c r="R150" s="126" t="n">
        <f aca="false">N150+K150+H150</f>
        <v>11</v>
      </c>
      <c r="S150" s="126" t="n">
        <f aca="false">O150+L150+I150</f>
        <v>7</v>
      </c>
      <c r="T150" s="127"/>
      <c r="U150" s="5" t="n">
        <f aca="false">A151-A150</f>
        <v>31</v>
      </c>
      <c r="V150" s="128" t="n">
        <f aca="false">CHOOSE(F$3,A151+24,A150)</f>
        <v>41548</v>
      </c>
      <c r="W150" s="5" t="n">
        <f aca="false">V150-C$3</f>
        <v>4317</v>
      </c>
      <c r="X150" s="124" t="n">
        <f aca="false">VLOOKUP($A150,Table,MATCH(X$4,Curves,0))</f>
        <v>2</v>
      </c>
      <c r="Y150" s="129" t="n">
        <f aca="false">1/(1+CHOOSE(F$3,(X151+($K$3/10000))/2,(X150+($K$3/10000))/2))^(2*W150/365.25)</f>
        <v>7.65722188390748E-008</v>
      </c>
      <c r="Z150" s="5" t="n">
        <f aca="false">IF(AND(mthbeg&lt;=A150,mthend&gt;=A150),1,0)</f>
        <v>0</v>
      </c>
      <c r="AA150" s="5" t="n">
        <f aca="false">U150*Z150</f>
        <v>0</v>
      </c>
      <c r="AC150" s="115" t="n">
        <f aca="false">IF(G143=2,F150*(S150-Q150),F150*(Q150-S150))</f>
        <v>0</v>
      </c>
      <c r="AE150" s="116" t="n">
        <f aca="false">IF($G$3=1,F150*(R150-Q150),F150*(Q150-R150))</f>
        <v>0</v>
      </c>
      <c r="AG150" s="116" t="n">
        <f aca="false">AC150+AE150</f>
        <v>0</v>
      </c>
    </row>
    <row r="151" customFormat="false" ht="12.75" hidden="false" customHeight="false" outlineLevel="0" collapsed="false">
      <c r="A151" s="120" t="n">
        <f aca="false">EDATE(A150,1)</f>
        <v>41579</v>
      </c>
      <c r="B151" s="121" t="n">
        <v>0</v>
      </c>
      <c r="C151" s="122"/>
      <c r="D151" s="123" t="n">
        <f aca="false">B151+C151</f>
        <v>0</v>
      </c>
      <c r="E151" s="111" t="n">
        <f aca="false">IF(Z151=0,0,IF(AND(Z151=1,$H$3=1),D151*U151,IF($H$3=2,D151,"N/A")))</f>
        <v>0</v>
      </c>
      <c r="F151" s="111" t="n">
        <f aca="false">E151*Y151</f>
        <v>0</v>
      </c>
      <c r="G151" s="124" t="n">
        <f aca="false">VLOOKUP($A151,Table,MATCH(G$4,Curves,0))</f>
        <v>3</v>
      </c>
      <c r="H151" s="125" t="n">
        <f aca="false">G151+$H$7</f>
        <v>3</v>
      </c>
      <c r="I151" s="124" t="n">
        <f aca="false">H151</f>
        <v>3</v>
      </c>
      <c r="J151" s="124" t="n">
        <f aca="false">VLOOKUP($A151,Table,MATCH(J$4,Curves,0))</f>
        <v>4</v>
      </c>
      <c r="K151" s="125" t="n">
        <f aca="false">J151+$K$7</f>
        <v>4</v>
      </c>
      <c r="L151" s="126" t="n">
        <f aca="false">K151</f>
        <v>4</v>
      </c>
      <c r="M151" s="124" t="n">
        <f aca="false">VLOOKUP($A151,Table,MATCH(M$4,Curves,0))</f>
        <v>4</v>
      </c>
      <c r="N151" s="125" t="n">
        <f aca="false">M151+$N$7</f>
        <v>4</v>
      </c>
      <c r="O151" s="126" t="n">
        <f aca="false">IF(B151&gt;0,(1000/B151*0.25)+((B151-1000)/B151*0.12),0)</f>
        <v>0</v>
      </c>
      <c r="P151" s="114"/>
      <c r="Q151" s="126" t="n">
        <f aca="false">M151+J151+G151</f>
        <v>11</v>
      </c>
      <c r="R151" s="126" t="n">
        <f aca="false">N151+K151+H151</f>
        <v>11</v>
      </c>
      <c r="S151" s="126" t="n">
        <f aca="false">O151+L151+I151</f>
        <v>7</v>
      </c>
      <c r="T151" s="127"/>
      <c r="U151" s="5" t="n">
        <f aca="false">A152-A151</f>
        <v>30</v>
      </c>
      <c r="V151" s="128" t="n">
        <f aca="false">CHOOSE(F$3,A152+24,A151)</f>
        <v>41579</v>
      </c>
      <c r="W151" s="5" t="n">
        <f aca="false">V151-C$3</f>
        <v>4348</v>
      </c>
      <c r="X151" s="124" t="n">
        <f aca="false">VLOOKUP($A151,Table,MATCH(X$4,Curves,0))</f>
        <v>2</v>
      </c>
      <c r="Y151" s="129" t="n">
        <f aca="false">1/(1+CHOOSE(F$3,(X152+($K$3/10000))/2,(X151+($K$3/10000))/2))^(2*W151/365.25)</f>
        <v>6.80726047361643E-008</v>
      </c>
      <c r="Z151" s="5" t="n">
        <f aca="false">IF(AND(mthbeg&lt;=A151,mthend&gt;=A151),1,0)</f>
        <v>0</v>
      </c>
      <c r="AA151" s="5" t="n">
        <f aca="false">U151*Z151</f>
        <v>0</v>
      </c>
      <c r="AC151" s="115" t="n">
        <f aca="false">IF(G144=2,F151*(S151-Q151),F151*(Q151-S151))</f>
        <v>0</v>
      </c>
      <c r="AE151" s="116" t="n">
        <f aca="false">IF($G$3=1,F151*(R151-Q151),F151*(Q151-R151))</f>
        <v>0</v>
      </c>
      <c r="AG151" s="116" t="n">
        <f aca="false">AC151+AE151</f>
        <v>0</v>
      </c>
    </row>
    <row r="152" customFormat="false" ht="12.75" hidden="false" customHeight="false" outlineLevel="0" collapsed="false">
      <c r="A152" s="120" t="n">
        <f aca="false">EDATE(A151,1)</f>
        <v>41609</v>
      </c>
      <c r="B152" s="121" t="n">
        <v>0</v>
      </c>
      <c r="C152" s="122"/>
      <c r="D152" s="123" t="n">
        <f aca="false">B152+C152</f>
        <v>0</v>
      </c>
      <c r="E152" s="111" t="n">
        <f aca="false">IF(Z152=0,0,IF(AND(Z152=1,$H$3=1),D152*U152,IF($H$3=2,D152,"N/A")))</f>
        <v>0</v>
      </c>
      <c r="F152" s="111" t="n">
        <f aca="false">E152*Y152</f>
        <v>0</v>
      </c>
      <c r="G152" s="124" t="n">
        <f aca="false">VLOOKUP($A152,Table,MATCH(G$4,Curves,0))</f>
        <v>3</v>
      </c>
      <c r="H152" s="125" t="n">
        <f aca="false">G152+$H$7</f>
        <v>3</v>
      </c>
      <c r="I152" s="124" t="n">
        <f aca="false">H152</f>
        <v>3</v>
      </c>
      <c r="J152" s="124" t="n">
        <f aca="false">VLOOKUP($A152,Table,MATCH(J$4,Curves,0))</f>
        <v>4</v>
      </c>
      <c r="K152" s="125" t="n">
        <f aca="false">J152+$K$7</f>
        <v>4</v>
      </c>
      <c r="L152" s="126" t="n">
        <f aca="false">K152</f>
        <v>4</v>
      </c>
      <c r="M152" s="124" t="n">
        <f aca="false">VLOOKUP($A152,Table,MATCH(M$4,Curves,0))</f>
        <v>4</v>
      </c>
      <c r="N152" s="125" t="n">
        <f aca="false">M152+$N$7</f>
        <v>4</v>
      </c>
      <c r="O152" s="126" t="n">
        <f aca="false">IF(B152&gt;0,(1000/B152*0.25)+((B152-1000)/B152*0.12),0)</f>
        <v>0</v>
      </c>
      <c r="P152" s="114"/>
      <c r="Q152" s="126" t="n">
        <f aca="false">M152+J152+G152</f>
        <v>11</v>
      </c>
      <c r="R152" s="126" t="n">
        <f aca="false">N152+K152+H152</f>
        <v>11</v>
      </c>
      <c r="S152" s="126" t="n">
        <f aca="false">O152+L152+I152</f>
        <v>7</v>
      </c>
      <c r="T152" s="127"/>
      <c r="U152" s="5" t="n">
        <f aca="false">A153-A152</f>
        <v>31</v>
      </c>
      <c r="V152" s="128" t="n">
        <f aca="false">CHOOSE(F$3,A153+24,A152)</f>
        <v>41609</v>
      </c>
      <c r="W152" s="5" t="n">
        <f aca="false">V152-C$3</f>
        <v>4378</v>
      </c>
      <c r="X152" s="124" t="n">
        <f aca="false">VLOOKUP($A152,Table,MATCH(X$4,Curves,0))</f>
        <v>2</v>
      </c>
      <c r="Y152" s="129" t="n">
        <f aca="false">1/(1+CHOOSE(F$3,(X153+($K$3/10000))/2,(X152+($K$3/10000))/2))^(2*W152/365.25)</f>
        <v>6.07465833232635E-008</v>
      </c>
      <c r="Z152" s="5" t="n">
        <f aca="false">IF(AND(mthbeg&lt;=A152,mthend&gt;=A152),1,0)</f>
        <v>0</v>
      </c>
      <c r="AA152" s="5" t="n">
        <f aca="false">U152*Z152</f>
        <v>0</v>
      </c>
      <c r="AC152" s="115" t="n">
        <f aca="false">IF(G145=2,F152*(S152-Q152),F152*(Q152-S152))</f>
        <v>0</v>
      </c>
      <c r="AE152" s="116" t="n">
        <f aca="false">IF($G$3=1,F152*(R152-Q152),F152*(Q152-R152))</f>
        <v>0</v>
      </c>
      <c r="AG152" s="116" t="n">
        <f aca="false">AC152+AE152</f>
        <v>0</v>
      </c>
    </row>
    <row r="153" customFormat="false" ht="12.75" hidden="false" customHeight="false" outlineLevel="0" collapsed="false">
      <c r="A153" s="120" t="n">
        <f aca="false">EDATE(A152,1)</f>
        <v>41640</v>
      </c>
      <c r="B153" s="121" t="n">
        <v>0</v>
      </c>
      <c r="C153" s="122"/>
      <c r="D153" s="123" t="n">
        <f aca="false">B153+C153</f>
        <v>0</v>
      </c>
      <c r="E153" s="111" t="n">
        <f aca="false">IF(Z153=0,0,IF(AND(Z153=1,$H$3=1),D153*U153,IF($H$3=2,D153,"N/A")))</f>
        <v>0</v>
      </c>
      <c r="F153" s="111" t="n">
        <f aca="false">E153*Y153</f>
        <v>0</v>
      </c>
      <c r="G153" s="124" t="n">
        <f aca="false">VLOOKUP($A153,Table,MATCH(G$4,Curves,0))</f>
        <v>3</v>
      </c>
      <c r="H153" s="125" t="n">
        <f aca="false">G153+$H$7</f>
        <v>3</v>
      </c>
      <c r="I153" s="124" t="n">
        <f aca="false">H153</f>
        <v>3</v>
      </c>
      <c r="J153" s="124" t="n">
        <f aca="false">VLOOKUP($A153,Table,MATCH(J$4,Curves,0))</f>
        <v>4</v>
      </c>
      <c r="K153" s="125" t="n">
        <f aca="false">J153+$K$7</f>
        <v>4</v>
      </c>
      <c r="L153" s="126" t="n">
        <f aca="false">K153</f>
        <v>4</v>
      </c>
      <c r="M153" s="124" t="n">
        <f aca="false">VLOOKUP($A153,Table,MATCH(M$4,Curves,0))</f>
        <v>4</v>
      </c>
      <c r="N153" s="125" t="n">
        <f aca="false">M153+$N$7</f>
        <v>4</v>
      </c>
      <c r="O153" s="126" t="n">
        <f aca="false">IF(B153&gt;0,(1000/B153*0.25)+((B153-1000)/B153*0.12),0)</f>
        <v>0</v>
      </c>
      <c r="P153" s="114"/>
      <c r="Q153" s="126" t="n">
        <f aca="false">M153+J153+G153</f>
        <v>11</v>
      </c>
      <c r="R153" s="126" t="n">
        <f aca="false">N153+K153+H153</f>
        <v>11</v>
      </c>
      <c r="S153" s="126" t="n">
        <f aca="false">O153+L153+I153</f>
        <v>7</v>
      </c>
      <c r="T153" s="127"/>
      <c r="U153" s="5" t="n">
        <f aca="false">A154-A153</f>
        <v>31</v>
      </c>
      <c r="V153" s="128" t="n">
        <f aca="false">CHOOSE(F$3,A154+24,A153)</f>
        <v>41640</v>
      </c>
      <c r="W153" s="5" t="n">
        <f aca="false">V153-C$3</f>
        <v>4409</v>
      </c>
      <c r="X153" s="124" t="n">
        <f aca="false">VLOOKUP($A153,Table,MATCH(X$4,Curves,0))</f>
        <v>2</v>
      </c>
      <c r="Y153" s="129" t="n">
        <f aca="false">1/(1+CHOOSE(F$3,(X154+($K$3/10000))/2,(X153+($K$3/10000))/2))^(2*W153/365.25)</f>
        <v>5.40036349779484E-008</v>
      </c>
      <c r="Z153" s="5" t="n">
        <f aca="false">IF(AND(mthbeg&lt;=A153,mthend&gt;=A153),1,0)</f>
        <v>0</v>
      </c>
      <c r="AA153" s="5" t="n">
        <f aca="false">U153*Z153</f>
        <v>0</v>
      </c>
      <c r="AC153" s="115" t="n">
        <f aca="false">IF(G146=2,F153*(S153-Q153),F153*(Q153-S153))</f>
        <v>0</v>
      </c>
      <c r="AE153" s="116" t="n">
        <f aca="false">IF($G$3=1,F153*(R153-Q153),F153*(Q153-R153))</f>
        <v>0</v>
      </c>
      <c r="AG153" s="116" t="n">
        <f aca="false">AC153+AE153</f>
        <v>0</v>
      </c>
    </row>
    <row r="154" customFormat="false" ht="12.75" hidden="false" customHeight="false" outlineLevel="0" collapsed="false">
      <c r="A154" s="120" t="n">
        <f aca="false">EDATE(A153,1)</f>
        <v>41671</v>
      </c>
      <c r="B154" s="121" t="n">
        <v>0</v>
      </c>
      <c r="C154" s="122"/>
      <c r="D154" s="123" t="n">
        <f aca="false">B154+C154</f>
        <v>0</v>
      </c>
      <c r="E154" s="111" t="n">
        <f aca="false">IF(Z154=0,0,IF(AND(Z154=1,$H$3=1),D154*U154,IF($H$3=2,D154,"N/A")))</f>
        <v>0</v>
      </c>
      <c r="F154" s="111" t="n">
        <f aca="false">E154*Y154</f>
        <v>0</v>
      </c>
      <c r="G154" s="124" t="n">
        <f aca="false">VLOOKUP($A154,Table,MATCH(G$4,Curves,0))</f>
        <v>3</v>
      </c>
      <c r="H154" s="125" t="n">
        <f aca="false">G154+$H$7</f>
        <v>3</v>
      </c>
      <c r="I154" s="124" t="n">
        <f aca="false">H154</f>
        <v>3</v>
      </c>
      <c r="J154" s="124" t="n">
        <f aca="false">VLOOKUP($A154,Table,MATCH(J$4,Curves,0))</f>
        <v>4</v>
      </c>
      <c r="K154" s="125" t="n">
        <f aca="false">J154+$K$7</f>
        <v>4</v>
      </c>
      <c r="L154" s="126" t="n">
        <f aca="false">K154</f>
        <v>4</v>
      </c>
      <c r="M154" s="124" t="n">
        <f aca="false">VLOOKUP($A154,Table,MATCH(M$4,Curves,0))</f>
        <v>4</v>
      </c>
      <c r="N154" s="125" t="n">
        <f aca="false">M154+$N$7</f>
        <v>4</v>
      </c>
      <c r="O154" s="126" t="n">
        <f aca="false">IF(B154&gt;0,(1000/B154*0.25)+((B154-1000)/B154*0.12),0)</f>
        <v>0</v>
      </c>
      <c r="P154" s="114"/>
      <c r="Q154" s="126" t="n">
        <f aca="false">M154+J154+G154</f>
        <v>11</v>
      </c>
      <c r="R154" s="126" t="n">
        <f aca="false">N154+K154+H154</f>
        <v>11</v>
      </c>
      <c r="S154" s="126" t="n">
        <f aca="false">O154+L154+I154</f>
        <v>7</v>
      </c>
      <c r="T154" s="127"/>
      <c r="U154" s="5" t="n">
        <f aca="false">A155-A154</f>
        <v>28</v>
      </c>
      <c r="V154" s="128" t="n">
        <f aca="false">CHOOSE(F$3,A155+24,A154)</f>
        <v>41671</v>
      </c>
      <c r="W154" s="5" t="n">
        <f aca="false">V154-C$3</f>
        <v>4440</v>
      </c>
      <c r="X154" s="124" t="n">
        <f aca="false">VLOOKUP($A154,Table,MATCH(X$4,Curves,0))</f>
        <v>2</v>
      </c>
      <c r="Y154" s="129" t="n">
        <f aca="false">1/(1+CHOOSE(F$3,(X155+($K$3/10000))/2,(X154+($K$3/10000))/2))^(2*W154/365.25)</f>
        <v>4.80091625122664E-008</v>
      </c>
      <c r="Z154" s="5" t="n">
        <f aca="false">IF(AND(mthbeg&lt;=A154,mthend&gt;=A154),1,0)</f>
        <v>0</v>
      </c>
      <c r="AA154" s="5" t="n">
        <f aca="false">U154*Z154</f>
        <v>0</v>
      </c>
      <c r="AC154" s="115" t="n">
        <f aca="false">IF(G147=2,F154*(S154-Q154),F154*(Q154-S154))</f>
        <v>0</v>
      </c>
      <c r="AE154" s="116" t="n">
        <f aca="false">IF($G$3=1,F154*(R154-Q154),F154*(Q154-R154))</f>
        <v>0</v>
      </c>
      <c r="AG154" s="116" t="n">
        <f aca="false">AC154+AE154</f>
        <v>0</v>
      </c>
    </row>
    <row r="155" customFormat="false" ht="12.75" hidden="false" customHeight="false" outlineLevel="0" collapsed="false">
      <c r="A155" s="120" t="n">
        <f aca="false">EDATE(A154,1)</f>
        <v>41699</v>
      </c>
      <c r="B155" s="121" t="n">
        <v>0</v>
      </c>
      <c r="C155" s="122"/>
      <c r="D155" s="123" t="n">
        <f aca="false">B155+C155</f>
        <v>0</v>
      </c>
      <c r="E155" s="111" t="n">
        <f aca="false">IF(Z155=0,0,IF(AND(Z155=1,$H$3=1),D155*U155,IF($H$3=2,D155,"N/A")))</f>
        <v>0</v>
      </c>
      <c r="F155" s="111" t="n">
        <f aca="false">E155*Y155</f>
        <v>0</v>
      </c>
      <c r="G155" s="124" t="n">
        <f aca="false">VLOOKUP($A155,Table,MATCH(G$4,Curves,0))</f>
        <v>3</v>
      </c>
      <c r="H155" s="125" t="n">
        <f aca="false">G155+$H$7</f>
        <v>3</v>
      </c>
      <c r="I155" s="124" t="n">
        <f aca="false">H155</f>
        <v>3</v>
      </c>
      <c r="J155" s="124" t="n">
        <f aca="false">VLOOKUP($A155,Table,MATCH(J$4,Curves,0))</f>
        <v>4</v>
      </c>
      <c r="K155" s="125" t="n">
        <f aca="false">J155+$K$7</f>
        <v>4</v>
      </c>
      <c r="L155" s="126" t="n">
        <f aca="false">K155</f>
        <v>4</v>
      </c>
      <c r="M155" s="124" t="n">
        <f aca="false">VLOOKUP($A155,Table,MATCH(M$4,Curves,0))</f>
        <v>4</v>
      </c>
      <c r="N155" s="125" t="n">
        <f aca="false">M155+$N$7</f>
        <v>4</v>
      </c>
      <c r="O155" s="126" t="n">
        <f aca="false">IF(B155&gt;0,(1000/B155*0.25)+((B155-1000)/B155*0.12),0)</f>
        <v>0</v>
      </c>
      <c r="P155" s="114"/>
      <c r="Q155" s="126" t="n">
        <f aca="false">M155+J155+G155</f>
        <v>11</v>
      </c>
      <c r="R155" s="126" t="n">
        <f aca="false">N155+K155+H155</f>
        <v>11</v>
      </c>
      <c r="S155" s="126" t="n">
        <f aca="false">O155+L155+I155</f>
        <v>7</v>
      </c>
      <c r="T155" s="127"/>
      <c r="U155" s="5" t="n">
        <f aca="false">A156-A155</f>
        <v>31</v>
      </c>
      <c r="V155" s="128" t="n">
        <f aca="false">CHOOSE(F$3,A156+24,A155)</f>
        <v>41699</v>
      </c>
      <c r="W155" s="5" t="n">
        <f aca="false">V155-C$3</f>
        <v>4468</v>
      </c>
      <c r="X155" s="124" t="n">
        <f aca="false">VLOOKUP($A155,Table,MATCH(X$4,Curves,0))</f>
        <v>2</v>
      </c>
      <c r="Y155" s="129" t="n">
        <f aca="false">1/(1+CHOOSE(F$3,(X156+($K$3/10000))/2,(X155+($K$3/10000))/2))^(2*W155/365.25)</f>
        <v>4.31688339844757E-008</v>
      </c>
      <c r="Z155" s="5" t="n">
        <f aca="false">IF(AND(mthbeg&lt;=A155,mthend&gt;=A155),1,0)</f>
        <v>0</v>
      </c>
      <c r="AA155" s="5" t="n">
        <f aca="false">U155*Z155</f>
        <v>0</v>
      </c>
      <c r="AC155" s="115" t="n">
        <f aca="false">IF(G148=2,F155*(S155-Q155),F155*(Q155-S155))</f>
        <v>0</v>
      </c>
      <c r="AE155" s="116" t="n">
        <f aca="false">IF($G$3=1,F155*(R155-Q155),F155*(Q155-R155))</f>
        <v>0</v>
      </c>
      <c r="AG155" s="116" t="n">
        <f aca="false">AC155+AE155</f>
        <v>0</v>
      </c>
    </row>
    <row r="156" customFormat="false" ht="12.75" hidden="false" customHeight="false" outlineLevel="0" collapsed="false">
      <c r="A156" s="120" t="n">
        <f aca="false">EDATE(A155,1)</f>
        <v>41730</v>
      </c>
      <c r="B156" s="121" t="n">
        <v>0</v>
      </c>
      <c r="C156" s="122"/>
      <c r="D156" s="123" t="n">
        <f aca="false">B156+C156</f>
        <v>0</v>
      </c>
      <c r="E156" s="111" t="n">
        <f aca="false">IF(Z156=0,0,IF(AND(Z156=1,$H$3=1),D156*U156,IF($H$3=2,D156,"N/A")))</f>
        <v>0</v>
      </c>
      <c r="F156" s="111" t="n">
        <f aca="false">E156*Y156</f>
        <v>0</v>
      </c>
      <c r="G156" s="124" t="n">
        <f aca="false">VLOOKUP($A156,Table,MATCH(G$4,Curves,0))</f>
        <v>3</v>
      </c>
      <c r="H156" s="125" t="n">
        <f aca="false">G156+$H$7</f>
        <v>3</v>
      </c>
      <c r="I156" s="124" t="n">
        <f aca="false">H156</f>
        <v>3</v>
      </c>
      <c r="J156" s="124" t="n">
        <f aca="false">VLOOKUP($A156,Table,MATCH(J$4,Curves,0))</f>
        <v>4</v>
      </c>
      <c r="K156" s="125" t="n">
        <f aca="false">J156+$K$7</f>
        <v>4</v>
      </c>
      <c r="L156" s="126" t="n">
        <f aca="false">K156</f>
        <v>4</v>
      </c>
      <c r="M156" s="124" t="n">
        <f aca="false">VLOOKUP($A156,Table,MATCH(M$4,Curves,0))</f>
        <v>4</v>
      </c>
      <c r="N156" s="125" t="n">
        <f aca="false">M156+$N$7</f>
        <v>4</v>
      </c>
      <c r="O156" s="126" t="n">
        <f aca="false">IF(B156&gt;0,(1000/B156*0.25)+((B156-1000)/B156*0.12),0)</f>
        <v>0</v>
      </c>
      <c r="P156" s="114"/>
      <c r="Q156" s="126" t="n">
        <f aca="false">M156+J156+G156</f>
        <v>11</v>
      </c>
      <c r="R156" s="126" t="n">
        <f aca="false">N156+K156+H156</f>
        <v>11</v>
      </c>
      <c r="S156" s="126" t="n">
        <f aca="false">O156+L156+I156</f>
        <v>7</v>
      </c>
      <c r="T156" s="127"/>
      <c r="U156" s="5" t="n">
        <f aca="false">A157-A156</f>
        <v>30</v>
      </c>
      <c r="V156" s="128" t="n">
        <f aca="false">CHOOSE(F$3,A157+24,A156)</f>
        <v>41730</v>
      </c>
      <c r="W156" s="5" t="n">
        <f aca="false">V156-C$3</f>
        <v>4499</v>
      </c>
      <c r="X156" s="124" t="n">
        <f aca="false">VLOOKUP($A156,Table,MATCH(X$4,Curves,0))</f>
        <v>2</v>
      </c>
      <c r="Y156" s="129" t="n">
        <f aca="false">1/(1+CHOOSE(F$3,(X157+($K$3/10000))/2,(X156+($K$3/10000))/2))^(2*W156/365.25)</f>
        <v>3.83770382692206E-008</v>
      </c>
      <c r="Z156" s="5" t="n">
        <f aca="false">IF(AND(mthbeg&lt;=A156,mthend&gt;=A156),1,0)</f>
        <v>0</v>
      </c>
      <c r="AA156" s="5" t="n">
        <f aca="false">U156*Z156</f>
        <v>0</v>
      </c>
      <c r="AC156" s="115" t="n">
        <f aca="false">IF(G149=2,F156*(S156-Q156),F156*(Q156-S156))</f>
        <v>0</v>
      </c>
      <c r="AE156" s="116" t="n">
        <f aca="false">IF($G$3=1,F156*(R156-Q156),F156*(Q156-R156))</f>
        <v>0</v>
      </c>
      <c r="AG156" s="116" t="n">
        <f aca="false">AC156+AE156</f>
        <v>0</v>
      </c>
    </row>
    <row r="157" customFormat="false" ht="12.75" hidden="false" customHeight="false" outlineLevel="0" collapsed="false">
      <c r="A157" s="120" t="n">
        <f aca="false">EDATE(A156,1)</f>
        <v>41760</v>
      </c>
      <c r="B157" s="121" t="n">
        <v>0</v>
      </c>
      <c r="C157" s="122"/>
      <c r="D157" s="123" t="n">
        <f aca="false">B157+C157</f>
        <v>0</v>
      </c>
      <c r="E157" s="111" t="n">
        <f aca="false">IF(Z157=0,0,IF(AND(Z157=1,$H$3=1),D157*U157,IF($H$3=2,D157,"N/A")))</f>
        <v>0</v>
      </c>
      <c r="F157" s="111" t="n">
        <f aca="false">E157*Y157</f>
        <v>0</v>
      </c>
      <c r="G157" s="124" t="n">
        <f aca="false">VLOOKUP($A157,Table,MATCH(G$4,Curves,0))</f>
        <v>3</v>
      </c>
      <c r="H157" s="125" t="n">
        <f aca="false">G157+$H$7</f>
        <v>3</v>
      </c>
      <c r="I157" s="124" t="n">
        <f aca="false">H157</f>
        <v>3</v>
      </c>
      <c r="J157" s="124" t="n">
        <f aca="false">VLOOKUP($A157,Table,MATCH(J$4,Curves,0))</f>
        <v>4</v>
      </c>
      <c r="K157" s="125" t="n">
        <f aca="false">J157+$K$7</f>
        <v>4</v>
      </c>
      <c r="L157" s="126" t="n">
        <f aca="false">K157</f>
        <v>4</v>
      </c>
      <c r="M157" s="124" t="n">
        <f aca="false">VLOOKUP($A157,Table,MATCH(M$4,Curves,0))</f>
        <v>4</v>
      </c>
      <c r="N157" s="125" t="n">
        <f aca="false">M157+$N$7</f>
        <v>4</v>
      </c>
      <c r="O157" s="126" t="n">
        <f aca="false">IF(B157&gt;0,(1000/B157*0.25)+((B157-1000)/B157*0.12),0)</f>
        <v>0</v>
      </c>
      <c r="P157" s="114"/>
      <c r="Q157" s="126" t="n">
        <f aca="false">M157+J157+G157</f>
        <v>11</v>
      </c>
      <c r="R157" s="126" t="n">
        <f aca="false">N157+K157+H157</f>
        <v>11</v>
      </c>
      <c r="S157" s="126" t="n">
        <f aca="false">O157+L157+I157</f>
        <v>7</v>
      </c>
      <c r="T157" s="127"/>
      <c r="U157" s="5" t="n">
        <f aca="false">A158-A157</f>
        <v>31</v>
      </c>
      <c r="V157" s="128" t="n">
        <f aca="false">CHOOSE(F$3,A158+24,A157)</f>
        <v>41760</v>
      </c>
      <c r="W157" s="5" t="n">
        <f aca="false">V157-C$3</f>
        <v>4529</v>
      </c>
      <c r="X157" s="124" t="n">
        <f aca="false">VLOOKUP($A157,Table,MATCH(X$4,Curves,0))</f>
        <v>2</v>
      </c>
      <c r="Y157" s="129" t="n">
        <f aca="false">1/(1+CHOOSE(F$3,(X158+($K$3/10000))/2,(X157+($K$3/10000))/2))^(2*W157/365.25)</f>
        <v>3.42468745240001E-008</v>
      </c>
      <c r="Z157" s="5" t="n">
        <f aca="false">IF(AND(mthbeg&lt;=A157,mthend&gt;=A157),1,0)</f>
        <v>0</v>
      </c>
      <c r="AA157" s="5" t="n">
        <f aca="false">U157*Z157</f>
        <v>0</v>
      </c>
      <c r="AC157" s="115" t="n">
        <f aca="false">IF(G150=2,F157*(S157-Q157),F157*(Q157-S157))</f>
        <v>0</v>
      </c>
      <c r="AE157" s="116" t="n">
        <f aca="false">IF($G$3=1,F157*(R157-Q157),F157*(Q157-R157))</f>
        <v>0</v>
      </c>
      <c r="AG157" s="116" t="n">
        <f aca="false">AC157+AE157</f>
        <v>0</v>
      </c>
    </row>
    <row r="158" customFormat="false" ht="12.75" hidden="false" customHeight="false" outlineLevel="0" collapsed="false">
      <c r="A158" s="120" t="n">
        <f aca="false">EDATE(A157,1)</f>
        <v>41791</v>
      </c>
      <c r="B158" s="121" t="n">
        <v>0</v>
      </c>
      <c r="C158" s="122"/>
      <c r="D158" s="123" t="n">
        <f aca="false">B158+C158</f>
        <v>0</v>
      </c>
      <c r="E158" s="111" t="n">
        <f aca="false">IF(Z158=0,0,IF(AND(Z158=1,$H$3=1),D158*U158,IF($H$3=2,D158,"N/A")))</f>
        <v>0</v>
      </c>
      <c r="F158" s="111" t="n">
        <f aca="false">E158*Y158</f>
        <v>0</v>
      </c>
      <c r="G158" s="124" t="n">
        <f aca="false">VLOOKUP($A158,Table,MATCH(G$4,Curves,0))</f>
        <v>3</v>
      </c>
      <c r="H158" s="125" t="n">
        <f aca="false">G158+$H$7</f>
        <v>3</v>
      </c>
      <c r="I158" s="124" t="n">
        <f aca="false">H158</f>
        <v>3</v>
      </c>
      <c r="J158" s="124" t="n">
        <f aca="false">VLOOKUP($A158,Table,MATCH(J$4,Curves,0))</f>
        <v>4</v>
      </c>
      <c r="K158" s="125" t="n">
        <f aca="false">J158+$K$7</f>
        <v>4</v>
      </c>
      <c r="L158" s="126" t="n">
        <f aca="false">K158</f>
        <v>4</v>
      </c>
      <c r="M158" s="124" t="n">
        <f aca="false">VLOOKUP($A158,Table,MATCH(M$4,Curves,0))</f>
        <v>4</v>
      </c>
      <c r="N158" s="125" t="n">
        <f aca="false">M158+$N$7</f>
        <v>4</v>
      </c>
      <c r="O158" s="126" t="n">
        <f aca="false">IF(B158&gt;0,(1000/B158*0.25)+((B158-1000)/B158*0.12),0)</f>
        <v>0</v>
      </c>
      <c r="P158" s="114"/>
      <c r="Q158" s="126" t="n">
        <f aca="false">M158+J158+G158</f>
        <v>11</v>
      </c>
      <c r="R158" s="126" t="n">
        <f aca="false">N158+K158+H158</f>
        <v>11</v>
      </c>
      <c r="S158" s="126" t="n">
        <f aca="false">O158+L158+I158</f>
        <v>7</v>
      </c>
      <c r="T158" s="127"/>
      <c r="U158" s="5" t="n">
        <f aca="false">A159-A158</f>
        <v>30</v>
      </c>
      <c r="V158" s="128" t="n">
        <f aca="false">CHOOSE(F$3,A159+24,A158)</f>
        <v>41791</v>
      </c>
      <c r="W158" s="5" t="n">
        <f aca="false">V158-C$3</f>
        <v>4560</v>
      </c>
      <c r="X158" s="124" t="n">
        <f aca="false">VLOOKUP($A158,Table,MATCH(X$4,Curves,0))</f>
        <v>2</v>
      </c>
      <c r="Y158" s="129" t="n">
        <f aca="false">1/(1+CHOOSE(F$3,(X159+($K$3/10000))/2,(X158+($K$3/10000))/2))^(2*W158/365.25)</f>
        <v>3.04454277055849E-008</v>
      </c>
      <c r="Z158" s="5" t="n">
        <f aca="false">IF(AND(mthbeg&lt;=A158,mthend&gt;=A158),1,0)</f>
        <v>0</v>
      </c>
      <c r="AA158" s="5" t="n">
        <f aca="false">U158*Z158</f>
        <v>0</v>
      </c>
      <c r="AC158" s="115" t="n">
        <f aca="false">IF(G151=2,F158*(S158-Q158),F158*(Q158-S158))</f>
        <v>0</v>
      </c>
      <c r="AE158" s="116" t="n">
        <f aca="false">IF($G$3=1,F158*(R158-Q158),F158*(Q158-R158))</f>
        <v>0</v>
      </c>
      <c r="AG158" s="116" t="n">
        <f aca="false">AC158+AE158</f>
        <v>0</v>
      </c>
    </row>
    <row r="159" customFormat="false" ht="12.75" hidden="false" customHeight="false" outlineLevel="0" collapsed="false">
      <c r="A159" s="120" t="n">
        <f aca="false">EDATE(A158,1)</f>
        <v>41821</v>
      </c>
      <c r="B159" s="121" t="n">
        <v>0</v>
      </c>
      <c r="C159" s="122"/>
      <c r="D159" s="123" t="n">
        <f aca="false">B159+C159</f>
        <v>0</v>
      </c>
      <c r="E159" s="111" t="n">
        <f aca="false">IF(Z159=0,0,IF(AND(Z159=1,$H$3=1),D159*U159,IF($H$3=2,D159,"N/A")))</f>
        <v>0</v>
      </c>
      <c r="F159" s="111" t="n">
        <f aca="false">E159*Y159</f>
        <v>0</v>
      </c>
      <c r="G159" s="124" t="n">
        <f aca="false">VLOOKUP($A159,Table,MATCH(G$4,Curves,0))</f>
        <v>3</v>
      </c>
      <c r="H159" s="125" t="n">
        <f aca="false">G159+$H$7</f>
        <v>3</v>
      </c>
      <c r="I159" s="124" t="n">
        <f aca="false">H159</f>
        <v>3</v>
      </c>
      <c r="J159" s="124" t="n">
        <f aca="false">VLOOKUP($A159,Table,MATCH(J$4,Curves,0))</f>
        <v>4</v>
      </c>
      <c r="K159" s="125" t="n">
        <f aca="false">J159+$K$7</f>
        <v>4</v>
      </c>
      <c r="L159" s="126" t="n">
        <f aca="false">K159</f>
        <v>4</v>
      </c>
      <c r="M159" s="124" t="n">
        <f aca="false">VLOOKUP($A159,Table,MATCH(M$4,Curves,0))</f>
        <v>4</v>
      </c>
      <c r="N159" s="125" t="n">
        <f aca="false">M159+$N$7</f>
        <v>4</v>
      </c>
      <c r="O159" s="126" t="n">
        <f aca="false">IF(B159&gt;0,(1000/B159*0.25)+((B159-1000)/B159*0.12),0)</f>
        <v>0</v>
      </c>
      <c r="P159" s="114"/>
      <c r="Q159" s="126" t="n">
        <f aca="false">M159+J159+G159</f>
        <v>11</v>
      </c>
      <c r="R159" s="126" t="n">
        <f aca="false">N159+K159+H159</f>
        <v>11</v>
      </c>
      <c r="S159" s="126" t="n">
        <f aca="false">O159+L159+I159</f>
        <v>7</v>
      </c>
      <c r="T159" s="127"/>
      <c r="U159" s="5" t="n">
        <f aca="false">A160-A159</f>
        <v>31</v>
      </c>
      <c r="V159" s="128" t="n">
        <f aca="false">CHOOSE(F$3,A160+24,A159)</f>
        <v>41821</v>
      </c>
      <c r="W159" s="5" t="n">
        <f aca="false">V159-C$3</f>
        <v>4590</v>
      </c>
      <c r="X159" s="124" t="n">
        <f aca="false">VLOOKUP($A159,Table,MATCH(X$4,Curves,0))</f>
        <v>2</v>
      </c>
      <c r="Y159" s="129" t="n">
        <f aca="false">1/(1+CHOOSE(F$3,(X160+($K$3/10000))/2,(X159+($K$3/10000))/2))^(2*W159/365.25)</f>
        <v>2.71688694460543E-008</v>
      </c>
      <c r="Z159" s="5" t="n">
        <f aca="false">IF(AND(mthbeg&lt;=A159,mthend&gt;=A159),1,0)</f>
        <v>0</v>
      </c>
      <c r="AA159" s="5" t="n">
        <f aca="false">U159*Z159</f>
        <v>0</v>
      </c>
      <c r="AC159" s="115" t="n">
        <f aca="false">IF(G152=2,F159*(S159-Q159),F159*(Q159-S159))</f>
        <v>0</v>
      </c>
      <c r="AE159" s="116" t="n">
        <f aca="false">IF($G$3=1,F159*(R159-Q159),F159*(Q159-R159))</f>
        <v>0</v>
      </c>
      <c r="AG159" s="116" t="n">
        <f aca="false">AC159+AE159</f>
        <v>0</v>
      </c>
    </row>
    <row r="160" customFormat="false" ht="12.75" hidden="false" customHeight="false" outlineLevel="0" collapsed="false">
      <c r="A160" s="120" t="n">
        <f aca="false">EDATE(A159,1)</f>
        <v>41852</v>
      </c>
      <c r="B160" s="121" t="n">
        <v>0</v>
      </c>
      <c r="C160" s="122"/>
      <c r="D160" s="123" t="n">
        <f aca="false">B160+C160</f>
        <v>0</v>
      </c>
      <c r="E160" s="111" t="n">
        <f aca="false">IF(Z160=0,0,IF(AND(Z160=1,$H$3=1),D160*U160,IF($H$3=2,D160,"N/A")))</f>
        <v>0</v>
      </c>
      <c r="F160" s="111" t="n">
        <f aca="false">E160*Y160</f>
        <v>0</v>
      </c>
      <c r="G160" s="124" t="n">
        <f aca="false">VLOOKUP($A160,Table,MATCH(G$4,Curves,0))</f>
        <v>3</v>
      </c>
      <c r="H160" s="125" t="n">
        <f aca="false">G160+$H$7</f>
        <v>3</v>
      </c>
      <c r="I160" s="124" t="n">
        <f aca="false">H160</f>
        <v>3</v>
      </c>
      <c r="J160" s="124" t="n">
        <f aca="false">VLOOKUP($A160,Table,MATCH(J$4,Curves,0))</f>
        <v>4</v>
      </c>
      <c r="K160" s="125" t="n">
        <f aca="false">J160+$K$7</f>
        <v>4</v>
      </c>
      <c r="L160" s="126" t="n">
        <f aca="false">K160</f>
        <v>4</v>
      </c>
      <c r="M160" s="124" t="n">
        <f aca="false">VLOOKUP($A160,Table,MATCH(M$4,Curves,0))</f>
        <v>4</v>
      </c>
      <c r="N160" s="125" t="n">
        <f aca="false">M160+$N$7</f>
        <v>4</v>
      </c>
      <c r="O160" s="126" t="n">
        <f aca="false">IF(B160&gt;0,(1000/B160*0.25)+((B160-1000)/B160*0.12),0)</f>
        <v>0</v>
      </c>
      <c r="P160" s="114"/>
      <c r="Q160" s="126" t="n">
        <f aca="false">M160+J160+G160</f>
        <v>11</v>
      </c>
      <c r="R160" s="126" t="n">
        <f aca="false">N160+K160+H160</f>
        <v>11</v>
      </c>
      <c r="S160" s="126" t="n">
        <f aca="false">O160+L160+I160</f>
        <v>7</v>
      </c>
      <c r="T160" s="127"/>
      <c r="U160" s="5" t="n">
        <f aca="false">A161-A160</f>
        <v>31</v>
      </c>
      <c r="V160" s="128" t="n">
        <f aca="false">CHOOSE(F$3,A161+24,A160)</f>
        <v>41852</v>
      </c>
      <c r="W160" s="5" t="n">
        <f aca="false">V160-C$3</f>
        <v>4621</v>
      </c>
      <c r="X160" s="124" t="n">
        <f aca="false">VLOOKUP($A160,Table,MATCH(X$4,Curves,0))</f>
        <v>2</v>
      </c>
      <c r="Y160" s="129" t="n">
        <f aca="false">1/(1+CHOOSE(F$3,(X161+($K$3/10000))/2,(X160+($K$3/10000))/2))^(2*W160/365.25)</f>
        <v>2.41530902325888E-008</v>
      </c>
      <c r="Z160" s="5" t="n">
        <f aca="false">IF(AND(mthbeg&lt;=A160,mthend&gt;=A160),1,0)</f>
        <v>0</v>
      </c>
      <c r="AA160" s="5" t="n">
        <f aca="false">U160*Z160</f>
        <v>0</v>
      </c>
      <c r="AC160" s="115" t="n">
        <f aca="false">IF(G153=2,F160*(S160-Q160),F160*(Q160-S160))</f>
        <v>0</v>
      </c>
      <c r="AE160" s="116" t="n">
        <f aca="false">IF($G$3=1,F160*(R160-Q160),F160*(Q160-R160))</f>
        <v>0</v>
      </c>
      <c r="AG160" s="116" t="n">
        <f aca="false">AC160+AE160</f>
        <v>0</v>
      </c>
    </row>
    <row r="161" customFormat="false" ht="12.75" hidden="false" customHeight="false" outlineLevel="0" collapsed="false">
      <c r="A161" s="120" t="n">
        <f aca="false">EDATE(A160,1)</f>
        <v>41883</v>
      </c>
      <c r="B161" s="121" t="n">
        <v>0</v>
      </c>
      <c r="C161" s="122"/>
      <c r="D161" s="123" t="n">
        <f aca="false">B161+C161</f>
        <v>0</v>
      </c>
      <c r="E161" s="111" t="n">
        <f aca="false">IF(Z161=0,0,IF(AND(Z161=1,$H$3=1),D161*U161,IF($H$3=2,D161,"N/A")))</f>
        <v>0</v>
      </c>
      <c r="F161" s="111" t="n">
        <f aca="false">E161*Y161</f>
        <v>0</v>
      </c>
      <c r="G161" s="124" t="n">
        <f aca="false">VLOOKUP($A161,Table,MATCH(G$4,Curves,0))</f>
        <v>3</v>
      </c>
      <c r="H161" s="125" t="n">
        <f aca="false">G161+$H$7</f>
        <v>3</v>
      </c>
      <c r="I161" s="124" t="n">
        <f aca="false">H161</f>
        <v>3</v>
      </c>
      <c r="J161" s="124" t="n">
        <f aca="false">VLOOKUP($A161,Table,MATCH(J$4,Curves,0))</f>
        <v>4</v>
      </c>
      <c r="K161" s="125" t="n">
        <f aca="false">J161+$K$7</f>
        <v>4</v>
      </c>
      <c r="L161" s="126" t="n">
        <f aca="false">K161</f>
        <v>4</v>
      </c>
      <c r="M161" s="124" t="n">
        <f aca="false">VLOOKUP($A161,Table,MATCH(M$4,Curves,0))</f>
        <v>4</v>
      </c>
      <c r="N161" s="125" t="n">
        <f aca="false">M161+$N$7</f>
        <v>4</v>
      </c>
      <c r="O161" s="126" t="n">
        <f aca="false">IF(B161&gt;0,(1000/B161*0.25)+((B161-1000)/B161*0.12),0)</f>
        <v>0</v>
      </c>
      <c r="P161" s="114"/>
      <c r="Q161" s="126" t="n">
        <f aca="false">M161+J161+G161</f>
        <v>11</v>
      </c>
      <c r="R161" s="126" t="n">
        <f aca="false">N161+K161+H161</f>
        <v>11</v>
      </c>
      <c r="S161" s="126" t="n">
        <f aca="false">O161+L161+I161</f>
        <v>7</v>
      </c>
      <c r="T161" s="127"/>
      <c r="U161" s="5" t="n">
        <f aca="false">A162-A161</f>
        <v>30</v>
      </c>
      <c r="V161" s="128" t="n">
        <f aca="false">CHOOSE(F$3,A162+24,A161)</f>
        <v>41883</v>
      </c>
      <c r="W161" s="5" t="n">
        <f aca="false">V161-C$3</f>
        <v>4652</v>
      </c>
      <c r="X161" s="124" t="n">
        <f aca="false">VLOOKUP($A161,Table,MATCH(X$4,Curves,0))</f>
        <v>2</v>
      </c>
      <c r="Y161" s="129" t="n">
        <f aca="false">1/(1+CHOOSE(F$3,(X162+($K$3/10000))/2,(X161+($K$3/10000))/2))^(2*W161/365.25)</f>
        <v>2.1472066364112E-008</v>
      </c>
      <c r="Z161" s="5" t="n">
        <f aca="false">IF(AND(mthbeg&lt;=A161,mthend&gt;=A161),1,0)</f>
        <v>0</v>
      </c>
      <c r="AA161" s="5" t="n">
        <f aca="false">U161*Z161</f>
        <v>0</v>
      </c>
      <c r="AC161" s="115" t="n">
        <f aca="false">IF(G154=2,F161*(S161-Q161),F161*(Q161-S161))</f>
        <v>0</v>
      </c>
      <c r="AE161" s="116" t="n">
        <f aca="false">IF($G$3=1,F161*(R161-Q161),F161*(Q161-R161))</f>
        <v>0</v>
      </c>
      <c r="AG161" s="116" t="n">
        <f aca="false">AC161+AE161</f>
        <v>0</v>
      </c>
    </row>
    <row r="162" customFormat="false" ht="12.75" hidden="false" customHeight="false" outlineLevel="0" collapsed="false">
      <c r="A162" s="120" t="n">
        <f aca="false">EDATE(A161,1)</f>
        <v>41913</v>
      </c>
      <c r="B162" s="121" t="n">
        <v>0</v>
      </c>
      <c r="C162" s="122"/>
      <c r="D162" s="123" t="n">
        <f aca="false">B162+C162</f>
        <v>0</v>
      </c>
      <c r="E162" s="111" t="n">
        <f aca="false">IF(Z162=0,0,IF(AND(Z162=1,$H$3=1),D162*U162,IF($H$3=2,D162,"N/A")))</f>
        <v>0</v>
      </c>
      <c r="F162" s="111" t="n">
        <f aca="false">E162*Y162</f>
        <v>0</v>
      </c>
      <c r="G162" s="124" t="n">
        <f aca="false">VLOOKUP($A162,Table,MATCH(G$4,Curves,0))</f>
        <v>3</v>
      </c>
      <c r="H162" s="125" t="n">
        <f aca="false">G162+$H$7</f>
        <v>3</v>
      </c>
      <c r="I162" s="124" t="n">
        <f aca="false">H162</f>
        <v>3</v>
      </c>
      <c r="J162" s="124" t="n">
        <f aca="false">VLOOKUP($A162,Table,MATCH(J$4,Curves,0))</f>
        <v>4</v>
      </c>
      <c r="K162" s="125" t="n">
        <f aca="false">J162+$K$7</f>
        <v>4</v>
      </c>
      <c r="L162" s="126" t="n">
        <f aca="false">K162</f>
        <v>4</v>
      </c>
      <c r="M162" s="124" t="n">
        <f aca="false">VLOOKUP($A162,Table,MATCH(M$4,Curves,0))</f>
        <v>4</v>
      </c>
      <c r="N162" s="125" t="n">
        <f aca="false">M162+$N$7</f>
        <v>4</v>
      </c>
      <c r="O162" s="126" t="n">
        <f aca="false">IF(B162&gt;0,(1000/B162*0.25)+((B162-1000)/B162*0.12),0)</f>
        <v>0</v>
      </c>
      <c r="P162" s="114"/>
      <c r="Q162" s="126" t="n">
        <f aca="false">M162+J162+G162</f>
        <v>11</v>
      </c>
      <c r="R162" s="126" t="n">
        <f aca="false">N162+K162+H162</f>
        <v>11</v>
      </c>
      <c r="S162" s="126" t="n">
        <f aca="false">O162+L162+I162</f>
        <v>7</v>
      </c>
      <c r="T162" s="127"/>
      <c r="U162" s="5" t="n">
        <f aca="false">A163-A162</f>
        <v>31</v>
      </c>
      <c r="V162" s="128" t="n">
        <f aca="false">CHOOSE(F$3,A163+24,A162)</f>
        <v>41913</v>
      </c>
      <c r="W162" s="5" t="n">
        <f aca="false">V162-C$3</f>
        <v>4682</v>
      </c>
      <c r="X162" s="124" t="n">
        <f aca="false">VLOOKUP($A162,Table,MATCH(X$4,Curves,0))</f>
        <v>2</v>
      </c>
      <c r="Y162" s="129" t="n">
        <f aca="false">1/(1+CHOOSE(F$3,(X163+($K$3/10000))/2,(X162+($K$3/10000))/2))^(2*W162/365.25)</f>
        <v>1.91612275388255E-008</v>
      </c>
      <c r="Z162" s="5" t="n">
        <f aca="false">IF(AND(mthbeg&lt;=A162,mthend&gt;=A162),1,0)</f>
        <v>0</v>
      </c>
      <c r="AA162" s="5" t="n">
        <f aca="false">U162*Z162</f>
        <v>0</v>
      </c>
      <c r="AC162" s="115" t="n">
        <f aca="false">IF(G155=2,F162*(S162-Q162),F162*(Q162-S162))</f>
        <v>0</v>
      </c>
      <c r="AE162" s="116" t="n">
        <f aca="false">IF($G$3=1,F162*(R162-Q162),F162*(Q162-R162))</f>
        <v>0</v>
      </c>
      <c r="AG162" s="116" t="n">
        <f aca="false">AC162+AE162</f>
        <v>0</v>
      </c>
    </row>
    <row r="163" customFormat="false" ht="12.75" hidden="false" customHeight="false" outlineLevel="0" collapsed="false">
      <c r="A163" s="120" t="n">
        <f aca="false">EDATE(A162,1)</f>
        <v>41944</v>
      </c>
      <c r="B163" s="121" t="n">
        <v>0</v>
      </c>
      <c r="C163" s="122"/>
      <c r="D163" s="123" t="n">
        <f aca="false">B163+C163</f>
        <v>0</v>
      </c>
      <c r="E163" s="111" t="n">
        <f aca="false">IF(Z163=0,0,IF(AND(Z163=1,$H$3=1),D163*U163,IF($H$3=2,D163,"N/A")))</f>
        <v>0</v>
      </c>
      <c r="F163" s="111" t="n">
        <f aca="false">E163*Y163</f>
        <v>0</v>
      </c>
      <c r="G163" s="124" t="n">
        <f aca="false">VLOOKUP($A163,Table,MATCH(G$4,Curves,0))</f>
        <v>3</v>
      </c>
      <c r="H163" s="125" t="n">
        <f aca="false">G163+$H$7</f>
        <v>3</v>
      </c>
      <c r="I163" s="124" t="n">
        <f aca="false">H163</f>
        <v>3</v>
      </c>
      <c r="J163" s="124" t="n">
        <f aca="false">VLOOKUP($A163,Table,MATCH(J$4,Curves,0))</f>
        <v>4</v>
      </c>
      <c r="K163" s="125" t="n">
        <f aca="false">J163+$K$7</f>
        <v>4</v>
      </c>
      <c r="L163" s="126" t="n">
        <f aca="false">K163</f>
        <v>4</v>
      </c>
      <c r="M163" s="124" t="n">
        <f aca="false">VLOOKUP($A163,Table,MATCH(M$4,Curves,0))</f>
        <v>4</v>
      </c>
      <c r="N163" s="125" t="n">
        <f aca="false">M163+$N$7</f>
        <v>4</v>
      </c>
      <c r="O163" s="126" t="n">
        <f aca="false">IF(B163&gt;0,(1000/B163*0.25)+((B163-1000)/B163*0.12),0)</f>
        <v>0</v>
      </c>
      <c r="P163" s="114"/>
      <c r="Q163" s="126" t="n">
        <f aca="false">M163+J163+G163</f>
        <v>11</v>
      </c>
      <c r="R163" s="126" t="n">
        <f aca="false">N163+K163+H163</f>
        <v>11</v>
      </c>
      <c r="S163" s="126" t="n">
        <f aca="false">O163+L163+I163</f>
        <v>7</v>
      </c>
      <c r="T163" s="127"/>
      <c r="U163" s="5" t="n">
        <f aca="false">A164-A163</f>
        <v>30</v>
      </c>
      <c r="V163" s="128" t="n">
        <f aca="false">CHOOSE(F$3,A164+24,A163)</f>
        <v>41944</v>
      </c>
      <c r="W163" s="5" t="n">
        <f aca="false">V163-C$3</f>
        <v>4713</v>
      </c>
      <c r="X163" s="124" t="n">
        <f aca="false">VLOOKUP($A163,Table,MATCH(X$4,Curves,0))</f>
        <v>2</v>
      </c>
      <c r="Y163" s="129" t="n">
        <f aca="false">1/(1+CHOOSE(F$3,(X164+($K$3/10000))/2,(X163+($K$3/10000))/2))^(2*W163/365.25)</f>
        <v>1.70343068058589E-008</v>
      </c>
      <c r="Z163" s="5" t="n">
        <f aca="false">IF(AND(mthbeg&lt;=A163,mthend&gt;=A163),1,0)</f>
        <v>0</v>
      </c>
      <c r="AA163" s="5" t="n">
        <f aca="false">U163*Z163</f>
        <v>0</v>
      </c>
      <c r="AC163" s="115" t="n">
        <f aca="false">IF(G156=2,F163*(S163-Q163),F163*(Q163-S163))</f>
        <v>0</v>
      </c>
      <c r="AE163" s="116" t="n">
        <f aca="false">IF($G$3=1,F163*(R163-Q163),F163*(Q163-R163))</f>
        <v>0</v>
      </c>
      <c r="AG163" s="116" t="n">
        <f aca="false">AC163+AE163</f>
        <v>0</v>
      </c>
    </row>
    <row r="164" customFormat="false" ht="12.75" hidden="false" customHeight="false" outlineLevel="0" collapsed="false">
      <c r="A164" s="120" t="n">
        <f aca="false">EDATE(A163,1)</f>
        <v>41974</v>
      </c>
      <c r="B164" s="121" t="n">
        <v>0</v>
      </c>
      <c r="C164" s="122"/>
      <c r="D164" s="123" t="n">
        <f aca="false">B164+C164</f>
        <v>0</v>
      </c>
      <c r="E164" s="111" t="n">
        <f aca="false">IF(Z164=0,0,IF(AND(Z164=1,$H$3=1),D164*U164,IF($H$3=2,D164,"N/A")))</f>
        <v>0</v>
      </c>
      <c r="F164" s="111" t="n">
        <f aca="false">E164*Y164</f>
        <v>0</v>
      </c>
      <c r="G164" s="124" t="n">
        <f aca="false">VLOOKUP($A164,Table,MATCH(G$4,Curves,0))</f>
        <v>3</v>
      </c>
      <c r="H164" s="125" t="n">
        <f aca="false">G164+$H$7</f>
        <v>3</v>
      </c>
      <c r="I164" s="124" t="n">
        <f aca="false">H164</f>
        <v>3</v>
      </c>
      <c r="J164" s="124" t="n">
        <f aca="false">VLOOKUP($A164,Table,MATCH(J$4,Curves,0))</f>
        <v>4</v>
      </c>
      <c r="K164" s="125" t="n">
        <f aca="false">J164+$K$7</f>
        <v>4</v>
      </c>
      <c r="L164" s="126" t="n">
        <f aca="false">K164</f>
        <v>4</v>
      </c>
      <c r="M164" s="124" t="n">
        <f aca="false">VLOOKUP($A164,Table,MATCH(M$4,Curves,0))</f>
        <v>4</v>
      </c>
      <c r="N164" s="125" t="n">
        <f aca="false">M164+$N$7</f>
        <v>4</v>
      </c>
      <c r="O164" s="126" t="n">
        <f aca="false">IF(B164&gt;0,(1000/B164*0.25)+((B164-1000)/B164*0.12),0)</f>
        <v>0</v>
      </c>
      <c r="P164" s="114"/>
      <c r="Q164" s="126" t="n">
        <f aca="false">M164+J164+G164</f>
        <v>11</v>
      </c>
      <c r="R164" s="126" t="n">
        <f aca="false">N164+K164+H164</f>
        <v>11</v>
      </c>
      <c r="S164" s="126" t="n">
        <f aca="false">O164+L164+I164</f>
        <v>7</v>
      </c>
      <c r="T164" s="127"/>
      <c r="U164" s="5" t="n">
        <f aca="false">A165-A164</f>
        <v>31</v>
      </c>
      <c r="V164" s="128" t="n">
        <f aca="false">CHOOSE(F$3,A165+24,A164)</f>
        <v>41974</v>
      </c>
      <c r="W164" s="5" t="n">
        <f aca="false">V164-C$3</f>
        <v>4743</v>
      </c>
      <c r="X164" s="124" t="n">
        <f aca="false">VLOOKUP($A164,Table,MATCH(X$4,Curves,0))</f>
        <v>2</v>
      </c>
      <c r="Y164" s="129" t="n">
        <f aca="false">1/(1+CHOOSE(F$3,(X165+($K$3/10000))/2,(X164+($K$3/10000))/2))^(2*W164/365.25)</f>
        <v>1.52010627732952E-008</v>
      </c>
      <c r="Z164" s="5" t="n">
        <f aca="false">IF(AND(mthbeg&lt;=A164,mthend&gt;=A164),1,0)</f>
        <v>0</v>
      </c>
      <c r="AA164" s="5" t="n">
        <f aca="false">U164*Z164</f>
        <v>0</v>
      </c>
      <c r="AC164" s="115" t="n">
        <f aca="false">IF(G157=2,F164*(S164-Q164),F164*(Q164-S164))</f>
        <v>0</v>
      </c>
      <c r="AE164" s="116" t="n">
        <f aca="false">IF($G$3=1,F164*(R164-Q164),F164*(Q164-R164))</f>
        <v>0</v>
      </c>
      <c r="AG164" s="116" t="n">
        <f aca="false">AC164+AE164</f>
        <v>0</v>
      </c>
    </row>
    <row r="165" customFormat="false" ht="12.75" hidden="false" customHeight="false" outlineLevel="0" collapsed="false">
      <c r="A165" s="120" t="n">
        <f aca="false">EDATE(A164,1)</f>
        <v>42005</v>
      </c>
      <c r="B165" s="121" t="n">
        <v>0</v>
      </c>
      <c r="C165" s="122"/>
      <c r="D165" s="123" t="n">
        <f aca="false">B165+C165</f>
        <v>0</v>
      </c>
      <c r="E165" s="111" t="n">
        <f aca="false">IF(Z165=0,0,IF(AND(Z165=1,$H$3=1),D165*U165,IF($H$3=2,D165,"N/A")))</f>
        <v>0</v>
      </c>
      <c r="F165" s="111" t="n">
        <f aca="false">E165*Y165</f>
        <v>0</v>
      </c>
      <c r="G165" s="124" t="n">
        <f aca="false">VLOOKUP($A165,Table,MATCH(G$4,Curves,0))</f>
        <v>3</v>
      </c>
      <c r="H165" s="125" t="n">
        <f aca="false">G165+$H$7</f>
        <v>3</v>
      </c>
      <c r="I165" s="124" t="n">
        <f aca="false">H165</f>
        <v>3</v>
      </c>
      <c r="J165" s="124" t="n">
        <f aca="false">VLOOKUP($A165,Table,MATCH(J$4,Curves,0))</f>
        <v>4</v>
      </c>
      <c r="K165" s="125" t="n">
        <f aca="false">J165+$K$7</f>
        <v>4</v>
      </c>
      <c r="L165" s="126" t="n">
        <f aca="false">K165</f>
        <v>4</v>
      </c>
      <c r="M165" s="124" t="n">
        <f aca="false">VLOOKUP($A165,Table,MATCH(M$4,Curves,0))</f>
        <v>4</v>
      </c>
      <c r="N165" s="125" t="n">
        <f aca="false">M165+$N$7</f>
        <v>4</v>
      </c>
      <c r="O165" s="126" t="n">
        <f aca="false">IF(B165&gt;0,(1000/B165*0.25)+((B165-1000)/B165*0.12),0)</f>
        <v>0</v>
      </c>
      <c r="P165" s="114"/>
      <c r="Q165" s="126" t="n">
        <f aca="false">M165+J165+G165</f>
        <v>11</v>
      </c>
      <c r="R165" s="126" t="n">
        <f aca="false">N165+K165+H165</f>
        <v>11</v>
      </c>
      <c r="S165" s="126" t="n">
        <f aca="false">O165+L165+I165</f>
        <v>7</v>
      </c>
      <c r="T165" s="127"/>
      <c r="U165" s="5" t="n">
        <f aca="false">A166-A165</f>
        <v>31</v>
      </c>
      <c r="V165" s="128" t="n">
        <f aca="false">CHOOSE(F$3,A166+24,A165)</f>
        <v>42005</v>
      </c>
      <c r="W165" s="5" t="n">
        <f aca="false">V165-C$3</f>
        <v>4774</v>
      </c>
      <c r="X165" s="124" t="n">
        <f aca="false">VLOOKUP($A165,Table,MATCH(X$4,Curves,0))</f>
        <v>2</v>
      </c>
      <c r="Y165" s="129" t="n">
        <f aca="false">1/(1+CHOOSE(F$3,(X166+($K$3/10000))/2,(X165+($K$3/10000))/2))^(2*W165/365.25)</f>
        <v>1.35137253879353E-008</v>
      </c>
      <c r="Z165" s="5" t="n">
        <f aca="false">IF(AND(mthbeg&lt;=A165,mthend&gt;=A165),1,0)</f>
        <v>0</v>
      </c>
      <c r="AA165" s="5" t="n">
        <f aca="false">U165*Z165</f>
        <v>0</v>
      </c>
      <c r="AC165" s="115" t="n">
        <f aca="false">IF(G158=2,F165*(S165-Q165),F165*(Q165-S165))</f>
        <v>0</v>
      </c>
      <c r="AE165" s="116" t="n">
        <f aca="false">IF($G$3=1,F165*(R165-Q165),F165*(Q165-R165))</f>
        <v>0</v>
      </c>
      <c r="AG165" s="116" t="n">
        <f aca="false">AC165+AE165</f>
        <v>0</v>
      </c>
    </row>
    <row r="166" customFormat="false" ht="12.75" hidden="false" customHeight="false" outlineLevel="0" collapsed="false">
      <c r="A166" s="120" t="n">
        <f aca="false">EDATE(A165,1)</f>
        <v>42036</v>
      </c>
      <c r="B166" s="121" t="n">
        <v>0</v>
      </c>
      <c r="C166" s="122"/>
      <c r="D166" s="123" t="n">
        <f aca="false">B166+C166</f>
        <v>0</v>
      </c>
      <c r="E166" s="111" t="n">
        <f aca="false">IF(Z166=0,0,IF(AND(Z166=1,$H$3=1),D166*U166,IF($H$3=2,D166,"N/A")))</f>
        <v>0</v>
      </c>
      <c r="F166" s="111" t="n">
        <f aca="false">E166*Y166</f>
        <v>0</v>
      </c>
      <c r="G166" s="124" t="n">
        <f aca="false">VLOOKUP($A166,Table,MATCH(G$4,Curves,0))</f>
        <v>3</v>
      </c>
      <c r="H166" s="125" t="n">
        <f aca="false">G166+$H$7</f>
        <v>3</v>
      </c>
      <c r="I166" s="124" t="n">
        <f aca="false">H166</f>
        <v>3</v>
      </c>
      <c r="J166" s="124" t="n">
        <f aca="false">VLOOKUP($A166,Table,MATCH(J$4,Curves,0))</f>
        <v>4</v>
      </c>
      <c r="K166" s="125" t="n">
        <f aca="false">J166+$K$7</f>
        <v>4</v>
      </c>
      <c r="L166" s="126" t="n">
        <f aca="false">K166</f>
        <v>4</v>
      </c>
      <c r="M166" s="124" t="n">
        <f aca="false">VLOOKUP($A166,Table,MATCH(M$4,Curves,0))</f>
        <v>4</v>
      </c>
      <c r="N166" s="125" t="n">
        <f aca="false">M166+$N$7</f>
        <v>4</v>
      </c>
      <c r="O166" s="126" t="n">
        <f aca="false">IF(B166&gt;0,(1000/B166*0.25)+((B166-1000)/B166*0.12),0)</f>
        <v>0</v>
      </c>
      <c r="P166" s="114"/>
      <c r="Q166" s="126" t="n">
        <f aca="false">M166+J166+G166</f>
        <v>11</v>
      </c>
      <c r="R166" s="126" t="n">
        <f aca="false">N166+K166+H166</f>
        <v>11</v>
      </c>
      <c r="S166" s="126" t="n">
        <f aca="false">O166+L166+I166</f>
        <v>7</v>
      </c>
      <c r="T166" s="127"/>
      <c r="U166" s="5" t="n">
        <f aca="false">A167-A166</f>
        <v>28</v>
      </c>
      <c r="V166" s="128" t="n">
        <f aca="false">CHOOSE(F$3,A167+24,A166)</f>
        <v>42036</v>
      </c>
      <c r="W166" s="5" t="n">
        <f aca="false">V166-C$3</f>
        <v>4805</v>
      </c>
      <c r="X166" s="124" t="n">
        <f aca="false">VLOOKUP($A166,Table,MATCH(X$4,Curves,0))</f>
        <v>2</v>
      </c>
      <c r="Y166" s="129" t="n">
        <f aca="false">1/(1+CHOOSE(F$3,(X167+($K$3/10000))/2,(X166+($K$3/10000))/2))^(2*W166/365.25)</f>
        <v>1.20136846077204E-008</v>
      </c>
      <c r="Z166" s="5" t="n">
        <f aca="false">IF(AND(mthbeg&lt;=A166,mthend&gt;=A166),1,0)</f>
        <v>0</v>
      </c>
      <c r="AA166" s="5" t="n">
        <f aca="false">U166*Z166</f>
        <v>0</v>
      </c>
      <c r="AC166" s="115" t="n">
        <f aca="false">IF(G159=2,F166*(S166-Q166),F166*(Q166-S166))</f>
        <v>0</v>
      </c>
      <c r="AE166" s="116" t="n">
        <f aca="false">IF($G$3=1,F166*(R166-Q166),F166*(Q166-R166))</f>
        <v>0</v>
      </c>
      <c r="AG166" s="116" t="n">
        <f aca="false">AC166+AE166</f>
        <v>0</v>
      </c>
    </row>
    <row r="167" customFormat="false" ht="12.75" hidden="false" customHeight="false" outlineLevel="0" collapsed="false">
      <c r="A167" s="120" t="n">
        <f aca="false">EDATE(A166,1)</f>
        <v>42064</v>
      </c>
      <c r="B167" s="121" t="n">
        <v>0</v>
      </c>
      <c r="C167" s="122"/>
      <c r="D167" s="123" t="n">
        <f aca="false">B167+C167</f>
        <v>0</v>
      </c>
      <c r="E167" s="111" t="n">
        <f aca="false">IF(Z167=0,0,IF(AND(Z167=1,$H$3=1),D167*U167,IF($H$3=2,D167,"N/A")))</f>
        <v>0</v>
      </c>
      <c r="F167" s="111" t="n">
        <f aca="false">E167*Y167</f>
        <v>0</v>
      </c>
      <c r="G167" s="124" t="n">
        <f aca="false">VLOOKUP($A167,Table,MATCH(G$4,Curves,0))</f>
        <v>3</v>
      </c>
      <c r="H167" s="125" t="n">
        <f aca="false">G167+$H$7</f>
        <v>3</v>
      </c>
      <c r="I167" s="124" t="n">
        <f aca="false">H167</f>
        <v>3</v>
      </c>
      <c r="J167" s="124" t="n">
        <f aca="false">VLOOKUP($A167,Table,MATCH(J$4,Curves,0))</f>
        <v>4</v>
      </c>
      <c r="K167" s="125" t="n">
        <f aca="false">J167+$K$7</f>
        <v>4</v>
      </c>
      <c r="L167" s="126" t="n">
        <f aca="false">K167</f>
        <v>4</v>
      </c>
      <c r="M167" s="124" t="n">
        <f aca="false">VLOOKUP($A167,Table,MATCH(M$4,Curves,0))</f>
        <v>4</v>
      </c>
      <c r="N167" s="125" t="n">
        <f aca="false">M167+$N$7</f>
        <v>4</v>
      </c>
      <c r="O167" s="126" t="n">
        <f aca="false">IF(B167&gt;0,(1000/B167*0.25)+((B167-1000)/B167*0.12),0)</f>
        <v>0</v>
      </c>
      <c r="P167" s="114"/>
      <c r="Q167" s="126" t="n">
        <f aca="false">M167+J167+G167</f>
        <v>11</v>
      </c>
      <c r="R167" s="126" t="n">
        <f aca="false">N167+K167+H167</f>
        <v>11</v>
      </c>
      <c r="S167" s="126" t="n">
        <f aca="false">O167+L167+I167</f>
        <v>7</v>
      </c>
      <c r="T167" s="127"/>
      <c r="U167" s="5" t="n">
        <f aca="false">A168-A167</f>
        <v>31</v>
      </c>
      <c r="V167" s="128" t="n">
        <f aca="false">CHOOSE(F$3,A168+24,A167)</f>
        <v>42064</v>
      </c>
      <c r="W167" s="5" t="n">
        <f aca="false">V167-C$3</f>
        <v>4833</v>
      </c>
      <c r="X167" s="124" t="n">
        <f aca="false">VLOOKUP($A167,Table,MATCH(X$4,Curves,0))</f>
        <v>2</v>
      </c>
      <c r="Y167" s="129" t="n">
        <f aca="false">1/(1+CHOOSE(F$3,(X168+($K$3/10000))/2,(X167+($K$3/10000))/2))^(2*W167/365.25)</f>
        <v>1.08024537241203E-008</v>
      </c>
      <c r="Z167" s="5" t="n">
        <f aca="false">IF(AND(mthbeg&lt;=A167,mthend&gt;=A167),1,0)</f>
        <v>0</v>
      </c>
      <c r="AA167" s="5" t="n">
        <f aca="false">U167*Z167</f>
        <v>0</v>
      </c>
      <c r="AC167" s="115" t="n">
        <f aca="false">IF(G160=2,F167*(S167-Q167),F167*(Q167-S167))</f>
        <v>0</v>
      </c>
      <c r="AE167" s="116" t="n">
        <f aca="false">IF($G$3=1,F167*(R167-Q167),F167*(Q167-R167))</f>
        <v>0</v>
      </c>
      <c r="AG167" s="116" t="n">
        <f aca="false">AC167+AE167</f>
        <v>0</v>
      </c>
    </row>
    <row r="168" customFormat="false" ht="12.75" hidden="false" customHeight="false" outlineLevel="0" collapsed="false">
      <c r="A168" s="120" t="n">
        <f aca="false">EDATE(A167,1)</f>
        <v>42095</v>
      </c>
      <c r="B168" s="121" t="n">
        <v>0</v>
      </c>
      <c r="C168" s="122"/>
      <c r="D168" s="123" t="n">
        <f aca="false">B168+C168</f>
        <v>0</v>
      </c>
      <c r="E168" s="111" t="n">
        <f aca="false">IF(Z168=0,0,IF(AND(Z168=1,$H$3=1),D168*U168,IF($H$3=2,D168,"N/A")))</f>
        <v>0</v>
      </c>
      <c r="F168" s="111" t="n">
        <f aca="false">E168*Y168</f>
        <v>0</v>
      </c>
      <c r="G168" s="124" t="n">
        <f aca="false">VLOOKUP($A168,Table,MATCH(G$4,Curves,0))</f>
        <v>3</v>
      </c>
      <c r="H168" s="125" t="n">
        <f aca="false">G168+$H$7</f>
        <v>3</v>
      </c>
      <c r="I168" s="124" t="n">
        <f aca="false">H168</f>
        <v>3</v>
      </c>
      <c r="J168" s="124" t="n">
        <f aca="false">VLOOKUP($A168,Table,MATCH(J$4,Curves,0))</f>
        <v>4</v>
      </c>
      <c r="K168" s="125" t="n">
        <f aca="false">J168+$K$7</f>
        <v>4</v>
      </c>
      <c r="L168" s="126" t="n">
        <f aca="false">K168</f>
        <v>4</v>
      </c>
      <c r="M168" s="124" t="n">
        <f aca="false">VLOOKUP($A168,Table,MATCH(M$4,Curves,0))</f>
        <v>4</v>
      </c>
      <c r="N168" s="125" t="n">
        <f aca="false">M168+$N$7</f>
        <v>4</v>
      </c>
      <c r="O168" s="126" t="n">
        <f aca="false">IF(B168&gt;0,(1000/B168*0.25)+((B168-1000)/B168*0.12),0)</f>
        <v>0</v>
      </c>
      <c r="P168" s="114"/>
      <c r="Q168" s="126" t="n">
        <f aca="false">M168+J168+G168</f>
        <v>11</v>
      </c>
      <c r="R168" s="126" t="n">
        <f aca="false">N168+K168+H168</f>
        <v>11</v>
      </c>
      <c r="S168" s="126" t="n">
        <f aca="false">O168+L168+I168</f>
        <v>7</v>
      </c>
      <c r="T168" s="127"/>
      <c r="U168" s="5" t="n">
        <f aca="false">A169-A168</f>
        <v>30</v>
      </c>
      <c r="V168" s="128" t="n">
        <f aca="false">CHOOSE(F$3,A169+24,A168)</f>
        <v>42095</v>
      </c>
      <c r="W168" s="5" t="n">
        <f aca="false">V168-C$3</f>
        <v>4864</v>
      </c>
      <c r="X168" s="124" t="n">
        <f aca="false">VLOOKUP($A168,Table,MATCH(X$4,Curves,0))</f>
        <v>2</v>
      </c>
      <c r="Y168" s="129" t="n">
        <f aca="false">1/(1+CHOOSE(F$3,(X169+($K$3/10000))/2,(X168+($K$3/10000))/2))^(2*W168/365.25)</f>
        <v>9.60336756191134E-009</v>
      </c>
      <c r="Z168" s="5" t="n">
        <f aca="false">IF(AND(mthbeg&lt;=A168,mthend&gt;=A168),1,0)</f>
        <v>0</v>
      </c>
      <c r="AA168" s="5" t="n">
        <f aca="false">U168*Z168</f>
        <v>0</v>
      </c>
      <c r="AC168" s="115" t="n">
        <f aca="false">IF(G161=2,F168*(S168-Q168),F168*(Q168-S168))</f>
        <v>0</v>
      </c>
      <c r="AE168" s="116" t="n">
        <f aca="false">IF($G$3=1,F168*(R168-Q168),F168*(Q168-R168))</f>
        <v>0</v>
      </c>
      <c r="AG168" s="116" t="n">
        <f aca="false">AC168+AE168</f>
        <v>0</v>
      </c>
    </row>
    <row r="169" customFormat="false" ht="12.75" hidden="false" customHeight="false" outlineLevel="0" collapsed="false">
      <c r="A169" s="120" t="n">
        <f aca="false">EDATE(A168,1)</f>
        <v>42125</v>
      </c>
      <c r="B169" s="121" t="n">
        <v>0</v>
      </c>
      <c r="C169" s="122"/>
      <c r="D169" s="123" t="n">
        <f aca="false">B169+C169</f>
        <v>0</v>
      </c>
      <c r="E169" s="111" t="n">
        <f aca="false">IF(Z169=0,0,IF(AND(Z169=1,$H$3=1),D169*U169,IF($H$3=2,D169,"N/A")))</f>
        <v>0</v>
      </c>
      <c r="F169" s="111" t="n">
        <f aca="false">E169*Y169</f>
        <v>0</v>
      </c>
      <c r="G169" s="124" t="n">
        <f aca="false">VLOOKUP($A169,Table,MATCH(G$4,Curves,0))</f>
        <v>3</v>
      </c>
      <c r="H169" s="125" t="n">
        <f aca="false">G169+$H$7</f>
        <v>3</v>
      </c>
      <c r="I169" s="124" t="n">
        <f aca="false">H169</f>
        <v>3</v>
      </c>
      <c r="J169" s="124" t="n">
        <f aca="false">VLOOKUP($A169,Table,MATCH(J$4,Curves,0))</f>
        <v>4</v>
      </c>
      <c r="K169" s="125" t="n">
        <f aca="false">J169+$K$7</f>
        <v>4</v>
      </c>
      <c r="L169" s="126" t="n">
        <f aca="false">K169</f>
        <v>4</v>
      </c>
      <c r="M169" s="124" t="n">
        <f aca="false">VLOOKUP($A169,Table,MATCH(M$4,Curves,0))</f>
        <v>4</v>
      </c>
      <c r="N169" s="125" t="n">
        <f aca="false">M169+$N$7</f>
        <v>4</v>
      </c>
      <c r="O169" s="126" t="n">
        <f aca="false">IF(B169&gt;0,(1000/B169*0.25)+((B169-1000)/B169*0.12),0)</f>
        <v>0</v>
      </c>
      <c r="P169" s="114"/>
      <c r="Q169" s="126" t="n">
        <f aca="false">M169+J169+G169</f>
        <v>11</v>
      </c>
      <c r="R169" s="126" t="n">
        <f aca="false">N169+K169+H169</f>
        <v>11</v>
      </c>
      <c r="S169" s="126" t="n">
        <f aca="false">O169+L169+I169</f>
        <v>7</v>
      </c>
      <c r="T169" s="127"/>
      <c r="U169" s="5" t="n">
        <f aca="false">A170-A169</f>
        <v>31</v>
      </c>
      <c r="V169" s="128" t="n">
        <f aca="false">CHOOSE(F$3,A170+24,A169)</f>
        <v>42125</v>
      </c>
      <c r="W169" s="5" t="n">
        <f aca="false">V169-C$3</f>
        <v>4894</v>
      </c>
      <c r="X169" s="124" t="n">
        <f aca="false">VLOOKUP($A169,Table,MATCH(X$4,Curves,0))</f>
        <v>2</v>
      </c>
      <c r="Y169" s="129" t="n">
        <f aca="false">1/(1+CHOOSE(F$3,(X170+($K$3/10000))/2,(X169+($K$3/10000))/2))^(2*W169/365.25)</f>
        <v>8.56984641684573E-009</v>
      </c>
      <c r="Z169" s="5" t="n">
        <f aca="false">IF(AND(mthbeg&lt;=A169,mthend&gt;=A169),1,0)</f>
        <v>0</v>
      </c>
      <c r="AA169" s="5" t="n">
        <f aca="false">U169*Z169</f>
        <v>0</v>
      </c>
      <c r="AC169" s="115" t="n">
        <f aca="false">IF(G162=2,F169*(S169-Q169),F169*(Q169-S169))</f>
        <v>0</v>
      </c>
      <c r="AE169" s="116" t="n">
        <f aca="false">IF($G$3=1,F169*(R169-Q169),F169*(Q169-R169))</f>
        <v>0</v>
      </c>
      <c r="AG169" s="116" t="n">
        <f aca="false">AC169+AE169</f>
        <v>0</v>
      </c>
    </row>
    <row r="170" customFormat="false" ht="12" hidden="false" customHeight="true" outlineLevel="0" collapsed="false">
      <c r="A170" s="120" t="n">
        <f aca="false">EDATE(A169,1)</f>
        <v>42156</v>
      </c>
      <c r="B170" s="121" t="n">
        <v>0</v>
      </c>
      <c r="C170" s="122"/>
      <c r="D170" s="123" t="n">
        <f aca="false">B170+C170</f>
        <v>0</v>
      </c>
      <c r="E170" s="111" t="n">
        <f aca="false">IF(Z170=0,0,IF(AND(Z170=1,$H$3=1),D170*U170,IF($H$3=2,D170,"N/A")))</f>
        <v>0</v>
      </c>
      <c r="F170" s="111" t="n">
        <f aca="false">E170*Y170</f>
        <v>0</v>
      </c>
      <c r="G170" s="124" t="n">
        <f aca="false">VLOOKUP($A170,Table,MATCH(G$4,Curves,0))</f>
        <v>3</v>
      </c>
      <c r="H170" s="125" t="n">
        <f aca="false">G170+$H$7</f>
        <v>3</v>
      </c>
      <c r="I170" s="124" t="n">
        <f aca="false">H170</f>
        <v>3</v>
      </c>
      <c r="J170" s="124" t="n">
        <f aca="false">VLOOKUP($A170,Table,MATCH(J$4,Curves,0))</f>
        <v>4</v>
      </c>
      <c r="K170" s="125" t="n">
        <f aca="false">J170+$K$7</f>
        <v>4</v>
      </c>
      <c r="L170" s="126" t="n">
        <f aca="false">K170</f>
        <v>4</v>
      </c>
      <c r="M170" s="124" t="n">
        <f aca="false">VLOOKUP($A170,Table,MATCH(M$4,Curves,0))</f>
        <v>4</v>
      </c>
      <c r="N170" s="125" t="n">
        <f aca="false">M170+$N$7</f>
        <v>4</v>
      </c>
      <c r="O170" s="126" t="n">
        <f aca="false">IF(B170&gt;0,(1000/B170*0.25)+((B170-1000)/B170*0.12),0)</f>
        <v>0</v>
      </c>
      <c r="P170" s="114"/>
      <c r="Q170" s="126" t="n">
        <f aca="false">M170+J170+G170</f>
        <v>11</v>
      </c>
      <c r="R170" s="126" t="n">
        <f aca="false">N170+K170+H170</f>
        <v>11</v>
      </c>
      <c r="S170" s="126" t="n">
        <f aca="false">O170+L170+I170</f>
        <v>7</v>
      </c>
      <c r="T170" s="127"/>
      <c r="U170" s="5" t="n">
        <f aca="false">A171-A170</f>
        <v>30</v>
      </c>
      <c r="V170" s="128" t="n">
        <f aca="false">CHOOSE(F$3,A171+24,A170)</f>
        <v>42156</v>
      </c>
      <c r="W170" s="5" t="n">
        <f aca="false">V170-C$3</f>
        <v>4925</v>
      </c>
      <c r="X170" s="124" t="n">
        <f aca="false">VLOOKUP($A170,Table,MATCH(X$4,Curves,0))</f>
        <v>2</v>
      </c>
      <c r="Y170" s="129" t="n">
        <f aca="false">1/(1+CHOOSE(F$3,(X171+($K$3/10000))/2,(X170+($K$3/10000))/2))^(2*W170/365.25)</f>
        <v>7.61858251763077E-009</v>
      </c>
      <c r="Z170" s="5" t="n">
        <f aca="false">IF(AND(mthbeg&lt;=A170,mthend&gt;=A170),1,0)</f>
        <v>0</v>
      </c>
      <c r="AA170" s="5" t="n">
        <f aca="false">U170*Z170</f>
        <v>0</v>
      </c>
      <c r="AC170" s="115" t="n">
        <f aca="false">IF(G163=2,F170*(S170-Q170),F170*(Q170-S170))</f>
        <v>0</v>
      </c>
      <c r="AE170" s="116" t="n">
        <f aca="false">IF($G$3=1,F170*(R170-Q170),F170*(Q170-R170))</f>
        <v>0</v>
      </c>
      <c r="AG170" s="116" t="n">
        <f aca="false">AC170+AE170</f>
        <v>0</v>
      </c>
    </row>
    <row r="171" customFormat="false" ht="12" hidden="false" customHeight="true" outlineLevel="0" collapsed="false">
      <c r="A171" s="120" t="n">
        <f aca="false">EDATE(A170,1)</f>
        <v>42186</v>
      </c>
      <c r="B171" s="121" t="n">
        <v>0</v>
      </c>
      <c r="C171" s="122"/>
      <c r="D171" s="123" t="n">
        <f aca="false">B171+C171</f>
        <v>0</v>
      </c>
      <c r="E171" s="111" t="n">
        <f aca="false">IF(Z171=0,0,IF(AND(Z171=1,$H$3=1),D171*U171,IF($H$3=2,D171,"N/A")))</f>
        <v>0</v>
      </c>
      <c r="F171" s="111" t="n">
        <f aca="false">E171*Y171</f>
        <v>0</v>
      </c>
      <c r="G171" s="124" t="n">
        <f aca="false">VLOOKUP($A171,Table,MATCH(G$4,Curves,0))</f>
        <v>3</v>
      </c>
      <c r="H171" s="125" t="n">
        <f aca="false">G171+$H$7</f>
        <v>3</v>
      </c>
      <c r="I171" s="124" t="n">
        <f aca="false">H171</f>
        <v>3</v>
      </c>
      <c r="J171" s="124" t="n">
        <f aca="false">VLOOKUP($A171,Table,MATCH(J$4,Curves,0))</f>
        <v>4</v>
      </c>
      <c r="K171" s="125" t="n">
        <f aca="false">J171+$K$7</f>
        <v>4</v>
      </c>
      <c r="L171" s="126" t="n">
        <f aca="false">K171</f>
        <v>4</v>
      </c>
      <c r="M171" s="124" t="n">
        <f aca="false">VLOOKUP($A171,Table,MATCH(M$4,Curves,0))</f>
        <v>4</v>
      </c>
      <c r="N171" s="125" t="n">
        <f aca="false">M171+$N$7</f>
        <v>4</v>
      </c>
      <c r="O171" s="126" t="n">
        <f aca="false">IF(B171&gt;0,(1000/B171*0.25)+((B171-1000)/B171*0.12),0)</f>
        <v>0</v>
      </c>
      <c r="P171" s="114"/>
      <c r="Q171" s="126" t="n">
        <f aca="false">M171+J171+G171</f>
        <v>11</v>
      </c>
      <c r="R171" s="126" t="n">
        <f aca="false">N171+K171+H171</f>
        <v>11</v>
      </c>
      <c r="S171" s="126" t="n">
        <f aca="false">O171+L171+I171</f>
        <v>7</v>
      </c>
      <c r="T171" s="127"/>
      <c r="U171" s="5" t="n">
        <f aca="false">A172-A171</f>
        <v>31</v>
      </c>
      <c r="V171" s="128" t="n">
        <f aca="false">CHOOSE(F$3,A172+24,A171)</f>
        <v>42186</v>
      </c>
      <c r="W171" s="5" t="n">
        <f aca="false">V171-C$3</f>
        <v>4955</v>
      </c>
      <c r="X171" s="124" t="n">
        <f aca="false">VLOOKUP($A171,Table,MATCH(X$4,Curves,0))</f>
        <v>2</v>
      </c>
      <c r="Y171" s="129" t="n">
        <f aca="false">1/(1+CHOOSE(F$3,(X172+($K$3/10000))/2,(X171+($K$3/10000))/2))^(2*W171/365.25)</f>
        <v>6.79866532955726E-009</v>
      </c>
      <c r="Z171" s="5" t="n">
        <f aca="false">IF(AND(mthbeg&lt;=A171,mthend&gt;=A171),1,0)</f>
        <v>0</v>
      </c>
      <c r="AA171" s="5" t="n">
        <f aca="false">U171*Z171</f>
        <v>0</v>
      </c>
      <c r="AC171" s="115" t="n">
        <f aca="false">IF(G164=2,F171*(S171-Q171),F171*(Q171-S171))</f>
        <v>0</v>
      </c>
      <c r="AE171" s="116" t="n">
        <f aca="false">IF($G$3=1,F171*(R171-Q171),F171*(Q171-R171))</f>
        <v>0</v>
      </c>
      <c r="AG171" s="116" t="n">
        <f aca="false">AC171+AE171</f>
        <v>0</v>
      </c>
    </row>
    <row r="172" customFormat="false" ht="12" hidden="false" customHeight="true" outlineLevel="0" collapsed="false">
      <c r="A172" s="120" t="n">
        <f aca="false">EDATE(A171,1)</f>
        <v>42217</v>
      </c>
      <c r="B172" s="121" t="n">
        <v>0</v>
      </c>
      <c r="C172" s="122"/>
      <c r="D172" s="123" t="n">
        <f aca="false">B172+C172</f>
        <v>0</v>
      </c>
      <c r="E172" s="111" t="n">
        <f aca="false">IF(Z172=0,0,IF(AND(Z172=1,$H$3=1),D172*U172,IF($H$3=2,D172,"N/A")))</f>
        <v>0</v>
      </c>
      <c r="F172" s="111" t="n">
        <f aca="false">E172*Y172</f>
        <v>0</v>
      </c>
      <c r="G172" s="124" t="n">
        <f aca="false">VLOOKUP($A172,Table,MATCH(G$4,Curves,0))</f>
        <v>3</v>
      </c>
      <c r="H172" s="125" t="n">
        <f aca="false">G172+$H$7</f>
        <v>3</v>
      </c>
      <c r="I172" s="124" t="n">
        <f aca="false">H172</f>
        <v>3</v>
      </c>
      <c r="J172" s="124" t="n">
        <f aca="false">VLOOKUP($A172,Table,MATCH(J$4,Curves,0))</f>
        <v>4</v>
      </c>
      <c r="K172" s="125" t="n">
        <f aca="false">J172+$K$7</f>
        <v>4</v>
      </c>
      <c r="L172" s="126" t="n">
        <f aca="false">K172</f>
        <v>4</v>
      </c>
      <c r="M172" s="124" t="n">
        <f aca="false">VLOOKUP($A172,Table,MATCH(M$4,Curves,0))</f>
        <v>4</v>
      </c>
      <c r="N172" s="125" t="n">
        <f aca="false">M172+$N$7</f>
        <v>4</v>
      </c>
      <c r="O172" s="126" t="n">
        <f aca="false">IF(B172&gt;0,(1000/B172*0.25)+((B172-1000)/B172*0.12),0)</f>
        <v>0</v>
      </c>
      <c r="P172" s="114"/>
      <c r="Q172" s="126" t="n">
        <f aca="false">M172+J172+G172</f>
        <v>11</v>
      </c>
      <c r="R172" s="126" t="n">
        <f aca="false">N172+K172+H172</f>
        <v>11</v>
      </c>
      <c r="S172" s="126" t="n">
        <f aca="false">O172+L172+I172</f>
        <v>7</v>
      </c>
      <c r="T172" s="127"/>
      <c r="U172" s="5" t="n">
        <f aca="false">A173-A172</f>
        <v>31</v>
      </c>
      <c r="V172" s="128" t="n">
        <f aca="false">CHOOSE(F$3,A173+24,A172)</f>
        <v>42217</v>
      </c>
      <c r="W172" s="5" t="n">
        <f aca="false">V172-C$3</f>
        <v>4986</v>
      </c>
      <c r="X172" s="124" t="n">
        <f aca="false">VLOOKUP($A172,Table,MATCH(X$4,Curves,0))</f>
        <v>2</v>
      </c>
      <c r="Y172" s="129" t="n">
        <f aca="false">1/(1+CHOOSE(F$3,(X173+($K$3/10000))/2,(X172+($K$3/10000))/2))^(2*W172/365.25)</f>
        <v>6.04400479350152E-009</v>
      </c>
      <c r="Z172" s="5" t="n">
        <f aca="false">IF(AND(mthbeg&lt;=A172,mthend&gt;=A172),1,0)</f>
        <v>0</v>
      </c>
      <c r="AA172" s="5" t="n">
        <f aca="false">U172*Z172</f>
        <v>0</v>
      </c>
      <c r="AC172" s="115" t="n">
        <f aca="false">IF(G165=2,F172*(S172-Q172),F172*(Q172-S172))</f>
        <v>0</v>
      </c>
      <c r="AE172" s="116" t="n">
        <f aca="false">IF($G$3=1,F172*(R172-Q172),F172*(Q172-R172))</f>
        <v>0</v>
      </c>
      <c r="AG172" s="116" t="n">
        <f aca="false">AC172+AE172</f>
        <v>0</v>
      </c>
    </row>
    <row r="173" customFormat="false" ht="12" hidden="false" customHeight="true" outlineLevel="0" collapsed="false">
      <c r="A173" s="120" t="n">
        <f aca="false">EDATE(A172,1)</f>
        <v>42248</v>
      </c>
      <c r="B173" s="121" t="n">
        <v>0</v>
      </c>
      <c r="C173" s="122"/>
      <c r="D173" s="123" t="n">
        <f aca="false">B173+C173</f>
        <v>0</v>
      </c>
      <c r="E173" s="111" t="n">
        <f aca="false">IF(Z173=0,0,IF(AND(Z173=1,$H$3=1),D173*U173,IF($H$3=2,D173,"N/A")))</f>
        <v>0</v>
      </c>
      <c r="F173" s="111" t="n">
        <f aca="false">E173*Y173</f>
        <v>0</v>
      </c>
      <c r="G173" s="124" t="n">
        <f aca="false">VLOOKUP($A173,Table,MATCH(G$4,Curves,0))</f>
        <v>3</v>
      </c>
      <c r="H173" s="125" t="n">
        <f aca="false">G173+$H$7</f>
        <v>3</v>
      </c>
      <c r="I173" s="124" t="n">
        <f aca="false">H173</f>
        <v>3</v>
      </c>
      <c r="J173" s="124" t="n">
        <f aca="false">VLOOKUP($A173,Table,MATCH(J$4,Curves,0))</f>
        <v>4</v>
      </c>
      <c r="K173" s="125" t="n">
        <f aca="false">J173+$K$7</f>
        <v>4</v>
      </c>
      <c r="L173" s="126" t="n">
        <f aca="false">K173</f>
        <v>4</v>
      </c>
      <c r="M173" s="124" t="n">
        <f aca="false">VLOOKUP($A173,Table,MATCH(M$4,Curves,0))</f>
        <v>4</v>
      </c>
      <c r="N173" s="125" t="n">
        <f aca="false">M173+$N$7</f>
        <v>4</v>
      </c>
      <c r="O173" s="126" t="n">
        <f aca="false">IF(B173&gt;0,(1000/B173*0.25)+((B173-1000)/B173*0.12),0)</f>
        <v>0</v>
      </c>
      <c r="P173" s="114"/>
      <c r="Q173" s="126" t="n">
        <f aca="false">M173+J173+G173</f>
        <v>11</v>
      </c>
      <c r="R173" s="126" t="n">
        <f aca="false">N173+K173+H173</f>
        <v>11</v>
      </c>
      <c r="S173" s="126" t="n">
        <f aca="false">O173+L173+I173</f>
        <v>7</v>
      </c>
      <c r="T173" s="127"/>
      <c r="U173" s="5" t="n">
        <f aca="false">A174-A173</f>
        <v>30</v>
      </c>
      <c r="V173" s="128" t="n">
        <f aca="false">CHOOSE(F$3,A174+24,A173)</f>
        <v>42248</v>
      </c>
      <c r="W173" s="5" t="n">
        <f aca="false">V173-C$3</f>
        <v>5017</v>
      </c>
      <c r="X173" s="124" t="n">
        <f aca="false">VLOOKUP($A173,Table,MATCH(X$4,Curves,0))</f>
        <v>2</v>
      </c>
      <c r="Y173" s="129" t="n">
        <f aca="false">1/(1+CHOOSE(F$3,(X174+($K$3/10000))/2,(X173+($K$3/10000))/2))^(2*W173/365.25)</f>
        <v>5.37311254093577E-009</v>
      </c>
      <c r="Z173" s="5" t="n">
        <f aca="false">IF(AND(mthbeg&lt;=A173,mthend&gt;=A173),1,0)</f>
        <v>0</v>
      </c>
      <c r="AA173" s="5" t="n">
        <f aca="false">U173*Z173</f>
        <v>0</v>
      </c>
      <c r="AC173" s="115" t="n">
        <f aca="false">IF(G166=2,F173*(S173-Q173),F173*(Q173-S173))</f>
        <v>0</v>
      </c>
      <c r="AE173" s="116" t="n">
        <f aca="false">IF($G$3=1,F173*(R173-Q173),F173*(Q173-R173))</f>
        <v>0</v>
      </c>
      <c r="AG173" s="116" t="n">
        <f aca="false">AC173+AE173</f>
        <v>0</v>
      </c>
    </row>
    <row r="174" customFormat="false" ht="12" hidden="false" customHeight="true" outlineLevel="0" collapsed="false">
      <c r="A174" s="120" t="n">
        <f aca="false">EDATE(A173,1)</f>
        <v>42278</v>
      </c>
      <c r="B174" s="121" t="n">
        <v>0</v>
      </c>
      <c r="C174" s="122"/>
      <c r="D174" s="123" t="n">
        <f aca="false">B174+C174</f>
        <v>0</v>
      </c>
      <c r="E174" s="111" t="n">
        <f aca="false">IF(Z174=0,0,IF(AND(Z174=1,$H$3=1),D174*U174,IF($H$3=2,D174,"N/A")))</f>
        <v>0</v>
      </c>
      <c r="F174" s="111" t="n">
        <f aca="false">E174*Y174</f>
        <v>0</v>
      </c>
      <c r="G174" s="124" t="n">
        <f aca="false">VLOOKUP($A174,Table,MATCH(G$4,Curves,0))</f>
        <v>3</v>
      </c>
      <c r="H174" s="125" t="n">
        <f aca="false">G174+$H$7</f>
        <v>3</v>
      </c>
      <c r="I174" s="124" t="n">
        <f aca="false">H174</f>
        <v>3</v>
      </c>
      <c r="J174" s="124" t="n">
        <f aca="false">VLOOKUP($A174,Table,MATCH(J$4,Curves,0))</f>
        <v>4</v>
      </c>
      <c r="K174" s="125" t="n">
        <f aca="false">J174+$K$7</f>
        <v>4</v>
      </c>
      <c r="L174" s="126" t="n">
        <f aca="false">K174</f>
        <v>4</v>
      </c>
      <c r="M174" s="124" t="n">
        <f aca="false">VLOOKUP($A174,Table,MATCH(M$4,Curves,0))</f>
        <v>4</v>
      </c>
      <c r="N174" s="125" t="n">
        <f aca="false">M174+$N$7</f>
        <v>4</v>
      </c>
      <c r="O174" s="126" t="n">
        <f aca="false">IF(B174&gt;0,(1000/B174*0.25)+((B174-1000)/B174*0.12),0)</f>
        <v>0</v>
      </c>
      <c r="P174" s="114"/>
      <c r="Q174" s="126" t="n">
        <f aca="false">M174+J174+G174</f>
        <v>11</v>
      </c>
      <c r="R174" s="126" t="n">
        <f aca="false">N174+K174+H174</f>
        <v>11</v>
      </c>
      <c r="S174" s="126" t="n">
        <f aca="false">O174+L174+I174</f>
        <v>7</v>
      </c>
      <c r="T174" s="127"/>
      <c r="U174" s="5" t="n">
        <f aca="false">A175-A174</f>
        <v>31</v>
      </c>
      <c r="V174" s="128" t="n">
        <f aca="false">CHOOSE(F$3,A175+24,A174)</f>
        <v>42278</v>
      </c>
      <c r="W174" s="5" t="n">
        <f aca="false">V174-C$3</f>
        <v>5047</v>
      </c>
      <c r="X174" s="124" t="n">
        <f aca="false">VLOOKUP($A174,Table,MATCH(X$4,Curves,0))</f>
        <v>2</v>
      </c>
      <c r="Y174" s="129" t="n">
        <f aca="false">1/(1+CHOOSE(F$3,(X175+($K$3/10000))/2,(X174+($K$3/10000))/2))^(2*W174/365.25)</f>
        <v>4.79485440491488E-009</v>
      </c>
      <c r="Z174" s="5" t="n">
        <f aca="false">IF(AND(mthbeg&lt;=A174,mthend&gt;=A174),1,0)</f>
        <v>0</v>
      </c>
      <c r="AA174" s="5" t="n">
        <f aca="false">U174*Z174</f>
        <v>0</v>
      </c>
      <c r="AC174" s="115" t="n">
        <f aca="false">IF(G167=2,F174*(S174-Q174),F174*(Q174-S174))</f>
        <v>0</v>
      </c>
      <c r="AE174" s="116" t="n">
        <f aca="false">IF($G$3=1,F174*(R174-Q174),F174*(Q174-R174))</f>
        <v>0</v>
      </c>
      <c r="AG174" s="116" t="n">
        <f aca="false">AC174+AE174</f>
        <v>0</v>
      </c>
    </row>
    <row r="175" customFormat="false" ht="12" hidden="false" customHeight="true" outlineLevel="0" collapsed="false">
      <c r="A175" s="120" t="n">
        <f aca="false">EDATE(A174,1)</f>
        <v>42309</v>
      </c>
      <c r="B175" s="121" t="n">
        <v>0</v>
      </c>
      <c r="C175" s="122"/>
      <c r="D175" s="123" t="n">
        <f aca="false">B175+C175</f>
        <v>0</v>
      </c>
      <c r="E175" s="111" t="n">
        <f aca="false">IF(Z175=0,0,IF(AND(Z175=1,$H$3=1),D175*U175,IF($H$3=2,D175,"N/A")))</f>
        <v>0</v>
      </c>
      <c r="F175" s="111" t="n">
        <f aca="false">E175*Y175</f>
        <v>0</v>
      </c>
      <c r="G175" s="124" t="n">
        <f aca="false">VLOOKUP($A175,Table,MATCH(G$4,Curves,0))</f>
        <v>3</v>
      </c>
      <c r="H175" s="125" t="n">
        <f aca="false">G175+$H$7</f>
        <v>3</v>
      </c>
      <c r="I175" s="124" t="n">
        <f aca="false">H175</f>
        <v>3</v>
      </c>
      <c r="J175" s="124" t="n">
        <f aca="false">VLOOKUP($A175,Table,MATCH(J$4,Curves,0))</f>
        <v>4</v>
      </c>
      <c r="K175" s="125" t="n">
        <f aca="false">J175+$K$7</f>
        <v>4</v>
      </c>
      <c r="L175" s="126" t="n">
        <f aca="false">K175</f>
        <v>4</v>
      </c>
      <c r="M175" s="124" t="n">
        <f aca="false">VLOOKUP($A175,Table,MATCH(M$4,Curves,0))</f>
        <v>4</v>
      </c>
      <c r="N175" s="125" t="n">
        <f aca="false">M175+$N$7</f>
        <v>4</v>
      </c>
      <c r="O175" s="126" t="n">
        <f aca="false">IF(B175&gt;0,(1000/B175*0.25)+((B175-1000)/B175*0.12),0)</f>
        <v>0</v>
      </c>
      <c r="P175" s="114"/>
      <c r="Q175" s="126" t="n">
        <f aca="false">M175+J175+G175</f>
        <v>11</v>
      </c>
      <c r="R175" s="126" t="n">
        <f aca="false">N175+K175+H175</f>
        <v>11</v>
      </c>
      <c r="S175" s="126" t="n">
        <f aca="false">O175+L175+I175</f>
        <v>7</v>
      </c>
      <c r="T175" s="127"/>
      <c r="U175" s="5" t="n">
        <f aca="false">A176-A175</f>
        <v>30</v>
      </c>
      <c r="V175" s="128" t="n">
        <f aca="false">CHOOSE(F$3,A176+24,A175)</f>
        <v>42309</v>
      </c>
      <c r="W175" s="5" t="n">
        <f aca="false">V175-C$3</f>
        <v>5078</v>
      </c>
      <c r="X175" s="124" t="n">
        <f aca="false">VLOOKUP($A175,Table,MATCH(X$4,Curves,0))</f>
        <v>2</v>
      </c>
      <c r="Y175" s="129" t="n">
        <f aca="false">1/(1+CHOOSE(F$3,(X176+($K$3/10000))/2,(X175+($K$3/10000))/2))^(2*W175/365.25)</f>
        <v>4.26261944112118E-009</v>
      </c>
      <c r="Z175" s="5" t="n">
        <f aca="false">IF(AND(mthbeg&lt;=A175,mthend&gt;=A175),1,0)</f>
        <v>0</v>
      </c>
      <c r="AA175" s="5" t="n">
        <f aca="false">U175*Z175</f>
        <v>0</v>
      </c>
      <c r="AC175" s="115" t="n">
        <f aca="false">IF(G168=2,F175*(S175-Q175),F175*(Q175-S175))</f>
        <v>0</v>
      </c>
      <c r="AE175" s="116" t="n">
        <f aca="false">IF($G$3=1,F175*(R175-Q175),F175*(Q175-R175))</f>
        <v>0</v>
      </c>
      <c r="AG175" s="116" t="n">
        <f aca="false">AC175+AE175</f>
        <v>0</v>
      </c>
    </row>
    <row r="176" customFormat="false" ht="12" hidden="false" customHeight="true" outlineLevel="0" collapsed="false">
      <c r="A176" s="120" t="n">
        <f aca="false">EDATE(A175,1)</f>
        <v>42339</v>
      </c>
      <c r="B176" s="121" t="n">
        <v>0</v>
      </c>
      <c r="C176" s="122"/>
      <c r="D176" s="123" t="n">
        <f aca="false">B176+C176</f>
        <v>0</v>
      </c>
      <c r="E176" s="111" t="n">
        <f aca="false">IF(Z176=0,0,IF(AND(Z176=1,$H$3=1),D176*U176,IF($H$3=2,D176,"N/A")))</f>
        <v>0</v>
      </c>
      <c r="F176" s="111" t="n">
        <f aca="false">E176*Y176</f>
        <v>0</v>
      </c>
      <c r="G176" s="124" t="n">
        <f aca="false">VLOOKUP($A176,Table,MATCH(G$4,Curves,0))</f>
        <v>3</v>
      </c>
      <c r="H176" s="125" t="n">
        <f aca="false">G176+$H$7</f>
        <v>3</v>
      </c>
      <c r="I176" s="124" t="n">
        <f aca="false">H176</f>
        <v>3</v>
      </c>
      <c r="J176" s="124" t="n">
        <f aca="false">VLOOKUP($A176,Table,MATCH(J$4,Curves,0))</f>
        <v>4</v>
      </c>
      <c r="K176" s="125" t="n">
        <f aca="false">J176+$K$7</f>
        <v>4</v>
      </c>
      <c r="L176" s="126" t="n">
        <f aca="false">K176</f>
        <v>4</v>
      </c>
      <c r="M176" s="124" t="n">
        <f aca="false">VLOOKUP($A176,Table,MATCH(M$4,Curves,0))</f>
        <v>4</v>
      </c>
      <c r="N176" s="125" t="n">
        <f aca="false">M176+$N$7</f>
        <v>4</v>
      </c>
      <c r="O176" s="126" t="n">
        <f aca="false">IF(B176&gt;0,(1000/B176*0.25)+((B176-1000)/B176*0.12),0)</f>
        <v>0</v>
      </c>
      <c r="P176" s="114"/>
      <c r="Q176" s="126" t="n">
        <f aca="false">M176+J176+G176</f>
        <v>11</v>
      </c>
      <c r="R176" s="126" t="n">
        <f aca="false">N176+K176+H176</f>
        <v>11</v>
      </c>
      <c r="S176" s="126" t="n">
        <f aca="false">O176+L176+I176</f>
        <v>7</v>
      </c>
      <c r="T176" s="127"/>
      <c r="U176" s="5" t="n">
        <f aca="false">A177-A176</f>
        <v>31</v>
      </c>
      <c r="V176" s="128" t="n">
        <f aca="false">CHOOSE(F$3,A177+24,A176)</f>
        <v>42339</v>
      </c>
      <c r="W176" s="5" t="n">
        <f aca="false">V176-C$3</f>
        <v>5108</v>
      </c>
      <c r="X176" s="124" t="n">
        <f aca="false">VLOOKUP($A176,Table,MATCH(X$4,Curves,0))</f>
        <v>2</v>
      </c>
      <c r="Y176" s="129" t="n">
        <f aca="false">1/(1+CHOOSE(F$3,(X177+($K$3/10000))/2,(X176+($K$3/10000))/2))^(2*W176/365.25)</f>
        <v>3.8038733505061E-009</v>
      </c>
      <c r="Z176" s="5" t="n">
        <f aca="false">IF(AND(mthbeg&lt;=A176,mthend&gt;=A176),1,0)</f>
        <v>0</v>
      </c>
      <c r="AA176" s="5" t="n">
        <f aca="false">U176*Z176</f>
        <v>0</v>
      </c>
      <c r="AC176" s="115" t="n">
        <f aca="false">IF(G169=2,F176*(S176-Q176),F176*(Q176-S176))</f>
        <v>0</v>
      </c>
      <c r="AE176" s="116" t="n">
        <f aca="false">IF($G$3=1,F176*(R176-Q176),F176*(Q176-R176))</f>
        <v>0</v>
      </c>
      <c r="AG176" s="116" t="n">
        <f aca="false">AC176+AE176</f>
        <v>0</v>
      </c>
    </row>
    <row r="177" customFormat="false" ht="12" hidden="false" customHeight="true" outlineLevel="0" collapsed="false">
      <c r="A177" s="120" t="n">
        <f aca="false">EDATE(A176,1)</f>
        <v>42370</v>
      </c>
      <c r="B177" s="121" t="n">
        <v>0</v>
      </c>
      <c r="C177" s="122"/>
      <c r="D177" s="123" t="n">
        <f aca="false">B177+C177</f>
        <v>0</v>
      </c>
      <c r="E177" s="111" t="n">
        <f aca="false">IF(Z177=0,0,IF(AND(Z177=1,$H$3=1),D177*U177,IF($H$3=2,D177,"N/A")))</f>
        <v>0</v>
      </c>
      <c r="F177" s="111" t="n">
        <f aca="false">E177*Y177</f>
        <v>0</v>
      </c>
      <c r="G177" s="124" t="n">
        <f aca="false">VLOOKUP($A177,Table,MATCH(G$4,Curves,0))</f>
        <v>3</v>
      </c>
      <c r="H177" s="125" t="n">
        <f aca="false">G177+$H$7</f>
        <v>3</v>
      </c>
      <c r="I177" s="124" t="n">
        <f aca="false">H177</f>
        <v>3</v>
      </c>
      <c r="J177" s="124" t="n">
        <f aca="false">VLOOKUP($A177,Table,MATCH(J$4,Curves,0))</f>
        <v>4</v>
      </c>
      <c r="K177" s="125" t="n">
        <f aca="false">J177+$K$7</f>
        <v>4</v>
      </c>
      <c r="L177" s="126" t="n">
        <f aca="false">K177</f>
        <v>4</v>
      </c>
      <c r="M177" s="124" t="n">
        <f aca="false">VLOOKUP($A177,Table,MATCH(M$4,Curves,0))</f>
        <v>4</v>
      </c>
      <c r="N177" s="125" t="n">
        <f aca="false">M177+$N$7</f>
        <v>4</v>
      </c>
      <c r="O177" s="126" t="n">
        <f aca="false">IF(B177&gt;0,(1000/B177*0.25)+((B177-1000)/B177*0.12),0)</f>
        <v>0</v>
      </c>
      <c r="P177" s="114"/>
      <c r="Q177" s="126" t="n">
        <f aca="false">M177+J177+G177</f>
        <v>11</v>
      </c>
      <c r="R177" s="126" t="n">
        <f aca="false">N177+K177+H177</f>
        <v>11</v>
      </c>
      <c r="S177" s="126" t="n">
        <f aca="false">O177+L177+I177</f>
        <v>7</v>
      </c>
      <c r="T177" s="127"/>
      <c r="U177" s="5" t="n">
        <f aca="false">A178-A177</f>
        <v>31</v>
      </c>
      <c r="V177" s="128" t="n">
        <f aca="false">CHOOSE(F$3,A178+24,A177)</f>
        <v>42370</v>
      </c>
      <c r="W177" s="5" t="n">
        <f aca="false">V177-C$3</f>
        <v>5139</v>
      </c>
      <c r="X177" s="124" t="n">
        <f aca="false">VLOOKUP($A177,Table,MATCH(X$4,Curves,0))</f>
        <v>2</v>
      </c>
      <c r="Y177" s="129" t="n">
        <f aca="false">1/(1+CHOOSE(F$3,(X178+($K$3/10000))/2,(X177+($K$3/10000))/2))^(2*W177/365.25)</f>
        <v>3.38163854961055E-009</v>
      </c>
      <c r="Z177" s="5" t="n">
        <f aca="false">IF(AND(mthbeg&lt;=A177,mthend&gt;=A177),1,0)</f>
        <v>0</v>
      </c>
      <c r="AA177" s="5" t="n">
        <f aca="false">U177*Z177</f>
        <v>0</v>
      </c>
      <c r="AC177" s="115" t="n">
        <f aca="false">IF(G170=2,F177*(S177-Q177),F177*(Q177-S177))</f>
        <v>0</v>
      </c>
      <c r="AE177" s="116" t="n">
        <f aca="false">IF($G$3=1,F177*(R177-Q177),F177*(Q177-R177))</f>
        <v>0</v>
      </c>
      <c r="AG177" s="116" t="n">
        <f aca="false">AC177+AE177</f>
        <v>0</v>
      </c>
    </row>
    <row r="178" customFormat="false" ht="12" hidden="false" customHeight="true" outlineLevel="0" collapsed="false">
      <c r="A178" s="120" t="n">
        <f aca="false">EDATE(A177,1)</f>
        <v>42401</v>
      </c>
      <c r="B178" s="121" t="n">
        <v>0</v>
      </c>
      <c r="C178" s="122"/>
      <c r="D178" s="123" t="n">
        <f aca="false">B178+C178</f>
        <v>0</v>
      </c>
      <c r="E178" s="111" t="n">
        <f aca="false">IF(Z178=0,0,IF(AND(Z178=1,$H$3=1),D178*U178,IF($H$3=2,D178,"N/A")))</f>
        <v>0</v>
      </c>
      <c r="F178" s="111" t="n">
        <f aca="false">E178*Y178</f>
        <v>0</v>
      </c>
      <c r="G178" s="124" t="n">
        <f aca="false">VLOOKUP($A178,Table,MATCH(G$4,Curves,0))</f>
        <v>3</v>
      </c>
      <c r="H178" s="125" t="n">
        <f aca="false">G178+$H$7</f>
        <v>3</v>
      </c>
      <c r="I178" s="124" t="n">
        <f aca="false">H178</f>
        <v>3</v>
      </c>
      <c r="J178" s="124" t="n">
        <f aca="false">VLOOKUP($A178,Table,MATCH(J$4,Curves,0))</f>
        <v>4</v>
      </c>
      <c r="K178" s="125" t="n">
        <f aca="false">J178+$K$7</f>
        <v>4</v>
      </c>
      <c r="L178" s="126" t="n">
        <f aca="false">K178</f>
        <v>4</v>
      </c>
      <c r="M178" s="124" t="n">
        <f aca="false">VLOOKUP($A178,Table,MATCH(M$4,Curves,0))</f>
        <v>4</v>
      </c>
      <c r="N178" s="125" t="n">
        <f aca="false">M178+$N$7</f>
        <v>4</v>
      </c>
      <c r="O178" s="126" t="n">
        <f aca="false">IF(B178&gt;0,(1000/B178*0.25)+((B178-1000)/B178*0.12),0)</f>
        <v>0</v>
      </c>
      <c r="P178" s="114"/>
      <c r="Q178" s="126" t="n">
        <f aca="false">M178+J178+G178</f>
        <v>11</v>
      </c>
      <c r="R178" s="126" t="n">
        <f aca="false">N178+K178+H178</f>
        <v>11</v>
      </c>
      <c r="S178" s="126" t="n">
        <f aca="false">O178+L178+I178</f>
        <v>7</v>
      </c>
      <c r="T178" s="127"/>
      <c r="U178" s="5" t="n">
        <f aca="false">A179-A178</f>
        <v>29</v>
      </c>
      <c r="V178" s="128" t="n">
        <f aca="false">CHOOSE(F$3,A179+24,A178)</f>
        <v>42401</v>
      </c>
      <c r="W178" s="5" t="n">
        <f aca="false">V178-C$3</f>
        <v>5170</v>
      </c>
      <c r="X178" s="124" t="n">
        <f aca="false">VLOOKUP($A178,Table,MATCH(X$4,Curves,0))</f>
        <v>2</v>
      </c>
      <c r="Y178" s="129" t="n">
        <f aca="false">1/(1+CHOOSE(F$3,(X179+($K$3/10000))/2,(X178+($K$3/10000))/2))^(2*W178/365.25)</f>
        <v>3.00627235096844E-009</v>
      </c>
      <c r="Z178" s="5" t="n">
        <f aca="false">IF(AND(mthbeg&lt;=A178,mthend&gt;=A178),1,0)</f>
        <v>0</v>
      </c>
      <c r="AA178" s="5" t="n">
        <f aca="false">U178*Z178</f>
        <v>0</v>
      </c>
      <c r="AC178" s="115" t="n">
        <f aca="false">IF(G171=2,F178*(S178-Q178),F178*(Q178-S178))</f>
        <v>0</v>
      </c>
      <c r="AE178" s="116" t="n">
        <f aca="false">IF($G$3=1,F178*(R178-Q178),F178*(Q178-R178))</f>
        <v>0</v>
      </c>
      <c r="AG178" s="116" t="n">
        <f aca="false">AC178+AE178</f>
        <v>0</v>
      </c>
    </row>
    <row r="179" customFormat="false" ht="12" hidden="false" customHeight="true" outlineLevel="0" collapsed="false">
      <c r="A179" s="120" t="n">
        <f aca="false">EDATE(A178,1)</f>
        <v>42430</v>
      </c>
      <c r="B179" s="121" t="n">
        <v>0</v>
      </c>
      <c r="C179" s="122"/>
      <c r="D179" s="123" t="n">
        <f aca="false">B179+C179</f>
        <v>0</v>
      </c>
      <c r="E179" s="111" t="n">
        <f aca="false">IF(Z179=0,0,IF(AND(Z179=1,$H$3=1),D179*U179,IF($H$3=2,D179,"N/A")))</f>
        <v>0</v>
      </c>
      <c r="F179" s="111" t="n">
        <f aca="false">E179*Y179</f>
        <v>0</v>
      </c>
      <c r="G179" s="124" t="n">
        <f aca="false">VLOOKUP($A179,Table,MATCH(G$4,Curves,0))</f>
        <v>3</v>
      </c>
      <c r="H179" s="125" t="n">
        <f aca="false">G179+$H$7</f>
        <v>3</v>
      </c>
      <c r="I179" s="124" t="n">
        <f aca="false">H179</f>
        <v>3</v>
      </c>
      <c r="J179" s="124" t="n">
        <f aca="false">VLOOKUP($A179,Table,MATCH(J$4,Curves,0))</f>
        <v>4</v>
      </c>
      <c r="K179" s="125" t="n">
        <f aca="false">J179+$K$7</f>
        <v>4</v>
      </c>
      <c r="L179" s="126" t="n">
        <f aca="false">K179</f>
        <v>4</v>
      </c>
      <c r="M179" s="124" t="n">
        <f aca="false">VLOOKUP($A179,Table,MATCH(M$4,Curves,0))</f>
        <v>4</v>
      </c>
      <c r="N179" s="125" t="n">
        <f aca="false">M179+$N$7</f>
        <v>4</v>
      </c>
      <c r="O179" s="126" t="n">
        <f aca="false">IF(B179&gt;0,(1000/B179*0.25)+((B179-1000)/B179*0.12),0)</f>
        <v>0</v>
      </c>
      <c r="P179" s="114"/>
      <c r="Q179" s="126" t="n">
        <f aca="false">M179+J179+G179</f>
        <v>11</v>
      </c>
      <c r="R179" s="126" t="n">
        <f aca="false">N179+K179+H179</f>
        <v>11</v>
      </c>
      <c r="S179" s="126" t="n">
        <f aca="false">O179+L179+I179</f>
        <v>7</v>
      </c>
      <c r="T179" s="127"/>
      <c r="U179" s="5" t="n">
        <f aca="false">A180-A179</f>
        <v>31</v>
      </c>
      <c r="V179" s="128" t="n">
        <f aca="false">CHOOSE(F$3,A180+24,A179)</f>
        <v>42430</v>
      </c>
      <c r="W179" s="5" t="n">
        <f aca="false">V179-C$3</f>
        <v>5199</v>
      </c>
      <c r="X179" s="124" t="n">
        <f aca="false">VLOOKUP($A179,Table,MATCH(X$4,Curves,0))</f>
        <v>2</v>
      </c>
      <c r="Y179" s="129" t="n">
        <f aca="false">1/(1+CHOOSE(F$3,(X180+($K$3/10000))/2,(X179+($K$3/10000))/2))^(2*W179/365.25)</f>
        <v>2.6929367952845E-009</v>
      </c>
      <c r="Z179" s="5" t="n">
        <f aca="false">IF(AND(mthbeg&lt;=A179,mthend&gt;=A179),1,0)</f>
        <v>0</v>
      </c>
      <c r="AA179" s="5" t="n">
        <f aca="false">U179*Z179</f>
        <v>0</v>
      </c>
      <c r="AC179" s="115" t="n">
        <f aca="false">IF(G172=2,F179*(S179-Q179),F179*(Q179-S179))</f>
        <v>0</v>
      </c>
      <c r="AE179" s="116" t="n">
        <f aca="false">IF($G$3=1,F179*(R179-Q179),F179*(Q179-R179))</f>
        <v>0</v>
      </c>
      <c r="AG179" s="116" t="n">
        <f aca="false">AC179+AE179</f>
        <v>0</v>
      </c>
    </row>
    <row r="180" customFormat="false" ht="12" hidden="false" customHeight="true" outlineLevel="0" collapsed="false">
      <c r="A180" s="120" t="n">
        <f aca="false">EDATE(A179,1)</f>
        <v>42461</v>
      </c>
      <c r="B180" s="121" t="n">
        <v>0</v>
      </c>
      <c r="C180" s="122"/>
      <c r="D180" s="123" t="n">
        <f aca="false">B180+C180</f>
        <v>0</v>
      </c>
      <c r="E180" s="111" t="n">
        <f aca="false">IF(Z180=0,0,IF(AND(Z180=1,$H$3=1),D180*U180,IF($H$3=2,D180,"N/A")))</f>
        <v>0</v>
      </c>
      <c r="F180" s="111" t="n">
        <f aca="false">E180*Y180</f>
        <v>0</v>
      </c>
      <c r="G180" s="124" t="n">
        <f aca="false">VLOOKUP($A180,Table,MATCH(G$4,Curves,0))</f>
        <v>3</v>
      </c>
      <c r="H180" s="125" t="n">
        <f aca="false">G180+$H$7</f>
        <v>3</v>
      </c>
      <c r="I180" s="124" t="n">
        <f aca="false">H180</f>
        <v>3</v>
      </c>
      <c r="J180" s="124" t="n">
        <f aca="false">VLOOKUP($A180,Table,MATCH(J$4,Curves,0))</f>
        <v>4</v>
      </c>
      <c r="K180" s="125" t="n">
        <f aca="false">J180+$K$7</f>
        <v>4</v>
      </c>
      <c r="L180" s="126" t="n">
        <f aca="false">K180</f>
        <v>4</v>
      </c>
      <c r="M180" s="124" t="n">
        <f aca="false">VLOOKUP($A180,Table,MATCH(M$4,Curves,0))</f>
        <v>4</v>
      </c>
      <c r="N180" s="125" t="n">
        <f aca="false">M180+$N$7</f>
        <v>4</v>
      </c>
      <c r="O180" s="126" t="n">
        <f aca="false">IF(B180&gt;0,(1000/B180*0.25)+((B180-1000)/B180*0.12),0)</f>
        <v>0</v>
      </c>
      <c r="P180" s="114"/>
      <c r="Q180" s="126" t="n">
        <f aca="false">M180+J180+G180</f>
        <v>11</v>
      </c>
      <c r="R180" s="126" t="n">
        <f aca="false">N180+K180+H180</f>
        <v>11</v>
      </c>
      <c r="S180" s="126" t="n">
        <f aca="false">O180+L180+I180</f>
        <v>7</v>
      </c>
      <c r="T180" s="127"/>
      <c r="U180" s="5" t="n">
        <f aca="false">A181-A180</f>
        <v>30</v>
      </c>
      <c r="V180" s="128" t="n">
        <f aca="false">CHOOSE(F$3,A181+24,A180)</f>
        <v>42461</v>
      </c>
      <c r="W180" s="5" t="n">
        <f aca="false">V180-C$3</f>
        <v>5230</v>
      </c>
      <c r="X180" s="124" t="n">
        <f aca="false">VLOOKUP($A180,Table,MATCH(X$4,Curves,0))</f>
        <v>2</v>
      </c>
      <c r="Y180" s="129" t="n">
        <f aca="false">1/(1+CHOOSE(F$3,(X181+($K$3/10000))/2,(X180+($K$3/10000))/2))^(2*W180/365.25)</f>
        <v>2.39401737110599E-009</v>
      </c>
      <c r="Z180" s="5" t="n">
        <f aca="false">IF(AND(mthbeg&lt;=A180,mthend&gt;=A180),1,0)</f>
        <v>0</v>
      </c>
      <c r="AA180" s="5" t="n">
        <f aca="false">U180*Z180</f>
        <v>0</v>
      </c>
      <c r="AC180" s="115" t="n">
        <f aca="false">IF(G173=2,F180*(S180-Q180),F180*(Q180-S180))</f>
        <v>0</v>
      </c>
      <c r="AE180" s="116" t="n">
        <f aca="false">IF($G$3=1,F180*(R180-Q180),F180*(Q180-R180))</f>
        <v>0</v>
      </c>
      <c r="AG180" s="116" t="n">
        <f aca="false">AC180+AE180</f>
        <v>0</v>
      </c>
    </row>
    <row r="181" customFormat="false" ht="12" hidden="false" customHeight="true" outlineLevel="0" collapsed="false">
      <c r="A181" s="120" t="n">
        <f aca="false">EDATE(A180,1)</f>
        <v>42491</v>
      </c>
      <c r="B181" s="121" t="n">
        <v>0</v>
      </c>
      <c r="C181" s="122"/>
      <c r="D181" s="123" t="n">
        <f aca="false">B181+C181</f>
        <v>0</v>
      </c>
      <c r="E181" s="111" t="n">
        <f aca="false">IF(Z181=0,0,IF(AND(Z181=1,$H$3=1),D181*U181,IF($H$3=2,D181,"N/A")))</f>
        <v>0</v>
      </c>
      <c r="F181" s="111" t="n">
        <f aca="false">E181*Y181</f>
        <v>0</v>
      </c>
      <c r="G181" s="124" t="n">
        <f aca="false">VLOOKUP($A181,Table,MATCH(G$4,Curves,0))</f>
        <v>3</v>
      </c>
      <c r="H181" s="125" t="n">
        <f aca="false">G181+$H$7</f>
        <v>3</v>
      </c>
      <c r="I181" s="124" t="n">
        <f aca="false">H181</f>
        <v>3</v>
      </c>
      <c r="J181" s="124" t="n">
        <f aca="false">VLOOKUP($A181,Table,MATCH(J$4,Curves,0))</f>
        <v>4</v>
      </c>
      <c r="K181" s="125" t="n">
        <f aca="false">J181+$K$7</f>
        <v>4</v>
      </c>
      <c r="L181" s="126" t="n">
        <f aca="false">K181</f>
        <v>4</v>
      </c>
      <c r="M181" s="124" t="n">
        <f aca="false">VLOOKUP($A181,Table,MATCH(M$4,Curves,0))</f>
        <v>4</v>
      </c>
      <c r="N181" s="125" t="n">
        <f aca="false">M181+$N$7</f>
        <v>4</v>
      </c>
      <c r="O181" s="126" t="n">
        <f aca="false">IF(B181&gt;0,(1000/B181*0.25)+((B181-1000)/B181*0.12),0)</f>
        <v>0</v>
      </c>
      <c r="P181" s="114"/>
      <c r="Q181" s="126" t="n">
        <f aca="false">M181+J181+G181</f>
        <v>11</v>
      </c>
      <c r="R181" s="126" t="n">
        <f aca="false">N181+K181+H181</f>
        <v>11</v>
      </c>
      <c r="S181" s="126" t="n">
        <f aca="false">O181+L181+I181</f>
        <v>7</v>
      </c>
      <c r="T181" s="127"/>
      <c r="U181" s="5" t="n">
        <f aca="false">A182-A181</f>
        <v>31</v>
      </c>
      <c r="V181" s="128" t="n">
        <f aca="false">CHOOSE(F$3,A182+24,A181)</f>
        <v>42491</v>
      </c>
      <c r="W181" s="5" t="n">
        <f aca="false">V181-C$3</f>
        <v>5260</v>
      </c>
      <c r="X181" s="124" t="n">
        <f aca="false">VLOOKUP($A181,Table,MATCH(X$4,Curves,0))</f>
        <v>2</v>
      </c>
      <c r="Y181" s="129" t="n">
        <f aca="false">1/(1+CHOOSE(F$3,(X182+($K$3/10000))/2,(X181+($K$3/10000))/2))^(2*W181/365.25)</f>
        <v>2.13637154439559E-009</v>
      </c>
      <c r="Z181" s="5" t="n">
        <f aca="false">IF(AND(mthbeg&lt;=A181,mthend&gt;=A181),1,0)</f>
        <v>0</v>
      </c>
      <c r="AA181" s="5" t="n">
        <f aca="false">U181*Z181</f>
        <v>0</v>
      </c>
      <c r="AC181" s="115" t="n">
        <f aca="false">IF(G174=2,F181*(S181-Q181),F181*(Q181-S181))</f>
        <v>0</v>
      </c>
      <c r="AE181" s="116" t="n">
        <f aca="false">IF($G$3=1,F181*(R181-Q181),F181*(Q181-R181))</f>
        <v>0</v>
      </c>
      <c r="AG181" s="116" t="n">
        <f aca="false">AC181+AE181</f>
        <v>0</v>
      </c>
    </row>
    <row r="182" customFormat="false" ht="12" hidden="false" customHeight="true" outlineLevel="0" collapsed="false">
      <c r="A182" s="120" t="n">
        <f aca="false">EDATE(A181,1)</f>
        <v>42522</v>
      </c>
      <c r="B182" s="121" t="n">
        <v>0</v>
      </c>
      <c r="C182" s="122"/>
      <c r="D182" s="123" t="n">
        <f aca="false">B182+C182</f>
        <v>0</v>
      </c>
      <c r="E182" s="111" t="n">
        <f aca="false">IF(Z182=0,0,IF(AND(Z182=1,$H$3=1),D182*U182,IF($H$3=2,D182,"N/A")))</f>
        <v>0</v>
      </c>
      <c r="F182" s="111" t="n">
        <f aca="false">E182*Y182</f>
        <v>0</v>
      </c>
      <c r="G182" s="124" t="n">
        <f aca="false">VLOOKUP($A182,Table,MATCH(G$4,Curves,0))</f>
        <v>3</v>
      </c>
      <c r="H182" s="125" t="n">
        <f aca="false">G182+$H$7</f>
        <v>3</v>
      </c>
      <c r="I182" s="124" t="n">
        <f aca="false">H182</f>
        <v>3</v>
      </c>
      <c r="J182" s="124" t="n">
        <f aca="false">VLOOKUP($A182,Table,MATCH(J$4,Curves,0))</f>
        <v>4</v>
      </c>
      <c r="K182" s="125" t="n">
        <f aca="false">J182+$K$7</f>
        <v>4</v>
      </c>
      <c r="L182" s="126" t="n">
        <f aca="false">K182</f>
        <v>4</v>
      </c>
      <c r="M182" s="124" t="n">
        <f aca="false">VLOOKUP($A182,Table,MATCH(M$4,Curves,0))</f>
        <v>4</v>
      </c>
      <c r="N182" s="125" t="n">
        <f aca="false">M182+$N$7</f>
        <v>4</v>
      </c>
      <c r="O182" s="126" t="n">
        <f aca="false">IF(B182&gt;0,(1000/B182*0.25)+((B182-1000)/B182*0.12),0)</f>
        <v>0</v>
      </c>
      <c r="P182" s="114"/>
      <c r="Q182" s="126" t="n">
        <f aca="false">M182+J182+G182</f>
        <v>11</v>
      </c>
      <c r="R182" s="126" t="n">
        <f aca="false">N182+K182+H182</f>
        <v>11</v>
      </c>
      <c r="S182" s="126" t="n">
        <f aca="false">O182+L182+I182</f>
        <v>7</v>
      </c>
      <c r="T182" s="127"/>
      <c r="U182" s="5" t="n">
        <f aca="false">A183-A182</f>
        <v>30</v>
      </c>
      <c r="V182" s="128" t="n">
        <f aca="false">CHOOSE(F$3,A183+24,A182)</f>
        <v>42522</v>
      </c>
      <c r="W182" s="5" t="n">
        <f aca="false">V182-C$3</f>
        <v>5291</v>
      </c>
      <c r="X182" s="124" t="n">
        <f aca="false">VLOOKUP($A182,Table,MATCH(X$4,Curves,0))</f>
        <v>2</v>
      </c>
      <c r="Y182" s="129" t="n">
        <f aca="false">1/(1+CHOOSE(F$3,(X183+($K$3/10000))/2,(X182+($K$3/10000))/2))^(2*W182/365.25)</f>
        <v>1.89923157401073E-009</v>
      </c>
      <c r="Z182" s="5" t="n">
        <f aca="false">IF(AND(mthbeg&lt;=A182,mthend&gt;=A182),1,0)</f>
        <v>0</v>
      </c>
      <c r="AA182" s="5" t="n">
        <f aca="false">U182*Z182</f>
        <v>0</v>
      </c>
      <c r="AC182" s="115" t="n">
        <f aca="false">IF(G175=2,F182*(S182-Q182),F182*(Q182-S182))</f>
        <v>0</v>
      </c>
      <c r="AE182" s="116" t="n">
        <f aca="false">IF($G$3=1,F182*(R182-Q182),F182*(Q182-R182))</f>
        <v>0</v>
      </c>
      <c r="AG182" s="116" t="n">
        <f aca="false">AC182+AE182</f>
        <v>0</v>
      </c>
    </row>
    <row r="183" customFormat="false" ht="12" hidden="false" customHeight="true" outlineLevel="0" collapsed="false">
      <c r="A183" s="120" t="n">
        <f aca="false">EDATE(A182,1)</f>
        <v>42552</v>
      </c>
      <c r="B183" s="121" t="n">
        <v>0</v>
      </c>
      <c r="C183" s="122"/>
      <c r="D183" s="123" t="n">
        <f aca="false">B183+C183</f>
        <v>0</v>
      </c>
      <c r="E183" s="111" t="n">
        <f aca="false">IF(Z183=0,0,IF(AND(Z183=1,$H$3=1),D183*U183,IF($H$3=2,D183,"N/A")))</f>
        <v>0</v>
      </c>
      <c r="F183" s="111" t="n">
        <f aca="false">E183*Y183</f>
        <v>0</v>
      </c>
      <c r="G183" s="124" t="n">
        <f aca="false">VLOOKUP($A183,Table,MATCH(G$4,Curves,0))</f>
        <v>3</v>
      </c>
      <c r="H183" s="125" t="n">
        <f aca="false">G183+$H$7</f>
        <v>3</v>
      </c>
      <c r="I183" s="124" t="n">
        <f aca="false">H183</f>
        <v>3</v>
      </c>
      <c r="J183" s="124" t="n">
        <f aca="false">VLOOKUP($A183,Table,MATCH(J$4,Curves,0))</f>
        <v>4</v>
      </c>
      <c r="K183" s="125" t="n">
        <f aca="false">J183+$K$7</f>
        <v>4</v>
      </c>
      <c r="L183" s="126" t="n">
        <f aca="false">K183</f>
        <v>4</v>
      </c>
      <c r="M183" s="124" t="n">
        <f aca="false">VLOOKUP($A183,Table,MATCH(M$4,Curves,0))</f>
        <v>4</v>
      </c>
      <c r="N183" s="125" t="n">
        <f aca="false">M183+$N$7</f>
        <v>4</v>
      </c>
      <c r="O183" s="126" t="n">
        <f aca="false">IF(B183&gt;0,(1000/B183*0.25)+((B183-1000)/B183*0.12),0)</f>
        <v>0</v>
      </c>
      <c r="P183" s="114"/>
      <c r="Q183" s="126" t="n">
        <f aca="false">M183+J183+G183</f>
        <v>11</v>
      </c>
      <c r="R183" s="126" t="n">
        <f aca="false">N183+K183+H183</f>
        <v>11</v>
      </c>
      <c r="S183" s="126" t="n">
        <f aca="false">O183+L183+I183</f>
        <v>7</v>
      </c>
      <c r="T183" s="127"/>
      <c r="U183" s="5" t="n">
        <f aca="false">A184-A183</f>
        <v>31</v>
      </c>
      <c r="V183" s="128" t="n">
        <f aca="false">CHOOSE(F$3,A184+24,A183)</f>
        <v>42552</v>
      </c>
      <c r="W183" s="5" t="n">
        <f aca="false">V183-C$3</f>
        <v>5321</v>
      </c>
      <c r="X183" s="124" t="n">
        <f aca="false">VLOOKUP($A183,Table,MATCH(X$4,Curves,0))</f>
        <v>2</v>
      </c>
      <c r="Y183" s="129" t="n">
        <f aca="false">1/(1+CHOOSE(F$3,(X184+($K$3/10000))/2,(X183+($K$3/10000))/2))^(2*W183/365.25)</f>
        <v>1.69483494142722E-009</v>
      </c>
      <c r="Z183" s="5" t="n">
        <f aca="false">IF(AND(mthbeg&lt;=A183,mthend&gt;=A183),1,0)</f>
        <v>0</v>
      </c>
      <c r="AA183" s="5" t="n">
        <f aca="false">U183*Z183</f>
        <v>0</v>
      </c>
      <c r="AC183" s="115" t="n">
        <f aca="false">IF(G176=2,F183*(S183-Q183),F183*(Q183-S183))</f>
        <v>0</v>
      </c>
      <c r="AE183" s="116" t="n">
        <f aca="false">IF($G$3=1,F183*(R183-Q183),F183*(Q183-R183))</f>
        <v>0</v>
      </c>
      <c r="AG183" s="116" t="n">
        <f aca="false">AC183+AE183</f>
        <v>0</v>
      </c>
    </row>
    <row r="184" customFormat="false" ht="12" hidden="false" customHeight="true" outlineLevel="0" collapsed="false">
      <c r="A184" s="120" t="n">
        <f aca="false">EDATE(A183,1)</f>
        <v>42583</v>
      </c>
      <c r="B184" s="121" t="n">
        <v>0</v>
      </c>
      <c r="C184" s="122"/>
      <c r="D184" s="123" t="n">
        <f aca="false">B184+C184</f>
        <v>0</v>
      </c>
      <c r="E184" s="111" t="n">
        <f aca="false">IF(Z184=0,0,IF(AND(Z184=1,$H$3=1),D184*U184,IF($H$3=2,D184,"N/A")))</f>
        <v>0</v>
      </c>
      <c r="F184" s="111" t="n">
        <f aca="false">E184*Y184</f>
        <v>0</v>
      </c>
      <c r="G184" s="124" t="n">
        <f aca="false">VLOOKUP($A184,Table,MATCH(G$4,Curves,0))</f>
        <v>3</v>
      </c>
      <c r="H184" s="125" t="n">
        <f aca="false">G184+$H$7</f>
        <v>3</v>
      </c>
      <c r="I184" s="124" t="n">
        <f aca="false">H184</f>
        <v>3</v>
      </c>
      <c r="J184" s="124" t="n">
        <f aca="false">VLOOKUP($A184,Table,MATCH(J$4,Curves,0))</f>
        <v>4</v>
      </c>
      <c r="K184" s="125" t="n">
        <f aca="false">J184+$K$7</f>
        <v>4</v>
      </c>
      <c r="L184" s="126" t="n">
        <f aca="false">K184</f>
        <v>4</v>
      </c>
      <c r="M184" s="124" t="n">
        <f aca="false">VLOOKUP($A184,Table,MATCH(M$4,Curves,0))</f>
        <v>4</v>
      </c>
      <c r="N184" s="125" t="n">
        <f aca="false">M184+$N$7</f>
        <v>4</v>
      </c>
      <c r="O184" s="126" t="n">
        <f aca="false">IF(B184&gt;0,(1000/B184*0.25)+((B184-1000)/B184*0.12),0)</f>
        <v>0</v>
      </c>
      <c r="P184" s="114"/>
      <c r="Q184" s="126" t="n">
        <f aca="false">M184+J184+G184</f>
        <v>11</v>
      </c>
      <c r="R184" s="126" t="n">
        <f aca="false">N184+K184+H184</f>
        <v>11</v>
      </c>
      <c r="S184" s="126" t="n">
        <f aca="false">O184+L184+I184</f>
        <v>7</v>
      </c>
      <c r="T184" s="127"/>
      <c r="U184" s="5" t="n">
        <f aca="false">A185-A184</f>
        <v>31</v>
      </c>
      <c r="V184" s="128" t="n">
        <f aca="false">CHOOSE(F$3,A185+24,A184)</f>
        <v>42583</v>
      </c>
      <c r="W184" s="5" t="n">
        <f aca="false">V184-C$3</f>
        <v>5352</v>
      </c>
      <c r="X184" s="124" t="n">
        <f aca="false">VLOOKUP($A184,Table,MATCH(X$4,Curves,0))</f>
        <v>2</v>
      </c>
      <c r="Y184" s="129" t="n">
        <f aca="false">1/(1+CHOOSE(F$3,(X185+($K$3/10000))/2,(X184+($K$3/10000))/2))^(2*W184/365.25)</f>
        <v>1.5067060979816E-009</v>
      </c>
      <c r="Z184" s="5" t="n">
        <f aca="false">IF(AND(mthbeg&lt;=A184,mthend&gt;=A184),1,0)</f>
        <v>0</v>
      </c>
      <c r="AA184" s="5" t="n">
        <f aca="false">U184*Z184</f>
        <v>0</v>
      </c>
      <c r="AC184" s="115" t="n">
        <f aca="false">IF(G177=2,F184*(S184-Q184),F184*(Q184-S184))</f>
        <v>0</v>
      </c>
      <c r="AE184" s="116" t="n">
        <f aca="false">IF($G$3=1,F184*(R184-Q184),F184*(Q184-R184))</f>
        <v>0</v>
      </c>
      <c r="AG184" s="116" t="n">
        <f aca="false">AC184+AE184</f>
        <v>0</v>
      </c>
    </row>
    <row r="185" customFormat="false" ht="12" hidden="false" customHeight="true" outlineLevel="0" collapsed="false">
      <c r="A185" s="120" t="n">
        <f aca="false">EDATE(A184,1)</f>
        <v>42614</v>
      </c>
      <c r="B185" s="121" t="n">
        <v>0</v>
      </c>
      <c r="C185" s="122"/>
      <c r="D185" s="123" t="n">
        <f aca="false">B185+C185</f>
        <v>0</v>
      </c>
      <c r="E185" s="111" t="n">
        <f aca="false">IF(Z185=0,0,IF(AND(Z185=1,$H$3=1),D185*U185,IF($H$3=2,D185,"N/A")))</f>
        <v>0</v>
      </c>
      <c r="F185" s="111" t="n">
        <f aca="false">E185*Y185</f>
        <v>0</v>
      </c>
      <c r="G185" s="124" t="n">
        <f aca="false">VLOOKUP($A185,Table,MATCH(G$4,Curves,0))</f>
        <v>3</v>
      </c>
      <c r="H185" s="125" t="n">
        <f aca="false">G185+$H$7</f>
        <v>3</v>
      </c>
      <c r="I185" s="124" t="n">
        <f aca="false">H185</f>
        <v>3</v>
      </c>
      <c r="J185" s="124" t="n">
        <f aca="false">VLOOKUP($A185,Table,MATCH(J$4,Curves,0))</f>
        <v>4</v>
      </c>
      <c r="K185" s="125" t="n">
        <f aca="false">J185+$K$7</f>
        <v>4</v>
      </c>
      <c r="L185" s="126" t="n">
        <f aca="false">K185</f>
        <v>4</v>
      </c>
      <c r="M185" s="124" t="n">
        <f aca="false">VLOOKUP($A185,Table,MATCH(M$4,Curves,0))</f>
        <v>4</v>
      </c>
      <c r="N185" s="125" t="n">
        <f aca="false">M185+$N$7</f>
        <v>4</v>
      </c>
      <c r="O185" s="126" t="n">
        <f aca="false">IF(B185&gt;0,(1000/B185*0.25)+((B185-1000)/B185*0.12),0)</f>
        <v>0</v>
      </c>
      <c r="P185" s="114"/>
      <c r="Q185" s="126" t="n">
        <f aca="false">M185+J185+G185</f>
        <v>11</v>
      </c>
      <c r="R185" s="126" t="n">
        <f aca="false">N185+K185+H185</f>
        <v>11</v>
      </c>
      <c r="S185" s="126" t="n">
        <f aca="false">O185+L185+I185</f>
        <v>7</v>
      </c>
      <c r="T185" s="127"/>
      <c r="U185" s="5" t="n">
        <f aca="false">A186-A185</f>
        <v>30</v>
      </c>
      <c r="V185" s="128" t="n">
        <f aca="false">CHOOSE(F$3,A186+24,A185)</f>
        <v>42614</v>
      </c>
      <c r="W185" s="5" t="n">
        <f aca="false">V185-C$3</f>
        <v>5383</v>
      </c>
      <c r="X185" s="124" t="n">
        <f aca="false">VLOOKUP($A185,Table,MATCH(X$4,Curves,0))</f>
        <v>2</v>
      </c>
      <c r="Y185" s="129" t="n">
        <f aca="false">1/(1+CHOOSE(F$3,(X186+($K$3/10000))/2,(X185+($K$3/10000))/2))^(2*W185/365.25)</f>
        <v>1.33945979647034E-009</v>
      </c>
      <c r="Z185" s="5" t="n">
        <f aca="false">IF(AND(mthbeg&lt;=A185,mthend&gt;=A185),1,0)</f>
        <v>0</v>
      </c>
      <c r="AA185" s="5" t="n">
        <f aca="false">U185*Z185</f>
        <v>0</v>
      </c>
      <c r="AC185" s="115" t="n">
        <f aca="false">IF(G178=2,F185*(S185-Q185),F185*(Q185-S185))</f>
        <v>0</v>
      </c>
      <c r="AE185" s="116" t="n">
        <f aca="false">IF($G$3=1,F185*(R185-Q185),F185*(Q185-R185))</f>
        <v>0</v>
      </c>
      <c r="AG185" s="116" t="n">
        <f aca="false">AC185+AE185</f>
        <v>0</v>
      </c>
    </row>
    <row r="186" customFormat="false" ht="12" hidden="false" customHeight="true" outlineLevel="0" collapsed="false">
      <c r="A186" s="120" t="n">
        <f aca="false">EDATE(A185,1)</f>
        <v>42644</v>
      </c>
      <c r="B186" s="121" t="n">
        <v>0</v>
      </c>
      <c r="C186" s="122"/>
      <c r="D186" s="123" t="n">
        <f aca="false">B186+C186</f>
        <v>0</v>
      </c>
      <c r="E186" s="111" t="n">
        <f aca="false">IF(Z186=0,0,IF(AND(Z186=1,$H$3=1),D186*U186,IF($H$3=2,D186,"N/A")))</f>
        <v>0</v>
      </c>
      <c r="F186" s="111" t="n">
        <f aca="false">E186*Y186</f>
        <v>0</v>
      </c>
      <c r="G186" s="124" t="n">
        <f aca="false">VLOOKUP($A186,Table,MATCH(G$4,Curves,0))</f>
        <v>3</v>
      </c>
      <c r="H186" s="125" t="n">
        <f aca="false">G186+$H$7</f>
        <v>3</v>
      </c>
      <c r="I186" s="124" t="n">
        <f aca="false">H186</f>
        <v>3</v>
      </c>
      <c r="J186" s="124" t="n">
        <f aca="false">VLOOKUP($A186,Table,MATCH(J$4,Curves,0))</f>
        <v>4</v>
      </c>
      <c r="K186" s="125" t="n">
        <f aca="false">J186+$K$7</f>
        <v>4</v>
      </c>
      <c r="L186" s="126" t="n">
        <f aca="false">K186</f>
        <v>4</v>
      </c>
      <c r="M186" s="124" t="n">
        <f aca="false">VLOOKUP($A186,Table,MATCH(M$4,Curves,0))</f>
        <v>4</v>
      </c>
      <c r="N186" s="125" t="n">
        <f aca="false">M186+$N$7</f>
        <v>4</v>
      </c>
      <c r="O186" s="126" t="n">
        <f aca="false">IF(B186&gt;0,(1000/B186*0.25)+((B186-1000)/B186*0.12),0)</f>
        <v>0</v>
      </c>
      <c r="P186" s="114"/>
      <c r="Q186" s="126" t="n">
        <f aca="false">M186+J186+G186</f>
        <v>11</v>
      </c>
      <c r="R186" s="126" t="n">
        <f aca="false">N186+K186+H186</f>
        <v>11</v>
      </c>
      <c r="S186" s="126" t="n">
        <f aca="false">O186+L186+I186</f>
        <v>7</v>
      </c>
      <c r="T186" s="127"/>
      <c r="U186" s="5" t="n">
        <f aca="false">A187-A186</f>
        <v>31</v>
      </c>
      <c r="V186" s="128" t="n">
        <f aca="false">CHOOSE(F$3,A187+24,A186)</f>
        <v>42644</v>
      </c>
      <c r="W186" s="5" t="n">
        <f aca="false">V186-C$3</f>
        <v>5413</v>
      </c>
      <c r="X186" s="124" t="n">
        <f aca="false">VLOOKUP($A186,Table,MATCH(X$4,Curves,0))</f>
        <v>2</v>
      </c>
      <c r="Y186" s="129" t="n">
        <f aca="false">1/(1+CHOOSE(F$3,(X187+($K$3/10000))/2,(X186+($K$3/10000))/2))^(2*W186/365.25)</f>
        <v>1.19530619475796E-009</v>
      </c>
      <c r="Z186" s="5" t="n">
        <f aca="false">IF(AND(mthbeg&lt;=A186,mthend&gt;=A186),1,0)</f>
        <v>0</v>
      </c>
      <c r="AA186" s="5" t="n">
        <f aca="false">U186*Z186</f>
        <v>0</v>
      </c>
      <c r="AC186" s="115" t="n">
        <f aca="false">IF(G179=2,F186*(S186-Q186),F186*(Q186-S186))</f>
        <v>0</v>
      </c>
      <c r="AE186" s="116" t="n">
        <f aca="false">IF($G$3=1,F186*(R186-Q186),F186*(Q186-R186))</f>
        <v>0</v>
      </c>
      <c r="AG186" s="116" t="n">
        <f aca="false">AC186+AE186</f>
        <v>0</v>
      </c>
    </row>
    <row r="187" customFormat="false" ht="12" hidden="false" customHeight="true" outlineLevel="0" collapsed="false">
      <c r="A187" s="120" t="n">
        <f aca="false">EDATE(A186,1)</f>
        <v>42675</v>
      </c>
      <c r="B187" s="121" t="n">
        <v>0</v>
      </c>
      <c r="C187" s="122"/>
      <c r="D187" s="123" t="n">
        <f aca="false">B187+C187</f>
        <v>0</v>
      </c>
      <c r="E187" s="111" t="n">
        <f aca="false">IF(Z187=0,0,IF(AND(Z187=1,$H$3=1),D187*U187,IF($H$3=2,D187,"N/A")))</f>
        <v>0</v>
      </c>
      <c r="F187" s="111" t="n">
        <f aca="false">E187*Y187</f>
        <v>0</v>
      </c>
      <c r="G187" s="124" t="n">
        <f aca="false">VLOOKUP($A187,Table,MATCH(G$4,Curves,0))</f>
        <v>3</v>
      </c>
      <c r="H187" s="125" t="n">
        <f aca="false">G187+$H$7</f>
        <v>3</v>
      </c>
      <c r="I187" s="124" t="n">
        <f aca="false">H187</f>
        <v>3</v>
      </c>
      <c r="J187" s="124" t="n">
        <f aca="false">VLOOKUP($A187,Table,MATCH(J$4,Curves,0))</f>
        <v>4</v>
      </c>
      <c r="K187" s="125" t="n">
        <f aca="false">J187+$K$7</f>
        <v>4</v>
      </c>
      <c r="L187" s="126" t="n">
        <f aca="false">K187</f>
        <v>4</v>
      </c>
      <c r="M187" s="124" t="n">
        <f aca="false">VLOOKUP($A187,Table,MATCH(M$4,Curves,0))</f>
        <v>4</v>
      </c>
      <c r="N187" s="125" t="n">
        <f aca="false">M187+$N$7</f>
        <v>4</v>
      </c>
      <c r="O187" s="126" t="n">
        <f aca="false">IF(B187&gt;0,(1000/B187*0.25)+((B187-1000)/B187*0.12),0)</f>
        <v>0</v>
      </c>
      <c r="P187" s="114"/>
      <c r="Q187" s="126" t="n">
        <f aca="false">M187+J187+G187</f>
        <v>11</v>
      </c>
      <c r="R187" s="126" t="n">
        <f aca="false">N187+K187+H187</f>
        <v>11</v>
      </c>
      <c r="S187" s="126" t="n">
        <f aca="false">O187+L187+I187</f>
        <v>7</v>
      </c>
      <c r="T187" s="127"/>
      <c r="U187" s="5" t="n">
        <f aca="false">A188-A187</f>
        <v>30</v>
      </c>
      <c r="V187" s="128" t="n">
        <f aca="false">CHOOSE(F$3,A188+24,A187)</f>
        <v>42675</v>
      </c>
      <c r="W187" s="5" t="n">
        <f aca="false">V187-C$3</f>
        <v>5444</v>
      </c>
      <c r="X187" s="124" t="n">
        <f aca="false">VLOOKUP($A187,Table,MATCH(X$4,Curves,0))</f>
        <v>2</v>
      </c>
      <c r="Y187" s="129" t="n">
        <f aca="false">1/(1+CHOOSE(F$3,(X188+($K$3/10000))/2,(X187+($K$3/10000))/2))^(2*W187/365.25)</f>
        <v>1.06262568028034E-009</v>
      </c>
      <c r="Z187" s="5" t="n">
        <f aca="false">IF(AND(mthbeg&lt;=A187,mthend&gt;=A187),1,0)</f>
        <v>0</v>
      </c>
      <c r="AA187" s="5" t="n">
        <f aca="false">U187*Z187</f>
        <v>0</v>
      </c>
      <c r="AC187" s="115" t="n">
        <f aca="false">IF(G180=2,F187*(S187-Q187),F187*(Q187-S187))</f>
        <v>0</v>
      </c>
      <c r="AE187" s="116" t="n">
        <f aca="false">IF($G$3=1,F187*(R187-Q187),F187*(Q187-R187))</f>
        <v>0</v>
      </c>
      <c r="AG187" s="116" t="n">
        <f aca="false">AC187+AE187</f>
        <v>0</v>
      </c>
    </row>
    <row r="188" customFormat="false" ht="12" hidden="false" customHeight="true" outlineLevel="0" collapsed="false">
      <c r="A188" s="120" t="n">
        <f aca="false">EDATE(A187,1)</f>
        <v>42705</v>
      </c>
      <c r="B188" s="121" t="n">
        <v>0</v>
      </c>
      <c r="C188" s="122"/>
      <c r="D188" s="123" t="n">
        <f aca="false">B188+C188</f>
        <v>0</v>
      </c>
      <c r="E188" s="111" t="n">
        <f aca="false">IF(Z188=0,0,IF(AND(Z188=1,$H$3=1),D188*U188,IF($H$3=2,D188,"N/A")))</f>
        <v>0</v>
      </c>
      <c r="F188" s="111" t="n">
        <f aca="false">E188*Y188</f>
        <v>0</v>
      </c>
      <c r="G188" s="124" t="n">
        <f aca="false">VLOOKUP($A188,Table,MATCH(G$4,Curves,0))</f>
        <v>3</v>
      </c>
      <c r="H188" s="125" t="n">
        <f aca="false">G188+$H$7</f>
        <v>3</v>
      </c>
      <c r="I188" s="124" t="n">
        <f aca="false">H188</f>
        <v>3</v>
      </c>
      <c r="J188" s="124" t="n">
        <f aca="false">VLOOKUP($A188,Table,MATCH(J$4,Curves,0))</f>
        <v>4</v>
      </c>
      <c r="K188" s="125" t="n">
        <f aca="false">J188+$K$7</f>
        <v>4</v>
      </c>
      <c r="L188" s="126" t="n">
        <f aca="false">K188</f>
        <v>4</v>
      </c>
      <c r="M188" s="124" t="n">
        <f aca="false">VLOOKUP($A188,Table,MATCH(M$4,Curves,0))</f>
        <v>4</v>
      </c>
      <c r="N188" s="125" t="n">
        <f aca="false">M188+$N$7</f>
        <v>4</v>
      </c>
      <c r="O188" s="126" t="n">
        <f aca="false">IF(B188&gt;0,(1000/B188*0.25)+((B188-1000)/B188*0.12),0)</f>
        <v>0</v>
      </c>
      <c r="P188" s="114"/>
      <c r="Q188" s="126" t="n">
        <f aca="false">M188+J188+G188</f>
        <v>11</v>
      </c>
      <c r="R188" s="126" t="n">
        <f aca="false">N188+K188+H188</f>
        <v>11</v>
      </c>
      <c r="S188" s="126" t="n">
        <f aca="false">O188+L188+I188</f>
        <v>7</v>
      </c>
      <c r="T188" s="127"/>
      <c r="U188" s="5" t="n">
        <f aca="false">A189-A188</f>
        <v>31</v>
      </c>
      <c r="V188" s="128" t="n">
        <f aca="false">CHOOSE(F$3,A189+24,A188)</f>
        <v>42705</v>
      </c>
      <c r="W188" s="5" t="n">
        <f aca="false">V188-C$3</f>
        <v>5474</v>
      </c>
      <c r="X188" s="124" t="n">
        <f aca="false">VLOOKUP($A188,Table,MATCH(X$4,Curves,0))</f>
        <v>2</v>
      </c>
      <c r="Y188" s="129" t="n">
        <f aca="false">1/(1+CHOOSE(F$3,(X189+($K$3/10000))/2,(X188+($K$3/10000))/2))^(2*W188/365.25)</f>
        <v>9.48265160100388E-010</v>
      </c>
      <c r="Z188" s="5" t="n">
        <f aca="false">IF(AND(mthbeg&lt;=A188,mthend&gt;=A188),1,0)</f>
        <v>0</v>
      </c>
      <c r="AA188" s="5" t="n">
        <f aca="false">U188*Z188</f>
        <v>0</v>
      </c>
      <c r="AC188" s="115" t="n">
        <f aca="false">IF(G181=2,F188*(S188-Q188),F188*(Q188-S188))</f>
        <v>0</v>
      </c>
      <c r="AE188" s="116" t="n">
        <f aca="false">IF($G$3=1,F188*(R188-Q188),F188*(Q188-R188))</f>
        <v>0</v>
      </c>
      <c r="AG188" s="116" t="n">
        <f aca="false">AC188+AE188</f>
        <v>0</v>
      </c>
    </row>
    <row r="189" customFormat="false" ht="12" hidden="false" customHeight="true" outlineLevel="0" collapsed="false">
      <c r="A189" s="120" t="n">
        <f aca="false">EDATE(A188,1)</f>
        <v>42736</v>
      </c>
      <c r="B189" s="121" t="n">
        <v>0</v>
      </c>
      <c r="C189" s="122"/>
      <c r="D189" s="123" t="n">
        <f aca="false">B189+C189</f>
        <v>0</v>
      </c>
      <c r="E189" s="111" t="n">
        <f aca="false">IF(Z189=0,0,IF(AND(Z189=1,$H$3=1),D189*U189,IF($H$3=2,D189,"N/A")))</f>
        <v>0</v>
      </c>
      <c r="F189" s="111" t="n">
        <f aca="false">E189*Y189</f>
        <v>0</v>
      </c>
      <c r="G189" s="124" t="n">
        <f aca="false">VLOOKUP($A189,Table,MATCH(G$4,Curves,0))</f>
        <v>3</v>
      </c>
      <c r="H189" s="125" t="n">
        <f aca="false">G189+$H$7</f>
        <v>3</v>
      </c>
      <c r="I189" s="124" t="n">
        <f aca="false">H189</f>
        <v>3</v>
      </c>
      <c r="J189" s="124" t="n">
        <f aca="false">VLOOKUP($A189,Table,MATCH(J$4,Curves,0))</f>
        <v>4</v>
      </c>
      <c r="K189" s="125" t="n">
        <f aca="false">J189+$K$7</f>
        <v>4</v>
      </c>
      <c r="L189" s="126" t="n">
        <f aca="false">K189</f>
        <v>4</v>
      </c>
      <c r="M189" s="124" t="n">
        <f aca="false">VLOOKUP($A189,Table,MATCH(M$4,Curves,0))</f>
        <v>4</v>
      </c>
      <c r="N189" s="125" t="n">
        <f aca="false">M189+$N$7</f>
        <v>4</v>
      </c>
      <c r="O189" s="126" t="n">
        <f aca="false">IF(B189&gt;0,(1000/B189*0.25)+((B189-1000)/B189*0.12),0)</f>
        <v>0</v>
      </c>
      <c r="P189" s="114"/>
      <c r="Q189" s="126" t="n">
        <f aca="false">M189+J189+G189</f>
        <v>11</v>
      </c>
      <c r="R189" s="126" t="n">
        <f aca="false">N189+K189+H189</f>
        <v>11</v>
      </c>
      <c r="S189" s="126" t="n">
        <f aca="false">O189+L189+I189</f>
        <v>7</v>
      </c>
      <c r="T189" s="127"/>
      <c r="U189" s="5" t="n">
        <f aca="false">A190-A189</f>
        <v>31</v>
      </c>
      <c r="V189" s="128" t="n">
        <f aca="false">CHOOSE(F$3,A190+24,A189)</f>
        <v>42736</v>
      </c>
      <c r="W189" s="5" t="n">
        <f aca="false">V189-C$3</f>
        <v>5505</v>
      </c>
      <c r="X189" s="124" t="n">
        <f aca="false">VLOOKUP($A189,Table,MATCH(X$4,Curves,0))</f>
        <v>2</v>
      </c>
      <c r="Y189" s="129" t="n">
        <f aca="false">1/(1+CHOOSE(F$3,(X190+($K$3/10000))/2,(X189+($K$3/10000))/2))^(2*W189/365.25)</f>
        <v>8.43006516034885E-010</v>
      </c>
      <c r="Z189" s="5" t="n">
        <f aca="false">IF(AND(mthbeg&lt;=A189,mthend&gt;=A189),1,0)</f>
        <v>0</v>
      </c>
      <c r="AA189" s="5" t="n">
        <f aca="false">U189*Z189</f>
        <v>0</v>
      </c>
      <c r="AC189" s="115" t="n">
        <f aca="false">IF(G182=2,F189*(S189-Q189),F189*(Q189-S189))</f>
        <v>0</v>
      </c>
      <c r="AE189" s="116" t="n">
        <f aca="false">IF($G$3=1,F189*(R189-Q189),F189*(Q189-R189))</f>
        <v>0</v>
      </c>
      <c r="AG189" s="116" t="n">
        <f aca="false">AC189+AE189</f>
        <v>0</v>
      </c>
    </row>
    <row r="190" customFormat="false" ht="12" hidden="false" customHeight="true" outlineLevel="0" collapsed="false">
      <c r="A190" s="120" t="n">
        <f aca="false">EDATE(A189,1)</f>
        <v>42767</v>
      </c>
      <c r="B190" s="121" t="n">
        <v>0</v>
      </c>
      <c r="C190" s="122"/>
      <c r="D190" s="123" t="n">
        <f aca="false">B190+C190</f>
        <v>0</v>
      </c>
      <c r="E190" s="111" t="n">
        <f aca="false">IF(Z190=0,0,IF(AND(Z190=1,$H$3=1),D190*U190,IF($H$3=2,D190,"N/A")))</f>
        <v>0</v>
      </c>
      <c r="F190" s="111" t="n">
        <f aca="false">E190*Y190</f>
        <v>0</v>
      </c>
      <c r="G190" s="124" t="n">
        <f aca="false">VLOOKUP($A190,Table,MATCH(G$4,Curves,0))</f>
        <v>3</v>
      </c>
      <c r="H190" s="125" t="n">
        <f aca="false">G190+$H$7</f>
        <v>3</v>
      </c>
      <c r="I190" s="124" t="n">
        <f aca="false">H190</f>
        <v>3</v>
      </c>
      <c r="J190" s="124" t="n">
        <f aca="false">VLOOKUP($A190,Table,MATCH(J$4,Curves,0))</f>
        <v>4</v>
      </c>
      <c r="K190" s="125" t="n">
        <f aca="false">J190+$K$7</f>
        <v>4</v>
      </c>
      <c r="L190" s="126" t="n">
        <f aca="false">K190</f>
        <v>4</v>
      </c>
      <c r="M190" s="124" t="n">
        <f aca="false">VLOOKUP($A190,Table,MATCH(M$4,Curves,0))</f>
        <v>4</v>
      </c>
      <c r="N190" s="125" t="n">
        <f aca="false">M190+$N$7</f>
        <v>4</v>
      </c>
      <c r="O190" s="126" t="n">
        <f aca="false">IF(B190&gt;0,(1000/B190*0.25)+((B190-1000)/B190*0.12),0)</f>
        <v>0</v>
      </c>
      <c r="P190" s="114"/>
      <c r="Q190" s="126" t="n">
        <f aca="false">M190+J190+G190</f>
        <v>11</v>
      </c>
      <c r="R190" s="126" t="n">
        <f aca="false">N190+K190+H190</f>
        <v>11</v>
      </c>
      <c r="S190" s="126" t="n">
        <f aca="false">O190+L190+I190</f>
        <v>7</v>
      </c>
      <c r="T190" s="127"/>
      <c r="U190" s="5" t="n">
        <f aca="false">A191-A190</f>
        <v>28</v>
      </c>
      <c r="V190" s="128" t="n">
        <f aca="false">CHOOSE(F$3,A191+24,A190)</f>
        <v>42767</v>
      </c>
      <c r="W190" s="5" t="n">
        <f aca="false">V190-C$3</f>
        <v>5536</v>
      </c>
      <c r="X190" s="124" t="n">
        <f aca="false">VLOOKUP($A190,Table,MATCH(X$4,Curves,0))</f>
        <v>2</v>
      </c>
      <c r="Y190" s="129" t="n">
        <f aca="false">1/(1+CHOOSE(F$3,(X191+($K$3/10000))/2,(X190+($K$3/10000))/2))^(2*W190/365.25)</f>
        <v>7.49431715915874E-010</v>
      </c>
      <c r="Z190" s="5" t="n">
        <f aca="false">IF(AND(mthbeg&lt;=A190,mthend&gt;=A190),1,0)</f>
        <v>0</v>
      </c>
      <c r="AA190" s="5" t="n">
        <f aca="false">U190*Z190</f>
        <v>0</v>
      </c>
      <c r="AC190" s="115" t="n">
        <f aca="false">IF(G183=2,F190*(S190-Q190),F190*(Q190-S190))</f>
        <v>0</v>
      </c>
      <c r="AE190" s="116" t="n">
        <f aca="false">IF($G$3=1,F190*(R190-Q190),F190*(Q190-R190))</f>
        <v>0</v>
      </c>
      <c r="AG190" s="116" t="n">
        <f aca="false">AC190+AE190</f>
        <v>0</v>
      </c>
    </row>
    <row r="191" customFormat="false" ht="12" hidden="false" customHeight="true" outlineLevel="0" collapsed="false">
      <c r="A191" s="120" t="n">
        <f aca="false">EDATE(A190,1)</f>
        <v>42795</v>
      </c>
      <c r="B191" s="121" t="n">
        <v>0</v>
      </c>
      <c r="C191" s="122"/>
      <c r="D191" s="123" t="n">
        <f aca="false">B191+C191</f>
        <v>0</v>
      </c>
      <c r="E191" s="111" t="n">
        <f aca="false">IF(Z191=0,0,IF(AND(Z191=1,$H$3=1),D191*U191,IF($H$3=2,D191,"N/A")))</f>
        <v>0</v>
      </c>
      <c r="F191" s="111" t="n">
        <f aca="false">E191*Y191</f>
        <v>0</v>
      </c>
      <c r="G191" s="124" t="n">
        <f aca="false">VLOOKUP($A191,Table,MATCH(G$4,Curves,0))</f>
        <v>3</v>
      </c>
      <c r="H191" s="125" t="n">
        <f aca="false">G191+$H$7</f>
        <v>3</v>
      </c>
      <c r="I191" s="124" t="n">
        <f aca="false">H191</f>
        <v>3</v>
      </c>
      <c r="J191" s="124" t="n">
        <f aca="false">VLOOKUP($A191,Table,MATCH(J$4,Curves,0))</f>
        <v>4</v>
      </c>
      <c r="K191" s="125" t="n">
        <f aca="false">J191+$K$7</f>
        <v>4</v>
      </c>
      <c r="L191" s="126" t="n">
        <f aca="false">K191</f>
        <v>4</v>
      </c>
      <c r="M191" s="124" t="n">
        <f aca="false">VLOOKUP($A191,Table,MATCH(M$4,Curves,0))</f>
        <v>4</v>
      </c>
      <c r="N191" s="125" t="n">
        <f aca="false">M191+$N$7</f>
        <v>4</v>
      </c>
      <c r="O191" s="126" t="n">
        <f aca="false">IF(B191&gt;0,(1000/B191*0.25)+((B191-1000)/B191*0.12),0)</f>
        <v>0</v>
      </c>
      <c r="P191" s="114"/>
      <c r="Q191" s="126" t="n">
        <f aca="false">M191+J191+G191</f>
        <v>11</v>
      </c>
      <c r="R191" s="126" t="n">
        <f aca="false">N191+K191+H191</f>
        <v>11</v>
      </c>
      <c r="S191" s="126" t="n">
        <f aca="false">O191+L191+I191</f>
        <v>7</v>
      </c>
      <c r="T191" s="127"/>
      <c r="U191" s="5" t="n">
        <f aca="false">A192-A191</f>
        <v>31</v>
      </c>
      <c r="V191" s="128" t="n">
        <f aca="false">CHOOSE(F$3,A192+24,A191)</f>
        <v>42795</v>
      </c>
      <c r="W191" s="5" t="n">
        <f aca="false">V191-C$3</f>
        <v>5564</v>
      </c>
      <c r="X191" s="124" t="n">
        <f aca="false">VLOOKUP($A191,Table,MATCH(X$4,Curves,0))</f>
        <v>2</v>
      </c>
      <c r="Y191" s="129" t="n">
        <f aca="false">1/(1+CHOOSE(F$3,(X192+($K$3/10000))/2,(X191+($K$3/10000))/2))^(2*W191/365.25)</f>
        <v>6.73873311553957E-010</v>
      </c>
      <c r="Z191" s="5" t="n">
        <f aca="false">IF(AND(mthbeg&lt;=A191,mthend&gt;=A191),1,0)</f>
        <v>0</v>
      </c>
      <c r="AA191" s="5" t="n">
        <f aca="false">U191*Z191</f>
        <v>0</v>
      </c>
      <c r="AC191" s="115" t="n">
        <f aca="false">IF(G184=2,F191*(S191-Q191),F191*(Q191-S191))</f>
        <v>0</v>
      </c>
      <c r="AE191" s="116" t="n">
        <f aca="false">IF($G$3=1,F191*(R191-Q191),F191*(Q191-R191))</f>
        <v>0</v>
      </c>
      <c r="AG191" s="116" t="n">
        <f aca="false">AC191+AE191</f>
        <v>0</v>
      </c>
    </row>
    <row r="192" customFormat="false" ht="12" hidden="false" customHeight="true" outlineLevel="0" collapsed="false">
      <c r="A192" s="120" t="n">
        <f aca="false">EDATE(A191,1)</f>
        <v>42826</v>
      </c>
      <c r="B192" s="121" t="n">
        <v>0</v>
      </c>
      <c r="C192" s="122"/>
      <c r="D192" s="123" t="n">
        <f aca="false">B192+C192</f>
        <v>0</v>
      </c>
      <c r="E192" s="111" t="n">
        <f aca="false">IF(Z192=0,0,IF(AND(Z192=1,$H$3=1),D192*U192,IF($H$3=2,D192,"N/A")))</f>
        <v>0</v>
      </c>
      <c r="F192" s="111" t="n">
        <f aca="false">E192*Y192</f>
        <v>0</v>
      </c>
      <c r="G192" s="124" t="n">
        <f aca="false">VLOOKUP($A192,Table,MATCH(G$4,Curves,0))</f>
        <v>3</v>
      </c>
      <c r="H192" s="125" t="n">
        <f aca="false">G192+$H$7</f>
        <v>3</v>
      </c>
      <c r="I192" s="124" t="n">
        <f aca="false">H192</f>
        <v>3</v>
      </c>
      <c r="J192" s="124" t="n">
        <f aca="false">VLOOKUP($A192,Table,MATCH(J$4,Curves,0))</f>
        <v>4</v>
      </c>
      <c r="K192" s="125" t="n">
        <f aca="false">J192+$K$7</f>
        <v>4</v>
      </c>
      <c r="L192" s="126" t="n">
        <f aca="false">K192</f>
        <v>4</v>
      </c>
      <c r="M192" s="124" t="n">
        <f aca="false">VLOOKUP($A192,Table,MATCH(M$4,Curves,0))</f>
        <v>4</v>
      </c>
      <c r="N192" s="125" t="n">
        <f aca="false">M192+$N$7</f>
        <v>4</v>
      </c>
      <c r="O192" s="126" t="n">
        <f aca="false">IF(B192&gt;0,(1000/B192*0.25)+((B192-1000)/B192*0.12),0)</f>
        <v>0</v>
      </c>
      <c r="P192" s="114"/>
      <c r="Q192" s="126" t="n">
        <f aca="false">M192+J192+G192</f>
        <v>11</v>
      </c>
      <c r="R192" s="126" t="n">
        <f aca="false">N192+K192+H192</f>
        <v>11</v>
      </c>
      <c r="S192" s="126" t="n">
        <f aca="false">O192+L192+I192</f>
        <v>7</v>
      </c>
      <c r="T192" s="127"/>
      <c r="U192" s="5" t="n">
        <f aca="false">A193-A192</f>
        <v>30</v>
      </c>
      <c r="V192" s="128" t="n">
        <f aca="false">CHOOSE(F$3,A193+24,A192)</f>
        <v>42826</v>
      </c>
      <c r="W192" s="5" t="n">
        <f aca="false">V192-C$3</f>
        <v>5595</v>
      </c>
      <c r="X192" s="124" t="n">
        <f aca="false">VLOOKUP($A192,Table,MATCH(X$4,Curves,0))</f>
        <v>2</v>
      </c>
      <c r="Y192" s="129" t="n">
        <f aca="false">1/(1+CHOOSE(F$3,(X193+($K$3/10000))/2,(X192+($K$3/10000))/2))^(2*W192/365.25)</f>
        <v>5.99072513179596E-010</v>
      </c>
      <c r="Z192" s="5" t="n">
        <f aca="false">IF(AND(mthbeg&lt;=A192,mthend&gt;=A192),1,0)</f>
        <v>0</v>
      </c>
      <c r="AA192" s="5" t="n">
        <f aca="false">U192*Z192</f>
        <v>0</v>
      </c>
      <c r="AC192" s="115" t="n">
        <f aca="false">IF(G185=2,F192*(S192-Q192),F192*(Q192-S192))</f>
        <v>0</v>
      </c>
      <c r="AE192" s="116" t="n">
        <f aca="false">IF($G$3=1,F192*(R192-Q192),F192*(Q192-R192))</f>
        <v>0</v>
      </c>
      <c r="AG192" s="116" t="n">
        <f aca="false">AC192+AE192</f>
        <v>0</v>
      </c>
    </row>
    <row r="193" customFormat="false" ht="12" hidden="false" customHeight="true" outlineLevel="0" collapsed="false">
      <c r="A193" s="120" t="n">
        <f aca="false">EDATE(A192,1)</f>
        <v>42856</v>
      </c>
      <c r="B193" s="121" t="n">
        <v>0</v>
      </c>
      <c r="C193" s="122"/>
      <c r="D193" s="123" t="n">
        <f aca="false">B193+C193</f>
        <v>0</v>
      </c>
      <c r="E193" s="111" t="n">
        <f aca="false">IF(Z193=0,0,IF(AND(Z193=1,$H$3=1),D193*U193,IF($H$3=2,D193,"N/A")))</f>
        <v>0</v>
      </c>
      <c r="F193" s="111" t="n">
        <f aca="false">E193*Y193</f>
        <v>0</v>
      </c>
      <c r="G193" s="124" t="n">
        <f aca="false">VLOOKUP($A193,Table,MATCH(G$4,Curves,0))</f>
        <v>3</v>
      </c>
      <c r="H193" s="125" t="n">
        <f aca="false">G193+$H$7</f>
        <v>3</v>
      </c>
      <c r="I193" s="124" t="n">
        <f aca="false">H193</f>
        <v>3</v>
      </c>
      <c r="J193" s="124" t="n">
        <f aca="false">VLOOKUP($A193,Table,MATCH(J$4,Curves,0))</f>
        <v>4</v>
      </c>
      <c r="K193" s="125" t="n">
        <f aca="false">J193+$K$7</f>
        <v>4</v>
      </c>
      <c r="L193" s="126" t="n">
        <f aca="false">K193</f>
        <v>4</v>
      </c>
      <c r="M193" s="124" t="n">
        <f aca="false">VLOOKUP($A193,Table,MATCH(M$4,Curves,0))</f>
        <v>4</v>
      </c>
      <c r="N193" s="125" t="n">
        <f aca="false">M193+$N$7</f>
        <v>4</v>
      </c>
      <c r="O193" s="126" t="n">
        <f aca="false">IF(B193&gt;0,(1000/B193*0.25)+((B193-1000)/B193*0.12),0)</f>
        <v>0</v>
      </c>
      <c r="P193" s="114"/>
      <c r="Q193" s="126" t="n">
        <f aca="false">M193+J193+G193</f>
        <v>11</v>
      </c>
      <c r="R193" s="126" t="n">
        <f aca="false">N193+K193+H193</f>
        <v>11</v>
      </c>
      <c r="S193" s="126" t="n">
        <f aca="false">O193+L193+I193</f>
        <v>7</v>
      </c>
      <c r="T193" s="127"/>
      <c r="U193" s="5" t="n">
        <f aca="false">A194-A193</f>
        <v>31</v>
      </c>
      <c r="V193" s="128" t="n">
        <f aca="false">CHOOSE(F$3,A194+24,A193)</f>
        <v>42856</v>
      </c>
      <c r="W193" s="5" t="n">
        <f aca="false">V193-C$3</f>
        <v>5625</v>
      </c>
      <c r="X193" s="124" t="n">
        <f aca="false">VLOOKUP($A193,Table,MATCH(X$4,Curves,0))</f>
        <v>2</v>
      </c>
      <c r="Y193" s="129" t="n">
        <f aca="false">1/(1+CHOOSE(F$3,(X194+($K$3/10000))/2,(X193+($K$3/10000))/2))^(2*W193/365.25)</f>
        <v>5.3459990960516E-010</v>
      </c>
      <c r="Z193" s="5" t="n">
        <f aca="false">IF(AND(mthbeg&lt;=A193,mthend&gt;=A193),1,0)</f>
        <v>0</v>
      </c>
      <c r="AA193" s="5" t="n">
        <f aca="false">U193*Z193</f>
        <v>0</v>
      </c>
      <c r="AC193" s="115" t="n">
        <f aca="false">IF(G186=2,F193*(S193-Q193),F193*(Q193-S193))</f>
        <v>0</v>
      </c>
      <c r="AE193" s="116" t="n">
        <f aca="false">IF($G$3=1,F193*(R193-Q193),F193*(Q193-R193))</f>
        <v>0</v>
      </c>
      <c r="AG193" s="116" t="n">
        <f aca="false">AC193+AE193</f>
        <v>0</v>
      </c>
    </row>
    <row r="194" customFormat="false" ht="12" hidden="false" customHeight="true" outlineLevel="0" collapsed="false">
      <c r="A194" s="120" t="n">
        <f aca="false">EDATE(A193,1)</f>
        <v>42887</v>
      </c>
      <c r="B194" s="121" t="n">
        <v>0</v>
      </c>
      <c r="C194" s="122"/>
      <c r="D194" s="123" t="n">
        <f aca="false">B194+C194</f>
        <v>0</v>
      </c>
      <c r="E194" s="111" t="n">
        <f aca="false">IF(Z194=0,0,IF(AND(Z194=1,$H$3=1),D194*U194,IF($H$3=2,D194,"N/A")))</f>
        <v>0</v>
      </c>
      <c r="F194" s="111" t="n">
        <f aca="false">E194*Y194</f>
        <v>0</v>
      </c>
      <c r="G194" s="124" t="n">
        <f aca="false">VLOOKUP($A194,Table,MATCH(G$4,Curves,0))</f>
        <v>3</v>
      </c>
      <c r="H194" s="125" t="n">
        <f aca="false">G194+$H$7</f>
        <v>3</v>
      </c>
      <c r="I194" s="124" t="n">
        <f aca="false">H194</f>
        <v>3</v>
      </c>
      <c r="J194" s="124" t="n">
        <f aca="false">VLOOKUP($A194,Table,MATCH(J$4,Curves,0))</f>
        <v>4</v>
      </c>
      <c r="K194" s="125" t="n">
        <f aca="false">J194+$K$7</f>
        <v>4</v>
      </c>
      <c r="L194" s="126" t="n">
        <f aca="false">K194</f>
        <v>4</v>
      </c>
      <c r="M194" s="124" t="n">
        <f aca="false">VLOOKUP($A194,Table,MATCH(M$4,Curves,0))</f>
        <v>4</v>
      </c>
      <c r="N194" s="125" t="n">
        <f aca="false">M194+$N$7</f>
        <v>4</v>
      </c>
      <c r="O194" s="126" t="n">
        <f aca="false">IF(B194&gt;0,(1000/B194*0.25)+((B194-1000)/B194*0.12),0)</f>
        <v>0</v>
      </c>
      <c r="P194" s="114"/>
      <c r="Q194" s="126" t="n">
        <f aca="false">M194+J194+G194</f>
        <v>11</v>
      </c>
      <c r="R194" s="126" t="n">
        <f aca="false">N194+K194+H194</f>
        <v>11</v>
      </c>
      <c r="S194" s="126" t="n">
        <f aca="false">O194+L194+I194</f>
        <v>7</v>
      </c>
      <c r="T194" s="127"/>
      <c r="U194" s="5" t="n">
        <f aca="false">A195-A194</f>
        <v>30</v>
      </c>
      <c r="V194" s="128" t="n">
        <f aca="false">CHOOSE(F$3,A195+24,A194)</f>
        <v>42887</v>
      </c>
      <c r="W194" s="5" t="n">
        <f aca="false">V194-C$3</f>
        <v>5656</v>
      </c>
      <c r="X194" s="124" t="n">
        <f aca="false">VLOOKUP($A194,Table,MATCH(X$4,Curves,0))</f>
        <v>2</v>
      </c>
      <c r="Y194" s="129" t="n">
        <f aca="false">1/(1+CHOOSE(F$3,(X195+($K$3/10000))/2,(X194+($K$3/10000))/2))^(2*W194/365.25)</f>
        <v>4.75258636752088E-010</v>
      </c>
      <c r="Z194" s="5" t="n">
        <f aca="false">IF(AND(mthbeg&lt;=A194,mthend&gt;=A194),1,0)</f>
        <v>0</v>
      </c>
      <c r="AA194" s="5" t="n">
        <f aca="false">U194*Z194</f>
        <v>0</v>
      </c>
      <c r="AC194" s="115" t="n">
        <f aca="false">IF(G187=2,F194*(S194-Q194),F194*(Q194-S194))</f>
        <v>0</v>
      </c>
      <c r="AE194" s="116" t="n">
        <f aca="false">IF($G$3=1,F194*(R194-Q194),F194*(Q194-R194))</f>
        <v>0</v>
      </c>
      <c r="AG194" s="116" t="n">
        <f aca="false">AC194+AE194</f>
        <v>0</v>
      </c>
    </row>
    <row r="195" customFormat="false" ht="12" hidden="false" customHeight="true" outlineLevel="0" collapsed="false">
      <c r="A195" s="120" t="n">
        <f aca="false">EDATE(A194,1)</f>
        <v>42917</v>
      </c>
      <c r="B195" s="121" t="n">
        <v>0</v>
      </c>
      <c r="C195" s="122"/>
      <c r="D195" s="123" t="n">
        <f aca="false">B195+C195</f>
        <v>0</v>
      </c>
      <c r="E195" s="111" t="n">
        <f aca="false">IF(Z195=0,0,IF(AND(Z195=1,$H$3=1),D195*U195,IF($H$3=2,D195,"N/A")))</f>
        <v>0</v>
      </c>
      <c r="F195" s="111" t="n">
        <f aca="false">E195*Y195</f>
        <v>0</v>
      </c>
      <c r="G195" s="124" t="n">
        <f aca="false">VLOOKUP($A195,Table,MATCH(G$4,Curves,0))</f>
        <v>3</v>
      </c>
      <c r="H195" s="125" t="n">
        <f aca="false">G195+$H$7</f>
        <v>3</v>
      </c>
      <c r="I195" s="124" t="n">
        <f aca="false">H195</f>
        <v>3</v>
      </c>
      <c r="J195" s="124" t="n">
        <f aca="false">VLOOKUP($A195,Table,MATCH(J$4,Curves,0))</f>
        <v>4</v>
      </c>
      <c r="K195" s="125" t="n">
        <f aca="false">J195+$K$7</f>
        <v>4</v>
      </c>
      <c r="L195" s="126" t="n">
        <f aca="false">K195</f>
        <v>4</v>
      </c>
      <c r="M195" s="124" t="n">
        <f aca="false">VLOOKUP($A195,Table,MATCH(M$4,Curves,0))</f>
        <v>4</v>
      </c>
      <c r="N195" s="125" t="n">
        <f aca="false">M195+$N$7</f>
        <v>4</v>
      </c>
      <c r="O195" s="126" t="n">
        <f aca="false">IF(B195&gt;0,(1000/B195*0.25)+((B195-1000)/B195*0.12),0)</f>
        <v>0</v>
      </c>
      <c r="P195" s="114"/>
      <c r="Q195" s="126" t="n">
        <f aca="false">M195+J195+G195</f>
        <v>11</v>
      </c>
      <c r="R195" s="126" t="n">
        <f aca="false">N195+K195+H195</f>
        <v>11</v>
      </c>
      <c r="S195" s="126" t="n">
        <f aca="false">O195+L195+I195</f>
        <v>7</v>
      </c>
      <c r="T195" s="127"/>
      <c r="U195" s="5" t="n">
        <f aca="false">A196-A195</f>
        <v>31</v>
      </c>
      <c r="V195" s="128" t="n">
        <f aca="false">CHOOSE(F$3,A196+24,A195)</f>
        <v>42917</v>
      </c>
      <c r="W195" s="5" t="n">
        <f aca="false">V195-C$3</f>
        <v>5686</v>
      </c>
      <c r="X195" s="124" t="n">
        <f aca="false">VLOOKUP($A195,Table,MATCH(X$4,Curves,0))</f>
        <v>2</v>
      </c>
      <c r="Y195" s="129" t="n">
        <f aca="false">1/(1+CHOOSE(F$3,(X196+($K$3/10000))/2,(X195+($K$3/10000))/2))^(2*W195/365.25)</f>
        <v>4.24110969301922E-010</v>
      </c>
      <c r="Z195" s="5" t="n">
        <f aca="false">IF(AND(mthbeg&lt;=A195,mthend&gt;=A195),1,0)</f>
        <v>0</v>
      </c>
      <c r="AA195" s="5" t="n">
        <f aca="false">U195*Z195</f>
        <v>0</v>
      </c>
      <c r="AC195" s="115" t="n">
        <f aca="false">IF(G188=2,F195*(S195-Q195),F195*(Q195-S195))</f>
        <v>0</v>
      </c>
      <c r="AE195" s="116" t="n">
        <f aca="false">IF($G$3=1,F195*(R195-Q195),F195*(Q195-R195))</f>
        <v>0</v>
      </c>
      <c r="AG195" s="116" t="n">
        <f aca="false">AC195+AE195</f>
        <v>0</v>
      </c>
    </row>
    <row r="196" customFormat="false" ht="12" hidden="false" customHeight="true" outlineLevel="0" collapsed="false">
      <c r="A196" s="120" t="n">
        <f aca="false">EDATE(A195,1)</f>
        <v>42948</v>
      </c>
      <c r="B196" s="121" t="n">
        <v>0</v>
      </c>
      <c r="C196" s="122"/>
      <c r="D196" s="123" t="n">
        <f aca="false">B196+C196</f>
        <v>0</v>
      </c>
      <c r="E196" s="111" t="n">
        <f aca="false">IF(Z196=0,0,IF(AND(Z196=1,$H$3=1),D196*U196,IF($H$3=2,D196,"N/A")))</f>
        <v>0</v>
      </c>
      <c r="F196" s="111" t="n">
        <f aca="false">E196*Y196</f>
        <v>0</v>
      </c>
      <c r="G196" s="124" t="n">
        <f aca="false">VLOOKUP($A196,Table,MATCH(G$4,Curves,0))</f>
        <v>3</v>
      </c>
      <c r="H196" s="125" t="n">
        <f aca="false">G196+$H$7</f>
        <v>3</v>
      </c>
      <c r="I196" s="124" t="n">
        <f aca="false">H196</f>
        <v>3</v>
      </c>
      <c r="J196" s="124" t="n">
        <f aca="false">VLOOKUP($A196,Table,MATCH(J$4,Curves,0))</f>
        <v>4</v>
      </c>
      <c r="K196" s="125" t="n">
        <f aca="false">J196+$K$7</f>
        <v>4</v>
      </c>
      <c r="L196" s="126" t="n">
        <f aca="false">K196</f>
        <v>4</v>
      </c>
      <c r="M196" s="124" t="n">
        <f aca="false">VLOOKUP($A196,Table,MATCH(M$4,Curves,0))</f>
        <v>4</v>
      </c>
      <c r="N196" s="125" t="n">
        <f aca="false">M196+$N$7</f>
        <v>4</v>
      </c>
      <c r="O196" s="126" t="n">
        <f aca="false">IF(B196&gt;0,(1000/B196*0.25)+((B196-1000)/B196*0.12),0)</f>
        <v>0</v>
      </c>
      <c r="P196" s="114"/>
      <c r="Q196" s="126" t="n">
        <f aca="false">M196+J196+G196</f>
        <v>11</v>
      </c>
      <c r="R196" s="126" t="n">
        <f aca="false">N196+K196+H196</f>
        <v>11</v>
      </c>
      <c r="S196" s="126" t="n">
        <f aca="false">O196+L196+I196</f>
        <v>7</v>
      </c>
      <c r="T196" s="127"/>
      <c r="U196" s="5" t="n">
        <f aca="false">A197-A196</f>
        <v>31</v>
      </c>
      <c r="V196" s="128" t="n">
        <f aca="false">CHOOSE(F$3,A197+24,A196)</f>
        <v>42948</v>
      </c>
      <c r="W196" s="5" t="n">
        <f aca="false">V196-C$3</f>
        <v>5717</v>
      </c>
      <c r="X196" s="124" t="n">
        <f aca="false">VLOOKUP($A196,Table,MATCH(X$4,Curves,0))</f>
        <v>2</v>
      </c>
      <c r="Y196" s="129" t="n">
        <f aca="false">1/(1+CHOOSE(F$3,(X197+($K$3/10000))/2,(X196+($K$3/10000))/2))^(2*W196/365.25)</f>
        <v>3.77034109958803E-010</v>
      </c>
      <c r="Z196" s="5" t="n">
        <f aca="false">IF(AND(mthbeg&lt;=A196,mthend&gt;=A196),1,0)</f>
        <v>0</v>
      </c>
      <c r="AA196" s="5" t="n">
        <f aca="false">U196*Z196</f>
        <v>0</v>
      </c>
      <c r="AC196" s="115" t="n">
        <f aca="false">IF(G189=2,F196*(S196-Q196),F196*(Q196-S196))</f>
        <v>0</v>
      </c>
      <c r="AE196" s="116" t="n">
        <f aca="false">IF($G$3=1,F196*(R196-Q196),F196*(Q196-R196))</f>
        <v>0</v>
      </c>
      <c r="AG196" s="116" t="n">
        <f aca="false">AC196+AE196</f>
        <v>0</v>
      </c>
    </row>
    <row r="197" customFormat="false" ht="12" hidden="false" customHeight="true" outlineLevel="0" collapsed="false">
      <c r="A197" s="120" t="n">
        <f aca="false">EDATE(A196,1)</f>
        <v>42979</v>
      </c>
      <c r="B197" s="121" t="n">
        <v>0</v>
      </c>
      <c r="C197" s="122"/>
      <c r="D197" s="123" t="n">
        <f aca="false">B197+C197</f>
        <v>0</v>
      </c>
      <c r="E197" s="111" t="n">
        <f aca="false">IF(Z197=0,0,IF(AND(Z197=1,$H$3=1),D197*U197,IF($H$3=2,D197,"N/A")))</f>
        <v>0</v>
      </c>
      <c r="F197" s="111" t="n">
        <f aca="false">E197*Y197</f>
        <v>0</v>
      </c>
      <c r="G197" s="124" t="n">
        <f aca="false">VLOOKUP($A197,Table,MATCH(G$4,Curves,0))</f>
        <v>3</v>
      </c>
      <c r="H197" s="125" t="n">
        <f aca="false">G197+$H$7</f>
        <v>3</v>
      </c>
      <c r="I197" s="124" t="n">
        <f aca="false">H197</f>
        <v>3</v>
      </c>
      <c r="J197" s="124" t="n">
        <f aca="false">VLOOKUP($A197,Table,MATCH(J$4,Curves,0))</f>
        <v>4</v>
      </c>
      <c r="K197" s="125" t="n">
        <f aca="false">J197+$K$7</f>
        <v>4</v>
      </c>
      <c r="L197" s="126" t="n">
        <f aca="false">K197</f>
        <v>4</v>
      </c>
      <c r="M197" s="124" t="n">
        <f aca="false">VLOOKUP($A197,Table,MATCH(M$4,Curves,0))</f>
        <v>4</v>
      </c>
      <c r="N197" s="125" t="n">
        <f aca="false">M197+$N$7</f>
        <v>4</v>
      </c>
      <c r="O197" s="126" t="n">
        <f aca="false">IF(B197&gt;0,(1000/B197*0.25)+((B197-1000)/B197*0.12),0)</f>
        <v>0</v>
      </c>
      <c r="P197" s="114"/>
      <c r="Q197" s="126" t="n">
        <f aca="false">M197+J197+G197</f>
        <v>11</v>
      </c>
      <c r="R197" s="126" t="n">
        <f aca="false">N197+K197+H197</f>
        <v>11</v>
      </c>
      <c r="S197" s="126" t="n">
        <f aca="false">O197+L197+I197</f>
        <v>7</v>
      </c>
      <c r="T197" s="127"/>
      <c r="U197" s="5" t="n">
        <f aca="false">A198-A197</f>
        <v>30</v>
      </c>
      <c r="V197" s="128" t="n">
        <f aca="false">CHOOSE(F$3,A198+24,A197)</f>
        <v>42979</v>
      </c>
      <c r="W197" s="5" t="n">
        <f aca="false">V197-C$3</f>
        <v>5748</v>
      </c>
      <c r="X197" s="124" t="n">
        <f aca="false">VLOOKUP($A197,Table,MATCH(X$4,Curves,0))</f>
        <v>2</v>
      </c>
      <c r="Y197" s="129" t="n">
        <f aca="false">1/(1+CHOOSE(F$3,(X198+($K$3/10000))/2,(X197+($K$3/10000))/2))^(2*W197/365.25)</f>
        <v>3.35182842137779E-010</v>
      </c>
      <c r="Z197" s="5" t="n">
        <f aca="false">IF(AND(mthbeg&lt;=A197,mthend&gt;=A197),1,0)</f>
        <v>0</v>
      </c>
      <c r="AA197" s="5" t="n">
        <f aca="false">U197*Z197</f>
        <v>0</v>
      </c>
      <c r="AC197" s="115" t="n">
        <f aca="false">IF(G190=2,F197*(S197-Q197),F197*(Q197-S197))</f>
        <v>0</v>
      </c>
      <c r="AE197" s="116" t="n">
        <f aca="false">IF($G$3=1,F197*(R197-Q197),F197*(Q197-R197))</f>
        <v>0</v>
      </c>
      <c r="AG197" s="116" t="n">
        <f aca="false">AC197+AE197</f>
        <v>0</v>
      </c>
    </row>
    <row r="198" customFormat="false" ht="12" hidden="false" customHeight="true" outlineLevel="0" collapsed="false">
      <c r="A198" s="120" t="n">
        <f aca="false">EDATE(A197,1)</f>
        <v>43009</v>
      </c>
      <c r="B198" s="121" t="n">
        <v>0</v>
      </c>
      <c r="C198" s="122"/>
      <c r="D198" s="123" t="n">
        <f aca="false">B198+C198</f>
        <v>0</v>
      </c>
      <c r="E198" s="111" t="n">
        <f aca="false">IF(Z198=0,0,IF(AND(Z198=1,$H$3=1),D198*U198,IF($H$3=2,D198,"N/A")))</f>
        <v>0</v>
      </c>
      <c r="F198" s="111" t="n">
        <f aca="false">E198*Y198</f>
        <v>0</v>
      </c>
      <c r="G198" s="124" t="n">
        <f aca="false">VLOOKUP($A198,Table,MATCH(G$4,Curves,0))</f>
        <v>3</v>
      </c>
      <c r="H198" s="125" t="n">
        <f aca="false">G198+$H$7</f>
        <v>3</v>
      </c>
      <c r="I198" s="124" t="n">
        <f aca="false">H198</f>
        <v>3</v>
      </c>
      <c r="J198" s="124" t="n">
        <f aca="false">VLOOKUP($A198,Table,MATCH(J$4,Curves,0))</f>
        <v>4</v>
      </c>
      <c r="K198" s="125" t="n">
        <f aca="false">J198+$K$7</f>
        <v>4</v>
      </c>
      <c r="L198" s="126" t="n">
        <f aca="false">K198</f>
        <v>4</v>
      </c>
      <c r="M198" s="124" t="n">
        <f aca="false">VLOOKUP($A198,Table,MATCH(M$4,Curves,0))</f>
        <v>4</v>
      </c>
      <c r="N198" s="125" t="n">
        <f aca="false">M198+$N$7</f>
        <v>4</v>
      </c>
      <c r="O198" s="126" t="n">
        <f aca="false">IF(B198&gt;0,(1000/B198*0.25)+((B198-1000)/B198*0.12),0)</f>
        <v>0</v>
      </c>
      <c r="P198" s="114"/>
      <c r="Q198" s="126" t="n">
        <f aca="false">M198+J198+G198</f>
        <v>11</v>
      </c>
      <c r="R198" s="126" t="n">
        <f aca="false">N198+K198+H198</f>
        <v>11</v>
      </c>
      <c r="S198" s="126" t="n">
        <f aca="false">O198+L198+I198</f>
        <v>7</v>
      </c>
      <c r="T198" s="127"/>
      <c r="U198" s="5" t="n">
        <f aca="false">A199-A198</f>
        <v>31</v>
      </c>
      <c r="V198" s="128" t="n">
        <f aca="false">CHOOSE(F$3,A199+24,A198)</f>
        <v>43009</v>
      </c>
      <c r="W198" s="5" t="n">
        <f aca="false">V198-C$3</f>
        <v>5778</v>
      </c>
      <c r="X198" s="124" t="n">
        <f aca="false">VLOOKUP($A198,Table,MATCH(X$4,Curves,0))</f>
        <v>2</v>
      </c>
      <c r="Y198" s="129" t="n">
        <f aca="false">1/(1+CHOOSE(F$3,(X199+($K$3/10000))/2,(X198+($K$3/10000))/2))^(2*W198/365.25)</f>
        <v>2.99110229840136E-010</v>
      </c>
      <c r="Z198" s="5" t="n">
        <f aca="false">IF(AND(mthbeg&lt;=A198,mthend&gt;=A198),1,0)</f>
        <v>0</v>
      </c>
      <c r="AA198" s="5" t="n">
        <f aca="false">U198*Z198</f>
        <v>0</v>
      </c>
      <c r="AC198" s="115" t="n">
        <f aca="false">IF(G191=2,F198*(S198-Q198),F198*(Q198-S198))</f>
        <v>0</v>
      </c>
      <c r="AE198" s="116" t="n">
        <f aca="false">IF($G$3=1,F198*(R198-Q198),F198*(Q198-R198))</f>
        <v>0</v>
      </c>
      <c r="AG198" s="116" t="n">
        <f aca="false">AC198+AE198</f>
        <v>0</v>
      </c>
    </row>
    <row r="199" customFormat="false" ht="12" hidden="false" customHeight="true" outlineLevel="0" collapsed="false">
      <c r="A199" s="120" t="n">
        <f aca="false">EDATE(A198,1)</f>
        <v>43040</v>
      </c>
      <c r="B199" s="121" t="n">
        <v>0</v>
      </c>
      <c r="C199" s="122"/>
      <c r="D199" s="123" t="n">
        <f aca="false">B199+C199</f>
        <v>0</v>
      </c>
      <c r="E199" s="111" t="n">
        <f aca="false">IF(Z199=0,0,IF(AND(Z199=1,$H$3=1),D199*U199,IF($H$3=2,D199,"N/A")))</f>
        <v>0</v>
      </c>
      <c r="F199" s="111" t="n">
        <f aca="false">E199*Y199</f>
        <v>0</v>
      </c>
      <c r="G199" s="124" t="n">
        <f aca="false">VLOOKUP($A199,Table,MATCH(G$4,Curves,0))</f>
        <v>3</v>
      </c>
      <c r="H199" s="125" t="n">
        <f aca="false">G199+$H$7</f>
        <v>3</v>
      </c>
      <c r="I199" s="124" t="n">
        <f aca="false">H199</f>
        <v>3</v>
      </c>
      <c r="J199" s="124" t="n">
        <f aca="false">VLOOKUP($A199,Table,MATCH(J$4,Curves,0))</f>
        <v>4</v>
      </c>
      <c r="K199" s="125" t="n">
        <f aca="false">J199+$K$7</f>
        <v>4</v>
      </c>
      <c r="L199" s="126" t="n">
        <f aca="false">K199</f>
        <v>4</v>
      </c>
      <c r="M199" s="124" t="n">
        <f aca="false">VLOOKUP($A199,Table,MATCH(M$4,Curves,0))</f>
        <v>4</v>
      </c>
      <c r="N199" s="125" t="n">
        <f aca="false">M199+$N$7</f>
        <v>4</v>
      </c>
      <c r="O199" s="126" t="n">
        <f aca="false">IF(B199&gt;0,(1000/B199*0.25)+((B199-1000)/B199*0.12),0)</f>
        <v>0</v>
      </c>
      <c r="P199" s="114"/>
      <c r="Q199" s="126" t="n">
        <f aca="false">M199+J199+G199</f>
        <v>11</v>
      </c>
      <c r="R199" s="126" t="n">
        <f aca="false">N199+K199+H199</f>
        <v>11</v>
      </c>
      <c r="S199" s="126" t="n">
        <f aca="false">O199+L199+I199</f>
        <v>7</v>
      </c>
      <c r="T199" s="127"/>
      <c r="U199" s="5" t="n">
        <f aca="false">A200-A199</f>
        <v>30</v>
      </c>
      <c r="V199" s="128" t="n">
        <f aca="false">CHOOSE(F$3,A200+24,A199)</f>
        <v>43040</v>
      </c>
      <c r="W199" s="5" t="n">
        <f aca="false">V199-C$3</f>
        <v>5809</v>
      </c>
      <c r="X199" s="124" t="n">
        <f aca="false">VLOOKUP($A199,Table,MATCH(X$4,Curves,0))</f>
        <v>2</v>
      </c>
      <c r="Y199" s="129" t="n">
        <f aca="false">1/(1+CHOOSE(F$3,(X200+($K$3/10000))/2,(X199+($K$3/10000))/2))^(2*W199/365.25)</f>
        <v>2.65908612250642E-010</v>
      </c>
      <c r="Z199" s="5" t="n">
        <f aca="false">IF(AND(mthbeg&lt;=A199,mthend&gt;=A199),1,0)</f>
        <v>0</v>
      </c>
      <c r="AA199" s="5" t="n">
        <f aca="false">U199*Z199</f>
        <v>0</v>
      </c>
      <c r="AC199" s="115" t="n">
        <f aca="false">IF(G192=2,F199*(S199-Q199),F199*(Q199-S199))</f>
        <v>0</v>
      </c>
      <c r="AE199" s="116" t="n">
        <f aca="false">IF($G$3=1,F199*(R199-Q199),F199*(Q199-R199))</f>
        <v>0</v>
      </c>
      <c r="AG199" s="116" t="n">
        <f aca="false">AC199+AE199</f>
        <v>0</v>
      </c>
    </row>
    <row r="200" customFormat="false" ht="12" hidden="false" customHeight="true" outlineLevel="0" collapsed="false">
      <c r="A200" s="120" t="n">
        <f aca="false">EDATE(A199,1)</f>
        <v>43070</v>
      </c>
      <c r="B200" s="121" t="n">
        <v>0</v>
      </c>
      <c r="C200" s="122"/>
      <c r="D200" s="123" t="n">
        <f aca="false">B200+C200</f>
        <v>0</v>
      </c>
      <c r="E200" s="111" t="n">
        <f aca="false">IF(Z200=0,0,IF(AND(Z200=1,$H$3=1),D200*U200,IF($H$3=2,D200,"N/A")))</f>
        <v>0</v>
      </c>
      <c r="F200" s="111" t="n">
        <f aca="false">E200*Y200</f>
        <v>0</v>
      </c>
      <c r="G200" s="124" t="n">
        <f aca="false">VLOOKUP($A200,Table,MATCH(G$4,Curves,0))</f>
        <v>3</v>
      </c>
      <c r="H200" s="125" t="n">
        <f aca="false">G200+$H$7</f>
        <v>3</v>
      </c>
      <c r="I200" s="124" t="n">
        <f aca="false">H200</f>
        <v>3</v>
      </c>
      <c r="J200" s="124" t="n">
        <f aca="false">VLOOKUP($A200,Table,MATCH(J$4,Curves,0))</f>
        <v>4</v>
      </c>
      <c r="K200" s="125" t="n">
        <f aca="false">J200+$K$7</f>
        <v>4</v>
      </c>
      <c r="L200" s="126" t="n">
        <f aca="false">K200</f>
        <v>4</v>
      </c>
      <c r="M200" s="124" t="n">
        <f aca="false">VLOOKUP($A200,Table,MATCH(M$4,Curves,0))</f>
        <v>4</v>
      </c>
      <c r="N200" s="125" t="n">
        <f aca="false">M200+$N$7</f>
        <v>4</v>
      </c>
      <c r="O200" s="126" t="n">
        <f aca="false">IF(B200&gt;0,(1000/B200*0.25)+((B200-1000)/B200*0.12),0)</f>
        <v>0</v>
      </c>
      <c r="P200" s="114"/>
      <c r="Q200" s="126" t="n">
        <f aca="false">M200+J200+G200</f>
        <v>11</v>
      </c>
      <c r="R200" s="126" t="n">
        <f aca="false">N200+K200+H200</f>
        <v>11</v>
      </c>
      <c r="S200" s="126" t="n">
        <f aca="false">O200+L200+I200</f>
        <v>7</v>
      </c>
      <c r="T200" s="127"/>
      <c r="U200" s="5" t="n">
        <f aca="false">A201-A200</f>
        <v>31</v>
      </c>
      <c r="V200" s="128" t="n">
        <f aca="false">CHOOSE(F$3,A201+24,A200)</f>
        <v>43070</v>
      </c>
      <c r="W200" s="5" t="n">
        <f aca="false">V200-C$3</f>
        <v>5839</v>
      </c>
      <c r="X200" s="124" t="n">
        <f aca="false">VLOOKUP($A200,Table,MATCH(X$4,Curves,0))</f>
        <v>2</v>
      </c>
      <c r="Y200" s="129" t="n">
        <f aca="false">1/(1+CHOOSE(F$3,(X201+($K$3/10000))/2,(X200+($K$3/10000))/2))^(2*W200/365.25)</f>
        <v>2.37291341106498E-010</v>
      </c>
      <c r="Z200" s="5" t="n">
        <f aca="false">IF(AND(mthbeg&lt;=A200,mthend&gt;=A200),1,0)</f>
        <v>0</v>
      </c>
      <c r="AA200" s="5" t="n">
        <f aca="false">U200*Z200</f>
        <v>0</v>
      </c>
      <c r="AC200" s="115" t="n">
        <f aca="false">IF(G193=2,F200*(S200-Q200),F200*(Q200-S200))</f>
        <v>0</v>
      </c>
      <c r="AE200" s="116" t="n">
        <f aca="false">IF($G$3=1,F200*(R200-Q200),F200*(Q200-R200))</f>
        <v>0</v>
      </c>
      <c r="AG200" s="116" t="n">
        <f aca="false">AC200+AE200</f>
        <v>0</v>
      </c>
    </row>
    <row r="201" customFormat="false" ht="12" hidden="false" customHeight="true" outlineLevel="0" collapsed="false">
      <c r="A201" s="120" t="n">
        <f aca="false">EDATE(A200,1)</f>
        <v>43101</v>
      </c>
      <c r="B201" s="121" t="n">
        <v>0</v>
      </c>
      <c r="C201" s="122"/>
      <c r="D201" s="123" t="n">
        <f aca="false">B201+C201</f>
        <v>0</v>
      </c>
      <c r="E201" s="111" t="n">
        <f aca="false">IF(Z201=0,0,IF(AND(Z201=1,$H$3=1),D201*U201,IF($H$3=2,D201,"N/A")))</f>
        <v>0</v>
      </c>
      <c r="F201" s="111" t="n">
        <f aca="false">E201*Y201</f>
        <v>0</v>
      </c>
      <c r="G201" s="124" t="n">
        <f aca="false">VLOOKUP($A201,Table,MATCH(G$4,Curves,0))</f>
        <v>3</v>
      </c>
      <c r="H201" s="125" t="n">
        <f aca="false">G201+$H$7</f>
        <v>3</v>
      </c>
      <c r="I201" s="124" t="n">
        <f aca="false">H201</f>
        <v>3</v>
      </c>
      <c r="J201" s="124" t="n">
        <f aca="false">VLOOKUP($A201,Table,MATCH(J$4,Curves,0))</f>
        <v>4</v>
      </c>
      <c r="K201" s="125" t="n">
        <f aca="false">J201+$K$7</f>
        <v>4</v>
      </c>
      <c r="L201" s="126" t="n">
        <f aca="false">K201</f>
        <v>4</v>
      </c>
      <c r="M201" s="124" t="n">
        <f aca="false">VLOOKUP($A201,Table,MATCH(M$4,Curves,0))</f>
        <v>4</v>
      </c>
      <c r="N201" s="125" t="n">
        <f aca="false">M201+$N$7</f>
        <v>4</v>
      </c>
      <c r="O201" s="126" t="n">
        <f aca="false">IF(B201&gt;0,(1000/B201*0.25)+((B201-1000)/B201*0.12),0)</f>
        <v>0</v>
      </c>
      <c r="P201" s="114"/>
      <c r="Q201" s="126" t="n">
        <f aca="false">M201+J201+G201</f>
        <v>11</v>
      </c>
      <c r="R201" s="126" t="n">
        <f aca="false">N201+K201+H201</f>
        <v>11</v>
      </c>
      <c r="S201" s="126" t="n">
        <f aca="false">O201+L201+I201</f>
        <v>7</v>
      </c>
      <c r="T201" s="127"/>
      <c r="U201" s="5" t="n">
        <f aca="false">A202-A201</f>
        <v>31</v>
      </c>
      <c r="V201" s="128" t="n">
        <f aca="false">CHOOSE(F$3,A202+24,A201)</f>
        <v>43101</v>
      </c>
      <c r="W201" s="5" t="n">
        <f aca="false">V201-C$3</f>
        <v>5870</v>
      </c>
      <c r="X201" s="124" t="n">
        <f aca="false">VLOOKUP($A201,Table,MATCH(X$4,Curves,0))</f>
        <v>2</v>
      </c>
      <c r="Y201" s="129" t="n">
        <f aca="false">1/(1+CHOOSE(F$3,(X202+($K$3/10000))/2,(X201+($K$3/10000))/2))^(2*W201/365.25)</f>
        <v>2.10951699132611E-010</v>
      </c>
      <c r="Z201" s="5" t="n">
        <f aca="false">IF(AND(mthbeg&lt;=A201,mthend&gt;=A201),1,0)</f>
        <v>0</v>
      </c>
      <c r="AA201" s="5" t="n">
        <f aca="false">U201*Z201</f>
        <v>0</v>
      </c>
      <c r="AC201" s="115" t="n">
        <f aca="false">IF(G194=2,F201*(S201-Q201),F201*(Q201-S201))</f>
        <v>0</v>
      </c>
      <c r="AE201" s="116" t="n">
        <f aca="false">IF($G$3=1,F201*(R201-Q201),F201*(Q201-R201))</f>
        <v>0</v>
      </c>
      <c r="AG201" s="116" t="n">
        <f aca="false">AC201+AE201</f>
        <v>0</v>
      </c>
    </row>
    <row r="202" customFormat="false" ht="12" hidden="false" customHeight="true" outlineLevel="0" collapsed="false">
      <c r="A202" s="120" t="n">
        <f aca="false">EDATE(A201,1)</f>
        <v>43132</v>
      </c>
      <c r="B202" s="121" t="n">
        <v>0</v>
      </c>
      <c r="C202" s="122"/>
      <c r="D202" s="123" t="n">
        <f aca="false">B202+C202</f>
        <v>0</v>
      </c>
      <c r="E202" s="111" t="n">
        <f aca="false">IF(Z202=0,0,IF(AND(Z202=1,$H$3=1),D202*U202,IF($H$3=2,D202,"N/A")))</f>
        <v>0</v>
      </c>
      <c r="F202" s="111" t="n">
        <f aca="false">E202*Y202</f>
        <v>0</v>
      </c>
      <c r="G202" s="124" t="n">
        <f aca="false">VLOOKUP($A202,Table,MATCH(G$4,Curves,0))</f>
        <v>3</v>
      </c>
      <c r="H202" s="125" t="n">
        <f aca="false">G202+$H$7</f>
        <v>3</v>
      </c>
      <c r="I202" s="124" t="n">
        <f aca="false">H202</f>
        <v>3</v>
      </c>
      <c r="J202" s="124" t="n">
        <f aca="false">VLOOKUP($A202,Table,MATCH(J$4,Curves,0))</f>
        <v>4</v>
      </c>
      <c r="K202" s="125" t="n">
        <f aca="false">J202+$K$7</f>
        <v>4</v>
      </c>
      <c r="L202" s="126" t="n">
        <f aca="false">K202</f>
        <v>4</v>
      </c>
      <c r="M202" s="124" t="n">
        <f aca="false">VLOOKUP($A202,Table,MATCH(M$4,Curves,0))</f>
        <v>4</v>
      </c>
      <c r="N202" s="125" t="n">
        <f aca="false">M202+$N$7</f>
        <v>4</v>
      </c>
      <c r="O202" s="126" t="n">
        <f aca="false">IF(B202&gt;0,(1000/B202*0.25)+((B202-1000)/B202*0.12),0)</f>
        <v>0</v>
      </c>
      <c r="P202" s="114"/>
      <c r="Q202" s="126" t="n">
        <f aca="false">M202+J202+G202</f>
        <v>11</v>
      </c>
      <c r="R202" s="126" t="n">
        <f aca="false">N202+K202+H202</f>
        <v>11</v>
      </c>
      <c r="S202" s="126" t="n">
        <f aca="false">O202+L202+I202</f>
        <v>7</v>
      </c>
      <c r="T202" s="127"/>
      <c r="U202" s="5" t="n">
        <f aca="false">A203-A202</f>
        <v>28</v>
      </c>
      <c r="V202" s="128" t="n">
        <f aca="false">CHOOSE(F$3,A203+24,A202)</f>
        <v>43132</v>
      </c>
      <c r="W202" s="5" t="n">
        <f aca="false">V202-C$3</f>
        <v>5901</v>
      </c>
      <c r="X202" s="124" t="n">
        <f aca="false">VLOOKUP($A202,Table,MATCH(X$4,Curves,0))</f>
        <v>2</v>
      </c>
      <c r="Y202" s="129" t="n">
        <f aca="false">1/(1+CHOOSE(F$3,(X203+($K$3/10000))/2,(X202+($K$3/10000))/2))^(2*W202/365.25)</f>
        <v>1.87535791063541E-010</v>
      </c>
      <c r="Z202" s="5" t="n">
        <f aca="false">IF(AND(mthbeg&lt;=A202,mthend&gt;=A202),1,0)</f>
        <v>0</v>
      </c>
      <c r="AA202" s="5" t="n">
        <f aca="false">U202*Z202</f>
        <v>0</v>
      </c>
      <c r="AC202" s="115" t="n">
        <f aca="false">IF(G195=2,F202*(S202-Q202),F202*(Q202-S202))</f>
        <v>0</v>
      </c>
      <c r="AE202" s="116" t="n">
        <f aca="false">IF($G$3=1,F202*(R202-Q202),F202*(Q202-R202))</f>
        <v>0</v>
      </c>
      <c r="AG202" s="116" t="n">
        <f aca="false">AC202+AE202</f>
        <v>0</v>
      </c>
    </row>
    <row r="203" customFormat="false" ht="12" hidden="false" customHeight="true" outlineLevel="0" collapsed="false">
      <c r="A203" s="120" t="n">
        <f aca="false">EDATE(A202,1)</f>
        <v>43160</v>
      </c>
      <c r="B203" s="121" t="n">
        <v>0</v>
      </c>
      <c r="C203" s="122"/>
      <c r="D203" s="123" t="n">
        <f aca="false">B203+C203</f>
        <v>0</v>
      </c>
      <c r="E203" s="111" t="n">
        <f aca="false">IF(Z203=0,0,IF(AND(Z203=1,$H$3=1),D203*U203,IF($H$3=2,D203,"N/A")))</f>
        <v>0</v>
      </c>
      <c r="F203" s="111" t="n">
        <f aca="false">E203*Y203</f>
        <v>0</v>
      </c>
      <c r="G203" s="124" t="n">
        <f aca="false">VLOOKUP($A203,Table,MATCH(G$4,Curves,0))</f>
        <v>3</v>
      </c>
      <c r="H203" s="125" t="n">
        <f aca="false">G203+$H$7</f>
        <v>3</v>
      </c>
      <c r="I203" s="124" t="n">
        <f aca="false">H203</f>
        <v>3</v>
      </c>
      <c r="J203" s="124" t="n">
        <f aca="false">VLOOKUP($A203,Table,MATCH(J$4,Curves,0))</f>
        <v>4</v>
      </c>
      <c r="K203" s="125" t="n">
        <f aca="false">J203+$K$7</f>
        <v>4</v>
      </c>
      <c r="L203" s="126" t="n">
        <f aca="false">K203</f>
        <v>4</v>
      </c>
      <c r="M203" s="124" t="n">
        <f aca="false">VLOOKUP($A203,Table,MATCH(M$4,Curves,0))</f>
        <v>4</v>
      </c>
      <c r="N203" s="125" t="n">
        <f aca="false">M203+$N$7</f>
        <v>4</v>
      </c>
      <c r="O203" s="126" t="n">
        <f aca="false">IF(B203&gt;0,(1000/B203*0.25)+((B203-1000)/B203*0.12),0)</f>
        <v>0</v>
      </c>
      <c r="P203" s="114"/>
      <c r="Q203" s="126" t="n">
        <f aca="false">M203+J203+G203</f>
        <v>11</v>
      </c>
      <c r="R203" s="126" t="n">
        <f aca="false">N203+K203+H203</f>
        <v>11</v>
      </c>
      <c r="S203" s="126" t="n">
        <f aca="false">O203+L203+I203</f>
        <v>7</v>
      </c>
      <c r="T203" s="127"/>
      <c r="U203" s="5" t="n">
        <f aca="false">A204-A203</f>
        <v>31</v>
      </c>
      <c r="V203" s="128" t="n">
        <f aca="false">CHOOSE(F$3,A204+24,A203)</f>
        <v>43160</v>
      </c>
      <c r="W203" s="5" t="n">
        <f aca="false">V203-C$3</f>
        <v>5929</v>
      </c>
      <c r="X203" s="124" t="n">
        <f aca="false">VLOOKUP($A203,Table,MATCH(X$4,Curves,0))</f>
        <v>2</v>
      </c>
      <c r="Y203" s="129" t="n">
        <f aca="false">1/(1+CHOOSE(F$3,(X204+($K$3/10000))/2,(X203+($K$3/10000))/2))^(2*W203/365.25)</f>
        <v>1.68628257751858E-010</v>
      </c>
      <c r="Z203" s="5" t="n">
        <f aca="false">IF(AND(mthbeg&lt;=A203,mthend&gt;=A203),1,0)</f>
        <v>0</v>
      </c>
      <c r="AA203" s="5" t="n">
        <f aca="false">U203*Z203</f>
        <v>0</v>
      </c>
      <c r="AC203" s="115" t="n">
        <f aca="false">IF(G196=2,F203*(S203-Q203),F203*(Q203-S203))</f>
        <v>0</v>
      </c>
      <c r="AE203" s="116" t="n">
        <f aca="false">IF($G$3=1,F203*(R203-Q203),F203*(Q203-R203))</f>
        <v>0</v>
      </c>
      <c r="AG203" s="116" t="n">
        <f aca="false">AC203+AE203</f>
        <v>0</v>
      </c>
    </row>
    <row r="204" customFormat="false" ht="12" hidden="false" customHeight="true" outlineLevel="0" collapsed="false">
      <c r="A204" s="120" t="n">
        <f aca="false">EDATE(A203,1)</f>
        <v>43191</v>
      </c>
      <c r="B204" s="121" t="n">
        <v>0</v>
      </c>
      <c r="C204" s="122"/>
      <c r="D204" s="123" t="n">
        <f aca="false">B204+C204</f>
        <v>0</v>
      </c>
      <c r="E204" s="111" t="n">
        <f aca="false">IF(Z204=0,0,IF(AND(Z204=1,$H$3=1),D204*U204,IF($H$3=2,D204,"N/A")))</f>
        <v>0</v>
      </c>
      <c r="F204" s="111" t="n">
        <f aca="false">E204*Y204</f>
        <v>0</v>
      </c>
      <c r="G204" s="124" t="n">
        <f aca="false">VLOOKUP($A204,Table,MATCH(G$4,Curves,0))</f>
        <v>3</v>
      </c>
      <c r="H204" s="125" t="n">
        <f aca="false">G204+$H$7</f>
        <v>3</v>
      </c>
      <c r="I204" s="124" t="n">
        <f aca="false">H204</f>
        <v>3</v>
      </c>
      <c r="J204" s="124" t="n">
        <f aca="false">VLOOKUP($A204,Table,MATCH(J$4,Curves,0))</f>
        <v>4</v>
      </c>
      <c r="K204" s="125" t="n">
        <f aca="false">J204+$K$7</f>
        <v>4</v>
      </c>
      <c r="L204" s="126" t="n">
        <f aca="false">K204</f>
        <v>4</v>
      </c>
      <c r="M204" s="124" t="n">
        <f aca="false">VLOOKUP($A204,Table,MATCH(M$4,Curves,0))</f>
        <v>4</v>
      </c>
      <c r="N204" s="125" t="n">
        <f aca="false">M204+$N$7</f>
        <v>4</v>
      </c>
      <c r="O204" s="126" t="n">
        <f aca="false">IF(B204&gt;0,(1000/B204*0.25)+((B204-1000)/B204*0.12),0)</f>
        <v>0</v>
      </c>
      <c r="P204" s="114"/>
      <c r="Q204" s="126" t="n">
        <f aca="false">M204+J204+G204</f>
        <v>11</v>
      </c>
      <c r="R204" s="126" t="n">
        <f aca="false">N204+K204+H204</f>
        <v>11</v>
      </c>
      <c r="S204" s="126" t="n">
        <f aca="false">O204+L204+I204</f>
        <v>7</v>
      </c>
      <c r="T204" s="127"/>
      <c r="U204" s="5" t="n">
        <f aca="false">A205-A204</f>
        <v>30</v>
      </c>
      <c r="V204" s="128" t="n">
        <f aca="false">CHOOSE(F$3,A205+24,A204)</f>
        <v>43191</v>
      </c>
      <c r="W204" s="5" t="n">
        <f aca="false">V204-C$3</f>
        <v>5960</v>
      </c>
      <c r="X204" s="124" t="n">
        <f aca="false">VLOOKUP($A204,Table,MATCH(X$4,Curves,0))</f>
        <v>2</v>
      </c>
      <c r="Y204" s="129" t="n">
        <f aca="false">1/(1+CHOOSE(F$3,(X205+($K$3/10000))/2,(X204+($K$3/10000))/2))^(2*W204/365.25)</f>
        <v>1.49910305739143E-010</v>
      </c>
      <c r="Z204" s="5" t="n">
        <f aca="false">IF(AND(mthbeg&lt;=A204,mthend&gt;=A204),1,0)</f>
        <v>0</v>
      </c>
      <c r="AA204" s="5" t="n">
        <f aca="false">U204*Z204</f>
        <v>0</v>
      </c>
      <c r="AC204" s="115" t="n">
        <f aca="false">IF(G197=2,F204*(S204-Q204),F204*(Q204-S204))</f>
        <v>0</v>
      </c>
      <c r="AE204" s="116" t="n">
        <f aca="false">IF($G$3=1,F204*(R204-Q204),F204*(Q204-R204))</f>
        <v>0</v>
      </c>
      <c r="AG204" s="116" t="n">
        <f aca="false">AC204+AE204</f>
        <v>0</v>
      </c>
    </row>
    <row r="205" customFormat="false" ht="12" hidden="false" customHeight="true" outlineLevel="0" collapsed="false">
      <c r="A205" s="120" t="n">
        <f aca="false">EDATE(A204,1)</f>
        <v>43221</v>
      </c>
      <c r="B205" s="121" t="n">
        <v>0</v>
      </c>
      <c r="C205" s="122"/>
      <c r="D205" s="123" t="n">
        <f aca="false">B205+C205</f>
        <v>0</v>
      </c>
      <c r="E205" s="111" t="n">
        <f aca="false">IF(Z205=0,0,IF(AND(Z205=1,$H$3=1),D205*U205,IF($H$3=2,D205,"N/A")))</f>
        <v>0</v>
      </c>
      <c r="F205" s="111" t="n">
        <f aca="false">E205*Y205</f>
        <v>0</v>
      </c>
      <c r="G205" s="124" t="n">
        <f aca="false">VLOOKUP($A205,Table,MATCH(G$4,Curves,0))</f>
        <v>3</v>
      </c>
      <c r="H205" s="125" t="n">
        <f aca="false">G205+$H$7</f>
        <v>3</v>
      </c>
      <c r="I205" s="124" t="n">
        <f aca="false">H205</f>
        <v>3</v>
      </c>
      <c r="J205" s="124" t="n">
        <f aca="false">VLOOKUP($A205,Table,MATCH(J$4,Curves,0))</f>
        <v>4</v>
      </c>
      <c r="K205" s="125" t="n">
        <f aca="false">J205+$K$7</f>
        <v>4</v>
      </c>
      <c r="L205" s="126" t="n">
        <f aca="false">K205</f>
        <v>4</v>
      </c>
      <c r="M205" s="124" t="n">
        <f aca="false">VLOOKUP($A205,Table,MATCH(M$4,Curves,0))</f>
        <v>4</v>
      </c>
      <c r="N205" s="125" t="n">
        <f aca="false">M205+$N$7</f>
        <v>4</v>
      </c>
      <c r="O205" s="126" t="n">
        <f aca="false">IF(B205&gt;0,(1000/B205*0.25)+((B205-1000)/B205*0.12),0)</f>
        <v>0</v>
      </c>
      <c r="P205" s="114"/>
      <c r="Q205" s="126" t="n">
        <f aca="false">M205+J205+G205</f>
        <v>11</v>
      </c>
      <c r="R205" s="126" t="n">
        <f aca="false">N205+K205+H205</f>
        <v>11</v>
      </c>
      <c r="S205" s="126" t="n">
        <f aca="false">O205+L205+I205</f>
        <v>7</v>
      </c>
      <c r="T205" s="127"/>
      <c r="U205" s="5" t="n">
        <f aca="false">A206-A205</f>
        <v>31</v>
      </c>
      <c r="V205" s="128" t="n">
        <f aca="false">CHOOSE(F$3,A206+24,A205)</f>
        <v>43221</v>
      </c>
      <c r="W205" s="5" t="n">
        <f aca="false">V205-C$3</f>
        <v>5990</v>
      </c>
      <c r="X205" s="124" t="n">
        <f aca="false">VLOOKUP($A205,Table,MATCH(X$4,Curves,0))</f>
        <v>2</v>
      </c>
      <c r="Y205" s="129" t="n">
        <f aca="false">1/(1+CHOOSE(F$3,(X206+($K$3/10000))/2,(X205+($K$3/10000))/2))^(2*W205/365.25)</f>
        <v>1.33776853609376E-010</v>
      </c>
      <c r="Z205" s="5" t="n">
        <f aca="false">IF(AND(mthbeg&lt;=A205,mthend&gt;=A205),1,0)</f>
        <v>0</v>
      </c>
      <c r="AA205" s="5" t="n">
        <f aca="false">U205*Z205</f>
        <v>0</v>
      </c>
      <c r="AC205" s="115" t="n">
        <f aca="false">IF(G198=2,F205*(S205-Q205),F205*(Q205-S205))</f>
        <v>0</v>
      </c>
      <c r="AE205" s="116" t="n">
        <f aca="false">IF($G$3=1,F205*(R205-Q205),F205*(Q205-R205))</f>
        <v>0</v>
      </c>
      <c r="AG205" s="116" t="n">
        <f aca="false">AC205+AE205</f>
        <v>0</v>
      </c>
    </row>
    <row r="206" customFormat="false" ht="12" hidden="false" customHeight="true" outlineLevel="0" collapsed="false">
      <c r="A206" s="120" t="n">
        <f aca="false">EDATE(A205,1)</f>
        <v>43252</v>
      </c>
      <c r="B206" s="121" t="n">
        <v>0</v>
      </c>
      <c r="C206" s="122"/>
      <c r="D206" s="123" t="n">
        <f aca="false">B206+C206</f>
        <v>0</v>
      </c>
      <c r="E206" s="111" t="n">
        <f aca="false">IF(Z206=0,0,IF(AND(Z206=1,$H$3=1),D206*U206,IF($H$3=2,D206,"N/A")))</f>
        <v>0</v>
      </c>
      <c r="F206" s="111" t="n">
        <f aca="false">E206*Y206</f>
        <v>0</v>
      </c>
      <c r="G206" s="124" t="n">
        <f aca="false">VLOOKUP($A206,Table,MATCH(G$4,Curves,0))</f>
        <v>3</v>
      </c>
      <c r="H206" s="125" t="n">
        <f aca="false">G206+$H$7</f>
        <v>3</v>
      </c>
      <c r="I206" s="124" t="n">
        <f aca="false">H206</f>
        <v>3</v>
      </c>
      <c r="J206" s="124" t="n">
        <f aca="false">VLOOKUP($A206,Table,MATCH(J$4,Curves,0))</f>
        <v>4</v>
      </c>
      <c r="K206" s="125" t="n">
        <f aca="false">J206+$K$7</f>
        <v>4</v>
      </c>
      <c r="L206" s="126" t="n">
        <f aca="false">K206</f>
        <v>4</v>
      </c>
      <c r="M206" s="124" t="n">
        <f aca="false">VLOOKUP($A206,Table,MATCH(M$4,Curves,0))</f>
        <v>4</v>
      </c>
      <c r="N206" s="125" t="n">
        <f aca="false">M206+$N$7</f>
        <v>4</v>
      </c>
      <c r="O206" s="126" t="n">
        <f aca="false">IF(B206&gt;0,(1000/B206*0.25)+((B206-1000)/B206*0.12),0)</f>
        <v>0</v>
      </c>
      <c r="P206" s="114"/>
      <c r="Q206" s="126" t="n">
        <f aca="false">M206+J206+G206</f>
        <v>11</v>
      </c>
      <c r="R206" s="126" t="n">
        <f aca="false">N206+K206+H206</f>
        <v>11</v>
      </c>
      <c r="S206" s="126" t="n">
        <f aca="false">O206+L206+I206</f>
        <v>7</v>
      </c>
      <c r="T206" s="127"/>
      <c r="U206" s="5" t="n">
        <f aca="false">A207-A206</f>
        <v>30</v>
      </c>
      <c r="V206" s="128" t="n">
        <f aca="false">CHOOSE(F$3,A207+24,A206)</f>
        <v>43252</v>
      </c>
      <c r="W206" s="5" t="n">
        <f aca="false">V206-C$3</f>
        <v>6021</v>
      </c>
      <c r="X206" s="124" t="n">
        <f aca="false">VLOOKUP($A206,Table,MATCH(X$4,Curves,0))</f>
        <v>2</v>
      </c>
      <c r="Y206" s="129" t="n">
        <f aca="false">1/(1+CHOOSE(F$3,(X207+($K$3/10000))/2,(X206+($K$3/10000))/2))^(2*W206/365.25)</f>
        <v>1.18927451974941E-010</v>
      </c>
      <c r="Z206" s="5" t="n">
        <f aca="false">IF(AND(mthbeg&lt;=A206,mthend&gt;=A206),1,0)</f>
        <v>0</v>
      </c>
      <c r="AA206" s="5" t="n">
        <f aca="false">U206*Z206</f>
        <v>0</v>
      </c>
      <c r="AC206" s="115" t="n">
        <f aca="false">IF(G199=2,F206*(S206-Q206),F206*(Q206-S206))</f>
        <v>0</v>
      </c>
      <c r="AE206" s="116" t="n">
        <f aca="false">IF($G$3=1,F206*(R206-Q206),F206*(Q206-R206))</f>
        <v>0</v>
      </c>
      <c r="AG206" s="116" t="n">
        <f aca="false">AC206+AE206</f>
        <v>0</v>
      </c>
    </row>
    <row r="207" customFormat="false" ht="12" hidden="false" customHeight="true" outlineLevel="0" collapsed="false">
      <c r="A207" s="120" t="n">
        <f aca="false">EDATE(A206,1)</f>
        <v>43282</v>
      </c>
      <c r="B207" s="121" t="n">
        <v>0</v>
      </c>
      <c r="C207" s="122"/>
      <c r="D207" s="123" t="n">
        <f aca="false">B207+C207</f>
        <v>0</v>
      </c>
      <c r="E207" s="111" t="n">
        <f aca="false">IF(Z207=0,0,IF(AND(Z207=1,$H$3=1),D207*U207,IF($H$3=2,D207,"N/A")))</f>
        <v>0</v>
      </c>
      <c r="F207" s="111" t="n">
        <f aca="false">E207*Y207</f>
        <v>0</v>
      </c>
      <c r="G207" s="124" t="n">
        <f aca="false">VLOOKUP($A207,Table,MATCH(G$4,Curves,0))</f>
        <v>3</v>
      </c>
      <c r="H207" s="125" t="n">
        <f aca="false">G207+$H$7</f>
        <v>3</v>
      </c>
      <c r="I207" s="124" t="n">
        <f aca="false">H207</f>
        <v>3</v>
      </c>
      <c r="J207" s="124" t="n">
        <f aca="false">VLOOKUP($A207,Table,MATCH(J$4,Curves,0))</f>
        <v>4</v>
      </c>
      <c r="K207" s="125" t="n">
        <f aca="false">J207+$K$7</f>
        <v>4</v>
      </c>
      <c r="L207" s="126" t="n">
        <f aca="false">K207</f>
        <v>4</v>
      </c>
      <c r="M207" s="124" t="n">
        <f aca="false">VLOOKUP($A207,Table,MATCH(M$4,Curves,0))</f>
        <v>4</v>
      </c>
      <c r="N207" s="125" t="n">
        <f aca="false">M207+$N$7</f>
        <v>4</v>
      </c>
      <c r="O207" s="126" t="n">
        <f aca="false">IF(B207&gt;0,(1000/B207*0.25)+((B207-1000)/B207*0.12),0)</f>
        <v>0</v>
      </c>
      <c r="P207" s="114"/>
      <c r="Q207" s="126" t="n">
        <f aca="false">M207+J207+G207</f>
        <v>11</v>
      </c>
      <c r="R207" s="126" t="n">
        <f aca="false">N207+K207+H207</f>
        <v>11</v>
      </c>
      <c r="S207" s="126" t="n">
        <f aca="false">O207+L207+I207</f>
        <v>7</v>
      </c>
      <c r="T207" s="127"/>
      <c r="U207" s="5" t="n">
        <f aca="false">A208-A207</f>
        <v>31</v>
      </c>
      <c r="V207" s="128" t="n">
        <f aca="false">CHOOSE(F$3,A208+24,A207)</f>
        <v>43282</v>
      </c>
      <c r="W207" s="5" t="n">
        <f aca="false">V207-C$3</f>
        <v>6051</v>
      </c>
      <c r="X207" s="124" t="n">
        <f aca="false">VLOOKUP($A207,Table,MATCH(X$4,Curves,0))</f>
        <v>2</v>
      </c>
      <c r="Y207" s="129" t="n">
        <f aca="false">1/(1+CHOOSE(F$3,(X208+($K$3/10000))/2,(X207+($K$3/10000))/2))^(2*W207/365.25)</f>
        <v>1.06128396273649E-010</v>
      </c>
      <c r="Z207" s="5" t="n">
        <f aca="false">IF(AND(mthbeg&lt;=A207,mthend&gt;=A207),1,0)</f>
        <v>0</v>
      </c>
      <c r="AA207" s="5" t="n">
        <f aca="false">U207*Z207</f>
        <v>0</v>
      </c>
      <c r="AC207" s="115" t="n">
        <f aca="false">IF(G200=2,F207*(S207-Q207),F207*(Q207-S207))</f>
        <v>0</v>
      </c>
      <c r="AE207" s="116" t="n">
        <f aca="false">IF($G$3=1,F207*(R207-Q207),F207*(Q207-R207))</f>
        <v>0</v>
      </c>
      <c r="AG207" s="116" t="n">
        <f aca="false">AC207+AE207</f>
        <v>0</v>
      </c>
    </row>
    <row r="208" customFormat="false" ht="12" hidden="false" customHeight="true" outlineLevel="0" collapsed="false">
      <c r="A208" s="120" t="n">
        <f aca="false">EDATE(A207,1)</f>
        <v>43313</v>
      </c>
      <c r="B208" s="121" t="n">
        <v>0</v>
      </c>
      <c r="C208" s="122"/>
      <c r="D208" s="123" t="n">
        <f aca="false">B208+C208</f>
        <v>0</v>
      </c>
      <c r="E208" s="111" t="n">
        <f aca="false">IF(Z208=0,0,IF(AND(Z208=1,$H$3=1),D208*U208,IF($H$3=2,D208,"N/A")))</f>
        <v>0</v>
      </c>
      <c r="F208" s="111" t="n">
        <f aca="false">E208*Y208</f>
        <v>0</v>
      </c>
      <c r="G208" s="124" t="n">
        <f aca="false">VLOOKUP($A208,Table,MATCH(G$4,Curves,0))</f>
        <v>3</v>
      </c>
      <c r="H208" s="125" t="n">
        <f aca="false">G208+$H$7</f>
        <v>3</v>
      </c>
      <c r="I208" s="124" t="n">
        <f aca="false">H208</f>
        <v>3</v>
      </c>
      <c r="J208" s="124" t="n">
        <f aca="false">VLOOKUP($A208,Table,MATCH(J$4,Curves,0))</f>
        <v>4</v>
      </c>
      <c r="K208" s="125" t="n">
        <f aca="false">J208+$K$7</f>
        <v>4</v>
      </c>
      <c r="L208" s="126" t="n">
        <f aca="false">K208</f>
        <v>4</v>
      </c>
      <c r="M208" s="124" t="n">
        <f aca="false">VLOOKUP($A208,Table,MATCH(M$4,Curves,0))</f>
        <v>4</v>
      </c>
      <c r="N208" s="125" t="n">
        <f aca="false">M208+$N$7</f>
        <v>4</v>
      </c>
      <c r="O208" s="126" t="n">
        <f aca="false">IF(B208&gt;0,(1000/B208*0.25)+((B208-1000)/B208*0.12),0)</f>
        <v>0</v>
      </c>
      <c r="P208" s="114"/>
      <c r="Q208" s="126" t="n">
        <f aca="false">M208+J208+G208</f>
        <v>11</v>
      </c>
      <c r="R208" s="126" t="n">
        <f aca="false">N208+K208+H208</f>
        <v>11</v>
      </c>
      <c r="S208" s="126" t="n">
        <f aca="false">O208+L208+I208</f>
        <v>7</v>
      </c>
      <c r="T208" s="127"/>
      <c r="U208" s="5" t="n">
        <f aca="false">A209-A208</f>
        <v>31</v>
      </c>
      <c r="V208" s="128" t="n">
        <f aca="false">CHOOSE(F$3,A209+24,A208)</f>
        <v>43313</v>
      </c>
      <c r="W208" s="5" t="n">
        <f aca="false">V208-C$3</f>
        <v>6082</v>
      </c>
      <c r="X208" s="124" t="n">
        <f aca="false">VLOOKUP($A208,Table,MATCH(X$4,Curves,0))</f>
        <v>2</v>
      </c>
      <c r="Y208" s="129" t="n">
        <f aca="false">1/(1+CHOOSE(F$3,(X209+($K$3/10000))/2,(X208+($K$3/10000))/2))^(2*W208/365.25)</f>
        <v>9.43480087210496E-011</v>
      </c>
      <c r="Z208" s="5" t="n">
        <f aca="false">IF(AND(mthbeg&lt;=A208,mthend&gt;=A208),1,0)</f>
        <v>0</v>
      </c>
      <c r="AA208" s="5" t="n">
        <f aca="false">U208*Z208</f>
        <v>0</v>
      </c>
      <c r="AC208" s="115" t="n">
        <f aca="false">IF(G201=2,F208*(S208-Q208),F208*(Q208-S208))</f>
        <v>0</v>
      </c>
      <c r="AE208" s="116" t="n">
        <f aca="false">IF($G$3=1,F208*(R208-Q208),F208*(Q208-R208))</f>
        <v>0</v>
      </c>
      <c r="AG208" s="116" t="n">
        <f aca="false">AC208+AE208</f>
        <v>0</v>
      </c>
    </row>
    <row r="209" customFormat="false" ht="12" hidden="false" customHeight="true" outlineLevel="0" collapsed="false">
      <c r="A209" s="120" t="n">
        <f aca="false">EDATE(A208,1)</f>
        <v>43344</v>
      </c>
      <c r="B209" s="121" t="n">
        <v>0</v>
      </c>
      <c r="C209" s="122"/>
      <c r="D209" s="123" t="n">
        <f aca="false">B209+C209</f>
        <v>0</v>
      </c>
      <c r="E209" s="111" t="n">
        <f aca="false">IF(Z209=0,0,IF(AND(Z209=1,$H$3=1),D209*U209,IF($H$3=2,D209,"N/A")))</f>
        <v>0</v>
      </c>
      <c r="F209" s="111" t="n">
        <f aca="false">E209*Y209</f>
        <v>0</v>
      </c>
      <c r="G209" s="124" t="n">
        <f aca="false">VLOOKUP($A209,Table,MATCH(G$4,Curves,0))</f>
        <v>3</v>
      </c>
      <c r="H209" s="125" t="n">
        <f aca="false">G209+$H$7</f>
        <v>3</v>
      </c>
      <c r="I209" s="124" t="n">
        <f aca="false">H209</f>
        <v>3</v>
      </c>
      <c r="J209" s="124" t="n">
        <f aca="false">VLOOKUP($A209,Table,MATCH(J$4,Curves,0))</f>
        <v>4</v>
      </c>
      <c r="K209" s="125" t="n">
        <f aca="false">J209+$K$7</f>
        <v>4</v>
      </c>
      <c r="L209" s="126" t="n">
        <f aca="false">K209</f>
        <v>4</v>
      </c>
      <c r="M209" s="124" t="n">
        <f aca="false">VLOOKUP($A209,Table,MATCH(M$4,Curves,0))</f>
        <v>4</v>
      </c>
      <c r="N209" s="125" t="n">
        <f aca="false">M209+$N$7</f>
        <v>4</v>
      </c>
      <c r="O209" s="126" t="n">
        <f aca="false">IF(B209&gt;0,(1000/B209*0.25)+((B209-1000)/B209*0.12),0)</f>
        <v>0</v>
      </c>
      <c r="P209" s="114"/>
      <c r="Q209" s="126" t="n">
        <f aca="false">M209+J209+G209</f>
        <v>11</v>
      </c>
      <c r="R209" s="126" t="n">
        <f aca="false">N209+K209+H209</f>
        <v>11</v>
      </c>
      <c r="S209" s="126" t="n">
        <f aca="false">O209+L209+I209</f>
        <v>7</v>
      </c>
      <c r="T209" s="127"/>
      <c r="U209" s="5" t="n">
        <f aca="false">A210-A209</f>
        <v>30</v>
      </c>
      <c r="V209" s="128" t="n">
        <f aca="false">CHOOSE(F$3,A210+24,A209)</f>
        <v>43344</v>
      </c>
      <c r="W209" s="5" t="n">
        <f aca="false">V209-C$3</f>
        <v>6113</v>
      </c>
      <c r="X209" s="124" t="n">
        <f aca="false">VLOOKUP($A209,Table,MATCH(X$4,Curves,0))</f>
        <v>2</v>
      </c>
      <c r="Y209" s="129" t="n">
        <f aca="false">1/(1+CHOOSE(F$3,(X210+($K$3/10000))/2,(X209+($K$3/10000))/2))^(2*W209/365.25)</f>
        <v>8.38752592348125E-011</v>
      </c>
      <c r="Z209" s="5" t="n">
        <f aca="false">IF(AND(mthbeg&lt;=A209,mthend&gt;=A209),1,0)</f>
        <v>0</v>
      </c>
      <c r="AA209" s="5" t="n">
        <f aca="false">U209*Z209</f>
        <v>0</v>
      </c>
      <c r="AC209" s="115" t="n">
        <f aca="false">IF(G202=2,F209*(S209-Q209),F209*(Q209-S209))</f>
        <v>0</v>
      </c>
      <c r="AE209" s="116" t="n">
        <f aca="false">IF($G$3=1,F209*(R209-Q209),F209*(Q209-R209))</f>
        <v>0</v>
      </c>
      <c r="AG209" s="116" t="n">
        <f aca="false">AC209+AE209</f>
        <v>0</v>
      </c>
    </row>
    <row r="210" customFormat="false" ht="12" hidden="false" customHeight="true" outlineLevel="0" collapsed="false">
      <c r="A210" s="120" t="n">
        <f aca="false">EDATE(A209,1)</f>
        <v>43374</v>
      </c>
      <c r="B210" s="121" t="n">
        <v>0</v>
      </c>
      <c r="C210" s="122"/>
      <c r="D210" s="123" t="n">
        <f aca="false">B210+C210</f>
        <v>0</v>
      </c>
      <c r="E210" s="111" t="n">
        <f aca="false">IF(Z210=0,0,IF(AND(Z210=1,$H$3=1),D210*U210,IF($H$3=2,D210,"N/A")))</f>
        <v>0</v>
      </c>
      <c r="F210" s="111" t="n">
        <f aca="false">E210*Y210</f>
        <v>0</v>
      </c>
      <c r="G210" s="124" t="n">
        <f aca="false">VLOOKUP($A210,Table,MATCH(G$4,Curves,0))</f>
        <v>3</v>
      </c>
      <c r="H210" s="125" t="n">
        <f aca="false">G210+$H$7</f>
        <v>3</v>
      </c>
      <c r="I210" s="124" t="n">
        <f aca="false">H210</f>
        <v>3</v>
      </c>
      <c r="J210" s="124" t="n">
        <f aca="false">VLOOKUP($A210,Table,MATCH(J$4,Curves,0))</f>
        <v>4</v>
      </c>
      <c r="K210" s="125" t="n">
        <f aca="false">J210+$K$7</f>
        <v>4</v>
      </c>
      <c r="L210" s="126" t="n">
        <f aca="false">K210</f>
        <v>4</v>
      </c>
      <c r="M210" s="124" t="n">
        <f aca="false">VLOOKUP($A210,Table,MATCH(M$4,Curves,0))</f>
        <v>4</v>
      </c>
      <c r="N210" s="125" t="n">
        <f aca="false">M210+$N$7</f>
        <v>4</v>
      </c>
      <c r="O210" s="126" t="n">
        <f aca="false">IF(B210&gt;0,(1000/B210*0.25)+((B210-1000)/B210*0.12),0)</f>
        <v>0</v>
      </c>
      <c r="P210" s="114"/>
      <c r="Q210" s="126" t="n">
        <f aca="false">M210+J210+G210</f>
        <v>11</v>
      </c>
      <c r="R210" s="126" t="n">
        <f aca="false">N210+K210+H210</f>
        <v>11</v>
      </c>
      <c r="S210" s="126" t="n">
        <f aca="false">O210+L210+I210</f>
        <v>7</v>
      </c>
      <c r="T210" s="127"/>
      <c r="U210" s="5" t="n">
        <f aca="false">A211-A210</f>
        <v>31</v>
      </c>
      <c r="V210" s="128" t="n">
        <f aca="false">CHOOSE(F$3,A211+24,A210)</f>
        <v>43374</v>
      </c>
      <c r="W210" s="5" t="n">
        <f aca="false">V210-C$3</f>
        <v>6143</v>
      </c>
      <c r="X210" s="124" t="n">
        <f aca="false">VLOOKUP($A210,Table,MATCH(X$4,Curves,0))</f>
        <v>2</v>
      </c>
      <c r="Y210" s="129" t="n">
        <f aca="false">1/(1+CHOOSE(F$3,(X211+($K$3/10000))/2,(X210+($K$3/10000))/2))^(2*W210/365.25)</f>
        <v>7.48485450735368E-011</v>
      </c>
      <c r="Z210" s="5" t="n">
        <f aca="false">IF(AND(mthbeg&lt;=A210,mthend&gt;=A210),1,0)</f>
        <v>0</v>
      </c>
      <c r="AA210" s="5" t="n">
        <f aca="false">U210*Z210</f>
        <v>0</v>
      </c>
      <c r="AC210" s="115" t="n">
        <f aca="false">IF(G203=2,F210*(S210-Q210),F210*(Q210-S210))</f>
        <v>0</v>
      </c>
      <c r="AE210" s="116" t="n">
        <f aca="false">IF($G$3=1,F210*(R210-Q210),F210*(Q210-R210))</f>
        <v>0</v>
      </c>
      <c r="AG210" s="116" t="n">
        <f aca="false">AC210+AE210</f>
        <v>0</v>
      </c>
    </row>
    <row r="211" customFormat="false" ht="12" hidden="false" customHeight="true" outlineLevel="0" collapsed="false">
      <c r="A211" s="120" t="n">
        <f aca="false">EDATE(A210,1)</f>
        <v>43405</v>
      </c>
      <c r="B211" s="121" t="n">
        <v>0</v>
      </c>
      <c r="C211" s="122"/>
      <c r="D211" s="123" t="n">
        <f aca="false">B211+C211</f>
        <v>0</v>
      </c>
      <c r="E211" s="111" t="n">
        <f aca="false">IF(Z211=0,0,IF(AND(Z211=1,$H$3=1),D211*U211,IF($H$3=2,D211,"N/A")))</f>
        <v>0</v>
      </c>
      <c r="F211" s="111" t="n">
        <f aca="false">E211*Y211</f>
        <v>0</v>
      </c>
      <c r="G211" s="124" t="n">
        <f aca="false">VLOOKUP($A211,Table,MATCH(G$4,Curves,0))</f>
        <v>3</v>
      </c>
      <c r="H211" s="125" t="n">
        <f aca="false">G211+$H$7</f>
        <v>3</v>
      </c>
      <c r="I211" s="124" t="n">
        <f aca="false">H211</f>
        <v>3</v>
      </c>
      <c r="J211" s="124" t="n">
        <f aca="false">VLOOKUP($A211,Table,MATCH(J$4,Curves,0))</f>
        <v>4</v>
      </c>
      <c r="K211" s="125" t="n">
        <f aca="false">J211+$K$7</f>
        <v>4</v>
      </c>
      <c r="L211" s="126" t="n">
        <f aca="false">K211</f>
        <v>4</v>
      </c>
      <c r="M211" s="124" t="n">
        <f aca="false">VLOOKUP($A211,Table,MATCH(M$4,Curves,0))</f>
        <v>4</v>
      </c>
      <c r="N211" s="125" t="n">
        <f aca="false">M211+$N$7</f>
        <v>4</v>
      </c>
      <c r="O211" s="126" t="n">
        <f aca="false">IF(B211&gt;0,(1000/B211*0.25)+((B211-1000)/B211*0.12),0)</f>
        <v>0</v>
      </c>
      <c r="P211" s="114"/>
      <c r="Q211" s="126" t="n">
        <f aca="false">M211+J211+G211</f>
        <v>11</v>
      </c>
      <c r="R211" s="126" t="n">
        <f aca="false">N211+K211+H211</f>
        <v>11</v>
      </c>
      <c r="S211" s="126" t="n">
        <f aca="false">O211+L211+I211</f>
        <v>7</v>
      </c>
      <c r="T211" s="127"/>
      <c r="U211" s="5" t="n">
        <f aca="false">A212-A211</f>
        <v>30</v>
      </c>
      <c r="V211" s="128" t="n">
        <f aca="false">CHOOSE(F$3,A212+24,A211)</f>
        <v>43405</v>
      </c>
      <c r="W211" s="5" t="n">
        <f aca="false">V211-C$3</f>
        <v>6174</v>
      </c>
      <c r="X211" s="124" t="n">
        <f aca="false">VLOOKUP($A211,Table,MATCH(X$4,Curves,0))</f>
        <v>2</v>
      </c>
      <c r="Y211" s="129" t="n">
        <f aca="false">1/(1+CHOOSE(F$3,(X212+($K$3/10000))/2,(X211+($K$3/10000))/2))^(2*W211/365.25)</f>
        <v>6.65402609603863E-011</v>
      </c>
      <c r="Z211" s="5" t="n">
        <f aca="false">IF(AND(mthbeg&lt;=A211,mthend&gt;=A211),1,0)</f>
        <v>0</v>
      </c>
      <c r="AA211" s="5" t="n">
        <f aca="false">U211*Z211</f>
        <v>0</v>
      </c>
      <c r="AC211" s="115" t="n">
        <f aca="false">IF(G204=2,F211*(S211-Q211),F211*(Q211-S211))</f>
        <v>0</v>
      </c>
      <c r="AE211" s="116" t="n">
        <f aca="false">IF($G$3=1,F211*(R211-Q211),F211*(Q211-R211))</f>
        <v>0</v>
      </c>
      <c r="AG211" s="116" t="n">
        <f aca="false">AC211+AE211</f>
        <v>0</v>
      </c>
    </row>
    <row r="212" customFormat="false" ht="12" hidden="false" customHeight="true" outlineLevel="0" collapsed="false">
      <c r="A212" s="120" t="n">
        <f aca="false">EDATE(A211,1)</f>
        <v>43435</v>
      </c>
      <c r="B212" s="121" t="n">
        <v>0</v>
      </c>
      <c r="C212" s="122"/>
      <c r="D212" s="123" t="n">
        <f aca="false">B212+C212</f>
        <v>0</v>
      </c>
      <c r="E212" s="111" t="n">
        <f aca="false">IF(Z212=0,0,IF(AND(Z212=1,$H$3=1),D212*U212,IF($H$3=2,D212,"N/A")))</f>
        <v>0</v>
      </c>
      <c r="F212" s="111" t="n">
        <f aca="false">E212*Y212</f>
        <v>0</v>
      </c>
      <c r="G212" s="124" t="n">
        <f aca="false">VLOOKUP($A212,Table,MATCH(G$4,Curves,0))</f>
        <v>3</v>
      </c>
      <c r="H212" s="125" t="n">
        <f aca="false">G212+$H$7</f>
        <v>3</v>
      </c>
      <c r="I212" s="124" t="n">
        <f aca="false">H212</f>
        <v>3</v>
      </c>
      <c r="J212" s="124" t="n">
        <f aca="false">VLOOKUP($A212,Table,MATCH(J$4,Curves,0))</f>
        <v>4</v>
      </c>
      <c r="K212" s="125" t="n">
        <f aca="false">J212+$K$7</f>
        <v>4</v>
      </c>
      <c r="L212" s="126" t="n">
        <f aca="false">K212</f>
        <v>4</v>
      </c>
      <c r="M212" s="124" t="n">
        <f aca="false">VLOOKUP($A212,Table,MATCH(M$4,Curves,0))</f>
        <v>4</v>
      </c>
      <c r="N212" s="125" t="n">
        <f aca="false">M212+$N$7</f>
        <v>4</v>
      </c>
      <c r="O212" s="126" t="n">
        <f aca="false">IF(B212&gt;0,(1000/B212*0.25)+((B212-1000)/B212*0.12),0)</f>
        <v>0</v>
      </c>
      <c r="P212" s="114"/>
      <c r="Q212" s="126" t="n">
        <f aca="false">M212+J212+G212</f>
        <v>11</v>
      </c>
      <c r="R212" s="126" t="n">
        <f aca="false">N212+K212+H212</f>
        <v>11</v>
      </c>
      <c r="S212" s="126" t="n">
        <f aca="false">O212+L212+I212</f>
        <v>7</v>
      </c>
      <c r="T212" s="127"/>
      <c r="U212" s="5" t="n">
        <f aca="false">A213-A212</f>
        <v>31</v>
      </c>
      <c r="V212" s="128" t="n">
        <f aca="false">CHOOSE(F$3,A213+24,A212)</f>
        <v>43435</v>
      </c>
      <c r="W212" s="5" t="n">
        <f aca="false">V212-C$3</f>
        <v>6204</v>
      </c>
      <c r="X212" s="124" t="n">
        <f aca="false">VLOOKUP($A212,Table,MATCH(X$4,Curves,0))</f>
        <v>2</v>
      </c>
      <c r="Y212" s="129" t="n">
        <f aca="false">1/(1+CHOOSE(F$3,(X213+($K$3/10000))/2,(X212+($K$3/10000))/2))^(2*W212/365.25)</f>
        <v>5.93791514581843E-011</v>
      </c>
      <c r="Z212" s="5" t="n">
        <f aca="false">IF(AND(mthbeg&lt;=A212,mthend&gt;=A212),1,0)</f>
        <v>0</v>
      </c>
      <c r="AA212" s="5" t="n">
        <f aca="false">U212*Z212</f>
        <v>0</v>
      </c>
      <c r="AC212" s="115" t="n">
        <f aca="false">IF(G205=2,F212*(S212-Q212),F212*(Q212-S212))</f>
        <v>0</v>
      </c>
      <c r="AE212" s="116" t="n">
        <f aca="false">IF($G$3=1,F212*(R212-Q212),F212*(Q212-R212))</f>
        <v>0</v>
      </c>
      <c r="AG212" s="116" t="n">
        <f aca="false">AC212+AE212</f>
        <v>0</v>
      </c>
    </row>
    <row r="213" customFormat="false" ht="12" hidden="false" customHeight="true" outlineLevel="0" collapsed="false">
      <c r="A213" s="120" t="n">
        <f aca="false">EDATE(A212,1)</f>
        <v>43466</v>
      </c>
      <c r="B213" s="121" t="n">
        <v>0</v>
      </c>
      <c r="C213" s="122"/>
      <c r="D213" s="123" t="n">
        <f aca="false">B213+C213</f>
        <v>0</v>
      </c>
      <c r="E213" s="111" t="n">
        <f aca="false">IF(Z213=0,0,IF(AND(Z213=1,$H$3=1),D213*U213,IF($H$3=2,D213,"N/A")))</f>
        <v>0</v>
      </c>
      <c r="F213" s="111" t="n">
        <f aca="false">E213*Y213</f>
        <v>0</v>
      </c>
      <c r="G213" s="124" t="n">
        <f aca="false">VLOOKUP($A213,Table,MATCH(G$4,Curves,0))</f>
        <v>3</v>
      </c>
      <c r="H213" s="125" t="n">
        <f aca="false">G213+$H$7</f>
        <v>3</v>
      </c>
      <c r="I213" s="124" t="n">
        <f aca="false">H213</f>
        <v>3</v>
      </c>
      <c r="J213" s="124" t="n">
        <f aca="false">VLOOKUP($A213,Table,MATCH(J$4,Curves,0))</f>
        <v>4</v>
      </c>
      <c r="K213" s="125" t="n">
        <f aca="false">J213+$K$7</f>
        <v>4</v>
      </c>
      <c r="L213" s="126" t="n">
        <f aca="false">K213</f>
        <v>4</v>
      </c>
      <c r="M213" s="124" t="n">
        <f aca="false">VLOOKUP($A213,Table,MATCH(M$4,Curves,0))</f>
        <v>4</v>
      </c>
      <c r="N213" s="125" t="n">
        <f aca="false">M213+$N$7</f>
        <v>4</v>
      </c>
      <c r="O213" s="126" t="n">
        <f aca="false">IF(B213&gt;0,(1000/B213*0.25)+((B213-1000)/B213*0.12),0)</f>
        <v>0</v>
      </c>
      <c r="P213" s="114"/>
      <c r="Q213" s="126" t="n">
        <f aca="false">M213+J213+G213</f>
        <v>11</v>
      </c>
      <c r="R213" s="126" t="n">
        <f aca="false">N213+K213+H213</f>
        <v>11</v>
      </c>
      <c r="S213" s="126" t="n">
        <f aca="false">O213+L213+I213</f>
        <v>7</v>
      </c>
      <c r="T213" s="127"/>
      <c r="U213" s="5" t="n">
        <f aca="false">A214-A213</f>
        <v>31</v>
      </c>
      <c r="V213" s="128" t="n">
        <f aca="false">CHOOSE(F$3,A214+24,A213)</f>
        <v>43466</v>
      </c>
      <c r="W213" s="5" t="n">
        <f aca="false">V213-C$3</f>
        <v>6235</v>
      </c>
      <c r="X213" s="124" t="n">
        <f aca="false">VLOOKUP($A213,Table,MATCH(X$4,Curves,0))</f>
        <v>2</v>
      </c>
      <c r="Y213" s="129" t="n">
        <f aca="false">1/(1+CHOOSE(F$3,(X214+($K$3/10000))/2,(X213+($K$3/10000))/2))^(2*W213/365.25)</f>
        <v>5.27879897966224E-011</v>
      </c>
      <c r="Z213" s="5" t="n">
        <f aca="false">IF(AND(mthbeg&lt;=A213,mthend&gt;=A213),1,0)</f>
        <v>0</v>
      </c>
      <c r="AA213" s="5" t="n">
        <f aca="false">U213*Z213</f>
        <v>0</v>
      </c>
      <c r="AC213" s="115" t="n">
        <f aca="false">IF(G206=2,F213*(S213-Q213),F213*(Q213-S213))</f>
        <v>0</v>
      </c>
      <c r="AE213" s="116" t="n">
        <f aca="false">IF($G$3=1,F213*(R213-Q213),F213*(Q213-R213))</f>
        <v>0</v>
      </c>
      <c r="AG213" s="116" t="n">
        <f aca="false">AC213+AE213</f>
        <v>0</v>
      </c>
    </row>
    <row r="214" customFormat="false" ht="12" hidden="false" customHeight="true" outlineLevel="0" collapsed="false">
      <c r="A214" s="120" t="n">
        <f aca="false">EDATE(A213,1)</f>
        <v>43497</v>
      </c>
      <c r="B214" s="121" t="n">
        <v>0</v>
      </c>
      <c r="C214" s="122"/>
      <c r="D214" s="123" t="n">
        <f aca="false">B214+C214</f>
        <v>0</v>
      </c>
      <c r="E214" s="111" t="n">
        <f aca="false">IF(Z214=0,0,IF(AND(Z214=1,$H$3=1),D214*U214,IF($H$3=2,D214,"N/A")))</f>
        <v>0</v>
      </c>
      <c r="F214" s="111" t="n">
        <f aca="false">E214*Y214</f>
        <v>0</v>
      </c>
      <c r="G214" s="124" t="n">
        <f aca="false">VLOOKUP($A214,Table,MATCH(G$4,Curves,0))</f>
        <v>3</v>
      </c>
      <c r="H214" s="125" t="n">
        <f aca="false">G214+$H$7</f>
        <v>3</v>
      </c>
      <c r="I214" s="124" t="n">
        <f aca="false">H214</f>
        <v>3</v>
      </c>
      <c r="J214" s="124" t="n">
        <f aca="false">VLOOKUP($A214,Table,MATCH(J$4,Curves,0))</f>
        <v>4</v>
      </c>
      <c r="K214" s="125" t="n">
        <f aca="false">J214+$K$7</f>
        <v>4</v>
      </c>
      <c r="L214" s="126" t="n">
        <f aca="false">K214</f>
        <v>4</v>
      </c>
      <c r="M214" s="124" t="n">
        <f aca="false">VLOOKUP($A214,Table,MATCH(M$4,Curves,0))</f>
        <v>4</v>
      </c>
      <c r="N214" s="125" t="n">
        <f aca="false">M214+$N$7</f>
        <v>4</v>
      </c>
      <c r="O214" s="126" t="n">
        <f aca="false">IF(B214&gt;0,(1000/B214*0.25)+((B214-1000)/B214*0.12),0)</f>
        <v>0</v>
      </c>
      <c r="P214" s="114"/>
      <c r="Q214" s="126" t="n">
        <f aca="false">M214+J214+G214</f>
        <v>11</v>
      </c>
      <c r="R214" s="126" t="n">
        <f aca="false">N214+K214+H214</f>
        <v>11</v>
      </c>
      <c r="S214" s="126" t="n">
        <f aca="false">O214+L214+I214</f>
        <v>7</v>
      </c>
      <c r="T214" s="127"/>
      <c r="U214" s="5" t="n">
        <f aca="false">A215-A214</f>
        <v>28</v>
      </c>
      <c r="V214" s="128" t="n">
        <f aca="false">CHOOSE(F$3,A215+24,A214)</f>
        <v>43497</v>
      </c>
      <c r="W214" s="5" t="n">
        <f aca="false">V214-C$3</f>
        <v>6266</v>
      </c>
      <c r="X214" s="124" t="n">
        <f aca="false">VLOOKUP($A214,Table,MATCH(X$4,Curves,0))</f>
        <v>2</v>
      </c>
      <c r="Y214" s="129" t="n">
        <f aca="false">1/(1+CHOOSE(F$3,(X215+($K$3/10000))/2,(X214+($K$3/10000))/2))^(2*W214/365.25)</f>
        <v>4.69284554989077E-011</v>
      </c>
      <c r="Z214" s="5" t="n">
        <f aca="false">IF(AND(mthbeg&lt;=A214,mthend&gt;=A214),1,0)</f>
        <v>0</v>
      </c>
      <c r="AA214" s="5" t="n">
        <f aca="false">U214*Z214</f>
        <v>0</v>
      </c>
      <c r="AC214" s="115" t="n">
        <f aca="false">IF(G207=2,F214*(S214-Q214),F214*(Q214-S214))</f>
        <v>0</v>
      </c>
      <c r="AE214" s="116" t="n">
        <f aca="false">IF($G$3=1,F214*(R214-Q214),F214*(Q214-R214))</f>
        <v>0</v>
      </c>
      <c r="AG214" s="116" t="n">
        <f aca="false">AC214+AE214</f>
        <v>0</v>
      </c>
    </row>
    <row r="215" customFormat="false" ht="12" hidden="false" customHeight="true" outlineLevel="0" collapsed="false">
      <c r="A215" s="120" t="n">
        <f aca="false">EDATE(A214,1)</f>
        <v>43525</v>
      </c>
      <c r="B215" s="121" t="n">
        <v>0</v>
      </c>
      <c r="C215" s="122"/>
      <c r="D215" s="123" t="n">
        <f aca="false">B215+C215</f>
        <v>0</v>
      </c>
      <c r="E215" s="111" t="n">
        <f aca="false">IF(Z215=0,0,IF(AND(Z215=1,$H$3=1),D215*U215,IF($H$3=2,D215,"N/A")))</f>
        <v>0</v>
      </c>
      <c r="F215" s="111" t="n">
        <f aca="false">E215*Y215</f>
        <v>0</v>
      </c>
      <c r="G215" s="124" t="n">
        <f aca="false">VLOOKUP($A215,Table,MATCH(G$4,Curves,0))</f>
        <v>3</v>
      </c>
      <c r="H215" s="125" t="n">
        <f aca="false">G215+$H$7</f>
        <v>3</v>
      </c>
      <c r="I215" s="124" t="n">
        <f aca="false">H215</f>
        <v>3</v>
      </c>
      <c r="J215" s="124" t="n">
        <f aca="false">VLOOKUP($A215,Table,MATCH(J$4,Curves,0))</f>
        <v>4</v>
      </c>
      <c r="K215" s="125" t="n">
        <f aca="false">J215+$K$7</f>
        <v>4</v>
      </c>
      <c r="L215" s="126" t="n">
        <f aca="false">K215</f>
        <v>4</v>
      </c>
      <c r="M215" s="124" t="n">
        <f aca="false">VLOOKUP($A215,Table,MATCH(M$4,Curves,0))</f>
        <v>4</v>
      </c>
      <c r="N215" s="125" t="n">
        <f aca="false">M215+$N$7</f>
        <v>4</v>
      </c>
      <c r="O215" s="126" t="n">
        <f aca="false">IF(B215&gt;0,(1000/B215*0.25)+((B215-1000)/B215*0.12),0)</f>
        <v>0</v>
      </c>
      <c r="P215" s="114"/>
      <c r="Q215" s="126" t="n">
        <f aca="false">M215+J215+G215</f>
        <v>11</v>
      </c>
      <c r="R215" s="126" t="n">
        <f aca="false">N215+K215+H215</f>
        <v>11</v>
      </c>
      <c r="S215" s="126" t="n">
        <f aca="false">O215+L215+I215</f>
        <v>7</v>
      </c>
      <c r="T215" s="127"/>
      <c r="U215" s="5" t="n">
        <f aca="false">A216-A215</f>
        <v>31</v>
      </c>
      <c r="V215" s="128" t="n">
        <f aca="false">CHOOSE(F$3,A216+24,A215)</f>
        <v>43525</v>
      </c>
      <c r="W215" s="5" t="n">
        <f aca="false">V215-C$3</f>
        <v>6294</v>
      </c>
      <c r="X215" s="124" t="n">
        <f aca="false">VLOOKUP($A215,Table,MATCH(X$4,Curves,0))</f>
        <v>2</v>
      </c>
      <c r="Y215" s="129" t="n">
        <f aca="false">1/(1+CHOOSE(F$3,(X216+($K$3/10000))/2,(X215+($K$3/10000))/2))^(2*W215/365.25)</f>
        <v>4.2197084859845E-011</v>
      </c>
      <c r="Z215" s="5" t="n">
        <f aca="false">IF(AND(mthbeg&lt;=A215,mthend&gt;=A215),1,0)</f>
        <v>0</v>
      </c>
      <c r="AA215" s="5" t="n">
        <f aca="false">U215*Z215</f>
        <v>0</v>
      </c>
      <c r="AC215" s="115" t="n">
        <f aca="false">IF(G208=2,F215*(S215-Q215),F215*(Q215-S215))</f>
        <v>0</v>
      </c>
      <c r="AE215" s="116" t="n">
        <f aca="false">IF($G$3=1,F215*(R215-Q215),F215*(Q215-R215))</f>
        <v>0</v>
      </c>
      <c r="AG215" s="116" t="n">
        <f aca="false">AC215+AE215</f>
        <v>0</v>
      </c>
    </row>
    <row r="216" customFormat="false" ht="12" hidden="false" customHeight="true" outlineLevel="0" collapsed="false">
      <c r="A216" s="120" t="n">
        <f aca="false">EDATE(A215,1)</f>
        <v>43556</v>
      </c>
      <c r="B216" s="121" t="n">
        <v>0</v>
      </c>
      <c r="C216" s="122"/>
      <c r="D216" s="123" t="n">
        <f aca="false">B216+C216</f>
        <v>0</v>
      </c>
      <c r="E216" s="111" t="n">
        <f aca="false">IF(Z216=0,0,IF(AND(Z216=1,$H$3=1),D216*U216,IF($H$3=2,D216,"N/A")))</f>
        <v>0</v>
      </c>
      <c r="F216" s="111" t="n">
        <f aca="false">E216*Y216</f>
        <v>0</v>
      </c>
      <c r="G216" s="124" t="n">
        <f aca="false">VLOOKUP($A216,Table,MATCH(G$4,Curves,0))</f>
        <v>3</v>
      </c>
      <c r="H216" s="125" t="n">
        <f aca="false">G216+$H$7</f>
        <v>3</v>
      </c>
      <c r="I216" s="124" t="n">
        <f aca="false">H216</f>
        <v>3</v>
      </c>
      <c r="J216" s="124" t="n">
        <f aca="false">VLOOKUP($A216,Table,MATCH(J$4,Curves,0))</f>
        <v>4</v>
      </c>
      <c r="K216" s="125" t="n">
        <f aca="false">J216+$K$7</f>
        <v>4</v>
      </c>
      <c r="L216" s="126" t="n">
        <f aca="false">K216</f>
        <v>4</v>
      </c>
      <c r="M216" s="124" t="n">
        <f aca="false">VLOOKUP($A216,Table,MATCH(M$4,Curves,0))</f>
        <v>4</v>
      </c>
      <c r="N216" s="125" t="n">
        <f aca="false">M216+$N$7</f>
        <v>4</v>
      </c>
      <c r="O216" s="126" t="n">
        <f aca="false">IF(B216&gt;0,(1000/B216*0.25)+((B216-1000)/B216*0.12),0)</f>
        <v>0</v>
      </c>
      <c r="P216" s="114"/>
      <c r="Q216" s="126" t="n">
        <f aca="false">M216+J216+G216</f>
        <v>11</v>
      </c>
      <c r="R216" s="126" t="n">
        <f aca="false">N216+K216+H216</f>
        <v>11</v>
      </c>
      <c r="S216" s="126" t="n">
        <f aca="false">O216+L216+I216</f>
        <v>7</v>
      </c>
      <c r="T216" s="127"/>
      <c r="U216" s="5" t="n">
        <f aca="false">A217-A216</f>
        <v>30</v>
      </c>
      <c r="V216" s="128" t="n">
        <f aca="false">CHOOSE(F$3,A217+24,A216)</f>
        <v>43556</v>
      </c>
      <c r="W216" s="5" t="n">
        <f aca="false">V216-C$3</f>
        <v>6325</v>
      </c>
      <c r="X216" s="124" t="n">
        <f aca="false">VLOOKUP($A216,Table,MATCH(X$4,Curves,0))</f>
        <v>2</v>
      </c>
      <c r="Y216" s="129" t="n">
        <f aca="false">1/(1+CHOOSE(F$3,(X217+($K$3/10000))/2,(X216+($K$3/10000))/2))^(2*W216/365.25)</f>
        <v>3.75131545387162E-011</v>
      </c>
      <c r="Z216" s="5" t="n">
        <f aca="false">IF(AND(mthbeg&lt;=A216,mthend&gt;=A216),1,0)</f>
        <v>0</v>
      </c>
      <c r="AA216" s="5" t="n">
        <f aca="false">U216*Z216</f>
        <v>0</v>
      </c>
      <c r="AC216" s="115" t="n">
        <f aca="false">IF(G209=2,F216*(S216-Q216),F216*(Q216-S216))</f>
        <v>0</v>
      </c>
      <c r="AE216" s="116" t="n">
        <f aca="false">IF($G$3=1,F216*(R216-Q216),F216*(Q216-R216))</f>
        <v>0</v>
      </c>
      <c r="AG216" s="116" t="n">
        <f aca="false">AC216+AE216</f>
        <v>0</v>
      </c>
    </row>
    <row r="217" customFormat="false" ht="12" hidden="false" customHeight="true" outlineLevel="0" collapsed="false">
      <c r="A217" s="120" t="n">
        <f aca="false">EDATE(A216,1)</f>
        <v>43586</v>
      </c>
      <c r="B217" s="121" t="n">
        <v>0</v>
      </c>
      <c r="C217" s="122"/>
      <c r="D217" s="123" t="n">
        <f aca="false">B217+C217</f>
        <v>0</v>
      </c>
      <c r="E217" s="111" t="n">
        <f aca="false">IF(Z217=0,0,IF(AND(Z217=1,$H$3=1),D217*U217,IF($H$3=2,D217,"N/A")))</f>
        <v>0</v>
      </c>
      <c r="F217" s="111" t="n">
        <f aca="false">E217*Y217</f>
        <v>0</v>
      </c>
      <c r="G217" s="124" t="n">
        <f aca="false">VLOOKUP($A217,Table,MATCH(G$4,Curves,0))</f>
        <v>3</v>
      </c>
      <c r="H217" s="125" t="n">
        <f aca="false">G217+$H$7</f>
        <v>3</v>
      </c>
      <c r="I217" s="124" t="n">
        <f aca="false">H217</f>
        <v>3</v>
      </c>
      <c r="J217" s="124" t="n">
        <f aca="false">VLOOKUP($A217,Table,MATCH(J$4,Curves,0))</f>
        <v>4</v>
      </c>
      <c r="K217" s="125" t="n">
        <f aca="false">J217+$K$7</f>
        <v>4</v>
      </c>
      <c r="L217" s="126" t="n">
        <f aca="false">K217</f>
        <v>4</v>
      </c>
      <c r="M217" s="124" t="n">
        <f aca="false">VLOOKUP($A217,Table,MATCH(M$4,Curves,0))</f>
        <v>4</v>
      </c>
      <c r="N217" s="125" t="n">
        <f aca="false">M217+$N$7</f>
        <v>4</v>
      </c>
      <c r="O217" s="126" t="n">
        <f aca="false">IF(B217&gt;0,(1000/B217*0.25)+((B217-1000)/B217*0.12),0)</f>
        <v>0</v>
      </c>
      <c r="P217" s="114"/>
      <c r="Q217" s="126" t="n">
        <f aca="false">M217+J217+G217</f>
        <v>11</v>
      </c>
      <c r="R217" s="126" t="n">
        <f aca="false">N217+K217+H217</f>
        <v>11</v>
      </c>
      <c r="S217" s="126" t="n">
        <f aca="false">O217+L217+I217</f>
        <v>7</v>
      </c>
      <c r="T217" s="127"/>
      <c r="U217" s="5" t="n">
        <f aca="false">A218-A217</f>
        <v>31</v>
      </c>
      <c r="V217" s="128" t="n">
        <f aca="false">CHOOSE(F$3,A218+24,A217)</f>
        <v>43586</v>
      </c>
      <c r="W217" s="5" t="n">
        <f aca="false">V217-C$3</f>
        <v>6355</v>
      </c>
      <c r="X217" s="124" t="n">
        <f aca="false">VLOOKUP($A217,Table,MATCH(X$4,Curves,0))</f>
        <v>2</v>
      </c>
      <c r="Y217" s="129" t="n">
        <f aca="false">1/(1+CHOOSE(F$3,(X218+($K$3/10000))/2,(X217+($K$3/10000))/2))^(2*W217/365.25)</f>
        <v>3.34759625658036E-011</v>
      </c>
      <c r="Z217" s="5" t="n">
        <f aca="false">IF(AND(mthbeg&lt;=A217,mthend&gt;=A217),1,0)</f>
        <v>0</v>
      </c>
      <c r="AA217" s="5" t="n">
        <f aca="false">U217*Z217</f>
        <v>0</v>
      </c>
      <c r="AC217" s="115" t="n">
        <f aca="false">IF(G210=2,F217*(S217-Q217),F217*(Q217-S217))</f>
        <v>0</v>
      </c>
      <c r="AE217" s="116" t="n">
        <f aca="false">IF($G$3=1,F217*(R217-Q217),F217*(Q217-R217))</f>
        <v>0</v>
      </c>
      <c r="AG217" s="116" t="n">
        <f aca="false">AC217+AE217</f>
        <v>0</v>
      </c>
    </row>
    <row r="218" customFormat="false" ht="12" hidden="false" customHeight="true" outlineLevel="0" collapsed="false">
      <c r="A218" s="120" t="n">
        <f aca="false">EDATE(A217,1)</f>
        <v>43617</v>
      </c>
      <c r="B218" s="121" t="n">
        <v>0</v>
      </c>
      <c r="C218" s="122"/>
      <c r="D218" s="123" t="n">
        <f aca="false">B218+C218</f>
        <v>0</v>
      </c>
      <c r="E218" s="111" t="n">
        <f aca="false">IF(Z218=0,0,IF(AND(Z218=1,$H$3=1),D218*U218,IF($H$3=2,D218,"N/A")))</f>
        <v>0</v>
      </c>
      <c r="F218" s="111" t="n">
        <f aca="false">E218*Y218</f>
        <v>0</v>
      </c>
      <c r="G218" s="124" t="n">
        <f aca="false">VLOOKUP($A218,Table,MATCH(G$4,Curves,0))</f>
        <v>3</v>
      </c>
      <c r="H218" s="125" t="n">
        <f aca="false">G218+$H$7</f>
        <v>3</v>
      </c>
      <c r="I218" s="124" t="n">
        <f aca="false">H218</f>
        <v>3</v>
      </c>
      <c r="J218" s="124" t="n">
        <f aca="false">VLOOKUP($A218,Table,MATCH(J$4,Curves,0))</f>
        <v>4</v>
      </c>
      <c r="K218" s="125" t="n">
        <f aca="false">J218+$K$7</f>
        <v>4</v>
      </c>
      <c r="L218" s="126" t="n">
        <f aca="false">K218</f>
        <v>4</v>
      </c>
      <c r="M218" s="124" t="n">
        <f aca="false">VLOOKUP($A218,Table,MATCH(M$4,Curves,0))</f>
        <v>4</v>
      </c>
      <c r="N218" s="125" t="n">
        <f aca="false">M218+$N$7</f>
        <v>4</v>
      </c>
      <c r="O218" s="126" t="n">
        <f aca="false">IF(B218&gt;0,(1000/B218*0.25)+((B218-1000)/B218*0.12),0)</f>
        <v>0</v>
      </c>
      <c r="P218" s="114"/>
      <c r="Q218" s="126" t="n">
        <f aca="false">M218+J218+G218</f>
        <v>11</v>
      </c>
      <c r="R218" s="126" t="n">
        <f aca="false">N218+K218+H218</f>
        <v>11</v>
      </c>
      <c r="S218" s="126" t="n">
        <f aca="false">O218+L218+I218</f>
        <v>7</v>
      </c>
      <c r="T218" s="127"/>
      <c r="U218" s="5" t="n">
        <f aca="false">A219-A218</f>
        <v>30</v>
      </c>
      <c r="V218" s="128" t="n">
        <f aca="false">CHOOSE(F$3,A219+24,A218)</f>
        <v>43617</v>
      </c>
      <c r="W218" s="5" t="n">
        <f aca="false">V218-C$3</f>
        <v>6386</v>
      </c>
      <c r="X218" s="124" t="n">
        <f aca="false">VLOOKUP($A218,Table,MATCH(X$4,Curves,0))</f>
        <v>2</v>
      </c>
      <c r="Y218" s="129" t="n">
        <f aca="false">1/(1+CHOOSE(F$3,(X219+($K$3/10000))/2,(X218+($K$3/10000))/2))^(2*W218/365.25)</f>
        <v>2.97600879594951E-011</v>
      </c>
      <c r="Z218" s="5" t="n">
        <f aca="false">IF(AND(mthbeg&lt;=A218,mthend&gt;=A218),1,0)</f>
        <v>0</v>
      </c>
      <c r="AA218" s="5" t="n">
        <f aca="false">U218*Z218</f>
        <v>0</v>
      </c>
      <c r="AC218" s="115" t="n">
        <f aca="false">IF(G211=2,F218*(S218-Q218),F218*(Q218-S218))</f>
        <v>0</v>
      </c>
      <c r="AE218" s="116" t="n">
        <f aca="false">IF($G$3=1,F218*(R218-Q218),F218*(Q218-R218))</f>
        <v>0</v>
      </c>
      <c r="AG218" s="116" t="n">
        <f aca="false">AC218+AE218</f>
        <v>0</v>
      </c>
    </row>
    <row r="219" customFormat="false" ht="12" hidden="false" customHeight="true" outlineLevel="0" collapsed="false">
      <c r="A219" s="120" t="n">
        <f aca="false">EDATE(A218,1)</f>
        <v>43647</v>
      </c>
      <c r="B219" s="121" t="n">
        <v>0</v>
      </c>
      <c r="C219" s="122"/>
      <c r="D219" s="123" t="n">
        <f aca="false">B219+C219</f>
        <v>0</v>
      </c>
      <c r="E219" s="111" t="n">
        <f aca="false">IF(Z219=0,0,IF(AND(Z219=1,$H$3=1),D219*U219,IF($H$3=2,D219,"N/A")))</f>
        <v>0</v>
      </c>
      <c r="F219" s="111" t="n">
        <f aca="false">E219*Y219</f>
        <v>0</v>
      </c>
      <c r="G219" s="124" t="n">
        <f aca="false">VLOOKUP($A219,Table,MATCH(G$4,Curves,0))</f>
        <v>3</v>
      </c>
      <c r="H219" s="125" t="n">
        <f aca="false">G219+$H$7</f>
        <v>3</v>
      </c>
      <c r="I219" s="124" t="n">
        <f aca="false">H219</f>
        <v>3</v>
      </c>
      <c r="J219" s="124" t="n">
        <f aca="false">VLOOKUP($A219,Table,MATCH(J$4,Curves,0))</f>
        <v>4</v>
      </c>
      <c r="K219" s="125" t="n">
        <f aca="false">J219+$K$7</f>
        <v>4</v>
      </c>
      <c r="L219" s="126" t="n">
        <f aca="false">K219</f>
        <v>4</v>
      </c>
      <c r="M219" s="124" t="n">
        <f aca="false">VLOOKUP($A219,Table,MATCH(M$4,Curves,0))</f>
        <v>4</v>
      </c>
      <c r="N219" s="125" t="n">
        <f aca="false">M219+$N$7</f>
        <v>4</v>
      </c>
      <c r="O219" s="126" t="n">
        <f aca="false">IF(B219&gt;0,(1000/B219*0.25)+((B219-1000)/B219*0.12),0)</f>
        <v>0</v>
      </c>
      <c r="P219" s="114"/>
      <c r="Q219" s="126" t="n">
        <f aca="false">M219+J219+G219</f>
        <v>11</v>
      </c>
      <c r="R219" s="126" t="n">
        <f aca="false">N219+K219+H219</f>
        <v>11</v>
      </c>
      <c r="S219" s="126" t="n">
        <f aca="false">O219+L219+I219</f>
        <v>7</v>
      </c>
      <c r="T219" s="127"/>
      <c r="U219" s="5" t="n">
        <f aca="false">A220-A219</f>
        <v>31</v>
      </c>
      <c r="V219" s="128" t="n">
        <f aca="false">CHOOSE(F$3,A220+24,A219)</f>
        <v>43647</v>
      </c>
      <c r="W219" s="5" t="n">
        <f aca="false">V219-C$3</f>
        <v>6416</v>
      </c>
      <c r="X219" s="124" t="n">
        <f aca="false">VLOOKUP($A219,Table,MATCH(X$4,Curves,0))</f>
        <v>2</v>
      </c>
      <c r="Y219" s="129" t="n">
        <f aca="false">1/(1+CHOOSE(F$3,(X220+($K$3/10000))/2,(X219+($K$3/10000))/2))^(2*W219/365.25)</f>
        <v>2.65572864435831E-011</v>
      </c>
      <c r="Z219" s="5" t="n">
        <f aca="false">IF(AND(mthbeg&lt;=A219,mthend&gt;=A219),1,0)</f>
        <v>0</v>
      </c>
      <c r="AA219" s="5" t="n">
        <f aca="false">U219*Z219</f>
        <v>0</v>
      </c>
      <c r="AC219" s="115" t="n">
        <f aca="false">IF(G212=2,F219*(S219-Q219),F219*(Q219-S219))</f>
        <v>0</v>
      </c>
      <c r="AE219" s="116" t="n">
        <f aca="false">IF($G$3=1,F219*(R219-Q219),F219*(Q219-R219))</f>
        <v>0</v>
      </c>
      <c r="AG219" s="116" t="n">
        <f aca="false">AC219+AE219</f>
        <v>0</v>
      </c>
    </row>
    <row r="220" customFormat="false" ht="12" hidden="false" customHeight="true" outlineLevel="0" collapsed="false">
      <c r="A220" s="120" t="n">
        <f aca="false">EDATE(A219,1)</f>
        <v>43678</v>
      </c>
      <c r="B220" s="121" t="n">
        <v>0</v>
      </c>
      <c r="C220" s="122"/>
      <c r="D220" s="123" t="n">
        <f aca="false">B220+C220</f>
        <v>0</v>
      </c>
      <c r="E220" s="111" t="n">
        <f aca="false">IF(Z220=0,0,IF(AND(Z220=1,$H$3=1),D220*U220,IF($H$3=2,D220,"N/A")))</f>
        <v>0</v>
      </c>
      <c r="F220" s="111" t="n">
        <f aca="false">E220*Y220</f>
        <v>0</v>
      </c>
      <c r="G220" s="124" t="n">
        <f aca="false">VLOOKUP($A220,Table,MATCH(G$4,Curves,0))</f>
        <v>3</v>
      </c>
      <c r="H220" s="125" t="n">
        <f aca="false">G220+$H$7</f>
        <v>3</v>
      </c>
      <c r="I220" s="124" t="n">
        <f aca="false">H220</f>
        <v>3</v>
      </c>
      <c r="J220" s="124" t="n">
        <f aca="false">VLOOKUP($A220,Table,MATCH(J$4,Curves,0))</f>
        <v>4</v>
      </c>
      <c r="K220" s="125" t="n">
        <f aca="false">J220+$K$7</f>
        <v>4</v>
      </c>
      <c r="L220" s="126" t="n">
        <f aca="false">K220</f>
        <v>4</v>
      </c>
      <c r="M220" s="124" t="n">
        <f aca="false">VLOOKUP($A220,Table,MATCH(M$4,Curves,0))</f>
        <v>4</v>
      </c>
      <c r="N220" s="125" t="n">
        <f aca="false">M220+$N$7</f>
        <v>4</v>
      </c>
      <c r="O220" s="126" t="n">
        <f aca="false">IF(B220&gt;0,(1000/B220*0.25)+((B220-1000)/B220*0.12),0)</f>
        <v>0</v>
      </c>
      <c r="P220" s="114"/>
      <c r="Q220" s="126" t="n">
        <f aca="false">M220+J220+G220</f>
        <v>11</v>
      </c>
      <c r="R220" s="126" t="n">
        <f aca="false">N220+K220+H220</f>
        <v>11</v>
      </c>
      <c r="S220" s="126" t="n">
        <f aca="false">O220+L220+I220</f>
        <v>7</v>
      </c>
      <c r="T220" s="127"/>
      <c r="U220" s="5" t="n">
        <f aca="false">A221-A220</f>
        <v>31</v>
      </c>
      <c r="V220" s="128" t="n">
        <f aca="false">CHOOSE(F$3,A221+24,A220)</f>
        <v>43678</v>
      </c>
      <c r="W220" s="5" t="n">
        <f aca="false">V220-C$3</f>
        <v>6447</v>
      </c>
      <c r="X220" s="124" t="n">
        <f aca="false">VLOOKUP($A220,Table,MATCH(X$4,Curves,0))</f>
        <v>2</v>
      </c>
      <c r="Y220" s="129" t="n">
        <f aca="false">1/(1+CHOOSE(F$3,(X221+($K$3/10000))/2,(X220+($K$3/10000))/2))^(2*W220/365.25)</f>
        <v>2.36093937246154E-011</v>
      </c>
      <c r="Z220" s="5" t="n">
        <f aca="false">IF(AND(mthbeg&lt;=A220,mthend&gt;=A220),1,0)</f>
        <v>0</v>
      </c>
      <c r="AA220" s="5" t="n">
        <f aca="false">U220*Z220</f>
        <v>0</v>
      </c>
      <c r="AC220" s="115" t="n">
        <f aca="false">IF(G213=2,F220*(S220-Q220),F220*(Q220-S220))</f>
        <v>0</v>
      </c>
      <c r="AE220" s="116" t="n">
        <f aca="false">IF($G$3=1,F220*(R220-Q220),F220*(Q220-R220))</f>
        <v>0</v>
      </c>
      <c r="AG220" s="116" t="n">
        <f aca="false">AC220+AE220</f>
        <v>0</v>
      </c>
    </row>
    <row r="221" customFormat="false" ht="12" hidden="false" customHeight="true" outlineLevel="0" collapsed="false">
      <c r="A221" s="120" t="n">
        <f aca="false">EDATE(A220,1)</f>
        <v>43709</v>
      </c>
      <c r="B221" s="121" t="n">
        <v>0</v>
      </c>
      <c r="C221" s="122"/>
      <c r="D221" s="123" t="n">
        <f aca="false">B221+C221</f>
        <v>0</v>
      </c>
      <c r="E221" s="111" t="n">
        <f aca="false">IF(Z221=0,0,IF(AND(Z221=1,$H$3=1),D221*U221,IF($H$3=2,D221,"N/A")))</f>
        <v>0</v>
      </c>
      <c r="F221" s="111" t="n">
        <f aca="false">E221*Y221</f>
        <v>0</v>
      </c>
      <c r="G221" s="124" t="n">
        <f aca="false">VLOOKUP($A221,Table,MATCH(G$4,Curves,0))</f>
        <v>3</v>
      </c>
      <c r="H221" s="125" t="n">
        <f aca="false">G221+$H$7</f>
        <v>3</v>
      </c>
      <c r="I221" s="124" t="n">
        <f aca="false">H221</f>
        <v>3</v>
      </c>
      <c r="J221" s="124" t="n">
        <f aca="false">VLOOKUP($A221,Table,MATCH(J$4,Curves,0))</f>
        <v>4</v>
      </c>
      <c r="K221" s="125" t="n">
        <f aca="false">J221+$K$7</f>
        <v>4</v>
      </c>
      <c r="L221" s="126" t="n">
        <f aca="false">K221</f>
        <v>4</v>
      </c>
      <c r="M221" s="124" t="n">
        <f aca="false">VLOOKUP($A221,Table,MATCH(M$4,Curves,0))</f>
        <v>4</v>
      </c>
      <c r="N221" s="125" t="n">
        <f aca="false">M221+$N$7</f>
        <v>4</v>
      </c>
      <c r="O221" s="126" t="n">
        <f aca="false">IF(B221&gt;0,(1000/B221*0.25)+((B221-1000)/B221*0.12),0)</f>
        <v>0</v>
      </c>
      <c r="P221" s="114"/>
      <c r="Q221" s="126" t="n">
        <f aca="false">M221+J221+G221</f>
        <v>11</v>
      </c>
      <c r="R221" s="126" t="n">
        <f aca="false">N221+K221+H221</f>
        <v>11</v>
      </c>
      <c r="S221" s="126" t="n">
        <f aca="false">O221+L221+I221</f>
        <v>7</v>
      </c>
      <c r="T221" s="127"/>
      <c r="U221" s="5" t="n">
        <f aca="false">A222-A221</f>
        <v>30</v>
      </c>
      <c r="V221" s="128" t="n">
        <f aca="false">CHOOSE(F$3,A222+24,A221)</f>
        <v>43709</v>
      </c>
      <c r="W221" s="5" t="n">
        <f aca="false">V221-C$3</f>
        <v>6478</v>
      </c>
      <c r="X221" s="124" t="n">
        <f aca="false">VLOOKUP($A221,Table,MATCH(X$4,Curves,0))</f>
        <v>2</v>
      </c>
      <c r="Y221" s="129" t="n">
        <f aca="false">1/(1+CHOOSE(F$3,(X222+($K$3/10000))/2,(X221+($K$3/10000))/2))^(2*W221/365.25)</f>
        <v>2.09887208630304E-011</v>
      </c>
      <c r="Z221" s="5" t="n">
        <f aca="false">IF(AND(mthbeg&lt;=A221,mthend&gt;=A221),1,0)</f>
        <v>0</v>
      </c>
      <c r="AA221" s="5" t="n">
        <f aca="false">U221*Z221</f>
        <v>0</v>
      </c>
      <c r="AC221" s="115" t="n">
        <f aca="false">IF(G214=2,F221*(S221-Q221),F221*(Q221-S221))</f>
        <v>0</v>
      </c>
      <c r="AE221" s="116" t="n">
        <f aca="false">IF($G$3=1,F221*(R221-Q221),F221*(Q221-R221))</f>
        <v>0</v>
      </c>
      <c r="AG221" s="116" t="n">
        <f aca="false">AC221+AE221</f>
        <v>0</v>
      </c>
    </row>
    <row r="222" customFormat="false" ht="12" hidden="false" customHeight="true" outlineLevel="0" collapsed="false">
      <c r="A222" s="120" t="n">
        <f aca="false">EDATE(A221,1)</f>
        <v>43739</v>
      </c>
      <c r="B222" s="121" t="n">
        <v>0</v>
      </c>
      <c r="C222" s="122"/>
      <c r="D222" s="123" t="n">
        <f aca="false">B222+C222</f>
        <v>0</v>
      </c>
      <c r="E222" s="111" t="n">
        <f aca="false">IF(Z222=0,0,IF(AND(Z222=1,$H$3=1),D222*U222,IF($H$3=2,D222,"N/A")))</f>
        <v>0</v>
      </c>
      <c r="F222" s="111" t="n">
        <f aca="false">E222*Y222</f>
        <v>0</v>
      </c>
      <c r="G222" s="124" t="n">
        <f aca="false">VLOOKUP($A222,Table,MATCH(G$4,Curves,0))</f>
        <v>3</v>
      </c>
      <c r="H222" s="125" t="n">
        <f aca="false">G222+$H$7</f>
        <v>3</v>
      </c>
      <c r="I222" s="124" t="n">
        <f aca="false">H222</f>
        <v>3</v>
      </c>
      <c r="J222" s="124" t="n">
        <f aca="false">VLOOKUP($A222,Table,MATCH(J$4,Curves,0))</f>
        <v>4</v>
      </c>
      <c r="K222" s="125" t="n">
        <f aca="false">J222+$K$7</f>
        <v>4</v>
      </c>
      <c r="L222" s="126" t="n">
        <f aca="false">K222</f>
        <v>4</v>
      </c>
      <c r="M222" s="124" t="n">
        <f aca="false">VLOOKUP($A222,Table,MATCH(M$4,Curves,0))</f>
        <v>4</v>
      </c>
      <c r="N222" s="125" t="n">
        <f aca="false">M222+$N$7</f>
        <v>4</v>
      </c>
      <c r="O222" s="126" t="n">
        <f aca="false">IF(B222&gt;0,(1000/B222*0.25)+((B222-1000)/B222*0.12),0)</f>
        <v>0</v>
      </c>
      <c r="P222" s="114"/>
      <c r="Q222" s="126" t="n">
        <f aca="false">M222+J222+G222</f>
        <v>11</v>
      </c>
      <c r="R222" s="126" t="n">
        <f aca="false">N222+K222+H222</f>
        <v>11</v>
      </c>
      <c r="S222" s="126" t="n">
        <f aca="false">O222+L222+I222</f>
        <v>7</v>
      </c>
      <c r="T222" s="127"/>
      <c r="U222" s="5" t="n">
        <f aca="false">A223-A222</f>
        <v>31</v>
      </c>
      <c r="V222" s="128" t="n">
        <f aca="false">CHOOSE(F$3,A223+24,A222)</f>
        <v>43739</v>
      </c>
      <c r="W222" s="5" t="n">
        <f aca="false">V222-C$3</f>
        <v>6508</v>
      </c>
      <c r="X222" s="124" t="n">
        <f aca="false">VLOOKUP($A222,Table,MATCH(X$4,Curves,0))</f>
        <v>2</v>
      </c>
      <c r="Y222" s="129" t="n">
        <f aca="false">1/(1+CHOOSE(F$3,(X223+($K$3/10000))/2,(X222+($K$3/10000))/2))^(2*W222/365.25)</f>
        <v>1.87299000191987E-011</v>
      </c>
      <c r="Z222" s="5" t="n">
        <f aca="false">IF(AND(mthbeg&lt;=A222,mthend&gt;=A222),1,0)</f>
        <v>0</v>
      </c>
      <c r="AA222" s="5" t="n">
        <f aca="false">U222*Z222</f>
        <v>0</v>
      </c>
      <c r="AC222" s="115" t="n">
        <f aca="false">IF(G215=2,F222*(S222-Q222),F222*(Q222-S222))</f>
        <v>0</v>
      </c>
      <c r="AE222" s="116" t="n">
        <f aca="false">IF($G$3=1,F222*(R222-Q222),F222*(Q222-R222))</f>
        <v>0</v>
      </c>
      <c r="AG222" s="116" t="n">
        <f aca="false">AC222+AE222</f>
        <v>0</v>
      </c>
    </row>
    <row r="223" customFormat="false" ht="12" hidden="false" customHeight="true" outlineLevel="0" collapsed="false">
      <c r="A223" s="120" t="n">
        <f aca="false">EDATE(A222,1)</f>
        <v>43770</v>
      </c>
      <c r="B223" s="121" t="n">
        <v>0</v>
      </c>
      <c r="C223" s="122"/>
      <c r="D223" s="123" t="n">
        <f aca="false">B223+C223</f>
        <v>0</v>
      </c>
      <c r="E223" s="111" t="n">
        <f aca="false">IF(Z223=0,0,IF(AND(Z223=1,$H$3=1),D223*U223,IF($H$3=2,D223,"N/A")))</f>
        <v>0</v>
      </c>
      <c r="F223" s="111" t="n">
        <f aca="false">E223*Y223</f>
        <v>0</v>
      </c>
      <c r="G223" s="124" t="n">
        <f aca="false">VLOOKUP($A223,Table,MATCH(G$4,Curves,0))</f>
        <v>3</v>
      </c>
      <c r="H223" s="125" t="n">
        <f aca="false">G223+$H$7</f>
        <v>3</v>
      </c>
      <c r="I223" s="124" t="n">
        <f aca="false">H223</f>
        <v>3</v>
      </c>
      <c r="J223" s="124" t="n">
        <f aca="false">VLOOKUP($A223,Table,MATCH(J$4,Curves,0))</f>
        <v>4</v>
      </c>
      <c r="K223" s="125" t="n">
        <f aca="false">J223+$K$7</f>
        <v>4</v>
      </c>
      <c r="L223" s="126" t="n">
        <f aca="false">K223</f>
        <v>4</v>
      </c>
      <c r="M223" s="124" t="n">
        <f aca="false">VLOOKUP($A223,Table,MATCH(M$4,Curves,0))</f>
        <v>4</v>
      </c>
      <c r="N223" s="125" t="n">
        <f aca="false">M223+$N$7</f>
        <v>4</v>
      </c>
      <c r="O223" s="126" t="n">
        <f aca="false">IF(B223&gt;0,(1000/B223*0.25)+((B223-1000)/B223*0.12),0)</f>
        <v>0</v>
      </c>
      <c r="P223" s="114"/>
      <c r="Q223" s="126" t="n">
        <f aca="false">M223+J223+G223</f>
        <v>11</v>
      </c>
      <c r="R223" s="126" t="n">
        <f aca="false">N223+K223+H223</f>
        <v>11</v>
      </c>
      <c r="S223" s="126" t="n">
        <f aca="false">O223+L223+I223</f>
        <v>7</v>
      </c>
      <c r="T223" s="127"/>
      <c r="U223" s="5" t="n">
        <f aca="false">A224-A223</f>
        <v>30</v>
      </c>
      <c r="V223" s="128" t="n">
        <f aca="false">CHOOSE(F$3,A224+24,A223)</f>
        <v>43770</v>
      </c>
      <c r="W223" s="5" t="n">
        <f aca="false">V223-C$3</f>
        <v>6539</v>
      </c>
      <c r="X223" s="124" t="n">
        <f aca="false">VLOOKUP($A223,Table,MATCH(X$4,Curves,0))</f>
        <v>2</v>
      </c>
      <c r="Y223" s="129" t="n">
        <f aca="false">1/(1+CHOOSE(F$3,(X224+($K$3/10000))/2,(X223+($K$3/10000))/2))^(2*W223/365.25)</f>
        <v>1.66508571918797E-011</v>
      </c>
      <c r="Z223" s="5" t="n">
        <f aca="false">IF(AND(mthbeg&lt;=A223,mthend&gt;=A223),1,0)</f>
        <v>0</v>
      </c>
      <c r="AA223" s="5" t="n">
        <f aca="false">U223*Z223</f>
        <v>0</v>
      </c>
      <c r="AC223" s="115" t="n">
        <f aca="false">IF(G216=2,F223*(S223-Q223),F223*(Q223-S223))</f>
        <v>0</v>
      </c>
      <c r="AE223" s="116" t="n">
        <f aca="false">IF($G$3=1,F223*(R223-Q223),F223*(Q223-R223))</f>
        <v>0</v>
      </c>
      <c r="AG223" s="116" t="n">
        <f aca="false">AC223+AE223</f>
        <v>0</v>
      </c>
    </row>
    <row r="224" customFormat="false" ht="12" hidden="false" customHeight="true" outlineLevel="0" collapsed="false">
      <c r="A224" s="120" t="n">
        <f aca="false">EDATE(A223,1)</f>
        <v>43800</v>
      </c>
      <c r="B224" s="121" t="n">
        <v>0</v>
      </c>
      <c r="C224" s="122"/>
      <c r="D224" s="123" t="n">
        <f aca="false">B224+C224</f>
        <v>0</v>
      </c>
      <c r="E224" s="111" t="n">
        <f aca="false">IF(Z224=0,0,IF(AND(Z224=1,$H$3=1),D224*U224,IF($H$3=2,D224,"N/A")))</f>
        <v>0</v>
      </c>
      <c r="F224" s="111" t="n">
        <f aca="false">E224*Y224</f>
        <v>0</v>
      </c>
      <c r="G224" s="124" t="n">
        <f aca="false">VLOOKUP($A224,Table,MATCH(G$4,Curves,0))</f>
        <v>3</v>
      </c>
      <c r="H224" s="125" t="n">
        <f aca="false">G224+$H$7</f>
        <v>3</v>
      </c>
      <c r="I224" s="124" t="n">
        <f aca="false">H224</f>
        <v>3</v>
      </c>
      <c r="J224" s="124" t="n">
        <f aca="false">VLOOKUP($A224,Table,MATCH(J$4,Curves,0))</f>
        <v>4</v>
      </c>
      <c r="K224" s="125" t="n">
        <f aca="false">J224+$K$7</f>
        <v>4</v>
      </c>
      <c r="L224" s="126" t="n">
        <f aca="false">K224</f>
        <v>4</v>
      </c>
      <c r="M224" s="124" t="n">
        <f aca="false">VLOOKUP($A224,Table,MATCH(M$4,Curves,0))</f>
        <v>4</v>
      </c>
      <c r="N224" s="125" t="n">
        <f aca="false">M224+$N$7</f>
        <v>4</v>
      </c>
      <c r="O224" s="126" t="n">
        <f aca="false">IF(B224&gt;0,(1000/B224*0.25)+((B224-1000)/B224*0.12),0)</f>
        <v>0</v>
      </c>
      <c r="P224" s="114"/>
      <c r="Q224" s="126" t="n">
        <f aca="false">M224+J224+G224</f>
        <v>11</v>
      </c>
      <c r="R224" s="126" t="n">
        <f aca="false">N224+K224+H224</f>
        <v>11</v>
      </c>
      <c r="S224" s="126" t="n">
        <f aca="false">O224+L224+I224</f>
        <v>7</v>
      </c>
      <c r="T224" s="127"/>
      <c r="U224" s="5" t="n">
        <f aca="false">A225-A224</f>
        <v>31</v>
      </c>
      <c r="V224" s="128" t="n">
        <f aca="false">CHOOSE(F$3,A225+24,A224)</f>
        <v>43800</v>
      </c>
      <c r="W224" s="5" t="n">
        <f aca="false">V224-C$3</f>
        <v>6569</v>
      </c>
      <c r="X224" s="124" t="n">
        <f aca="false">VLOOKUP($A224,Table,MATCH(X$4,Curves,0))</f>
        <v>2</v>
      </c>
      <c r="Y224" s="129" t="n">
        <f aca="false">1/(1+CHOOSE(F$3,(X225+($K$3/10000))/2,(X224+($K$3/10000))/2))^(2*W224/365.25)</f>
        <v>1.48588802754145E-011</v>
      </c>
      <c r="Z224" s="5" t="n">
        <f aca="false">IF(AND(mthbeg&lt;=A224,mthend&gt;=A224),1,0)</f>
        <v>0</v>
      </c>
      <c r="AA224" s="5" t="n">
        <f aca="false">U224*Z224</f>
        <v>0</v>
      </c>
      <c r="AC224" s="115" t="n">
        <f aca="false">IF(G217=2,F224*(S224-Q224),F224*(Q224-S224))</f>
        <v>0</v>
      </c>
      <c r="AE224" s="116" t="n">
        <f aca="false">IF($G$3=1,F224*(R224-Q224),F224*(Q224-R224))</f>
        <v>0</v>
      </c>
      <c r="AG224" s="116" t="n">
        <f aca="false">AC224+AE224</f>
        <v>0</v>
      </c>
    </row>
    <row r="225" customFormat="false" ht="12" hidden="false" customHeight="true" outlineLevel="0" collapsed="false">
      <c r="A225" s="120" t="n">
        <f aca="false">EDATE(A224,1)</f>
        <v>43831</v>
      </c>
      <c r="B225" s="121" t="n">
        <v>0</v>
      </c>
      <c r="C225" s="122"/>
      <c r="D225" s="123" t="n">
        <f aca="false">B225+C225</f>
        <v>0</v>
      </c>
      <c r="E225" s="111" t="n">
        <f aca="false">IF(Z225=0,0,IF(AND(Z225=1,$H$3=1),D225*U225,IF($H$3=2,D225,"N/A")))</f>
        <v>0</v>
      </c>
      <c r="F225" s="111" t="n">
        <f aca="false">E225*Y225</f>
        <v>0</v>
      </c>
      <c r="G225" s="124" t="n">
        <f aca="false">VLOOKUP($A225,Table,MATCH(G$4,Curves,0))</f>
        <v>3</v>
      </c>
      <c r="H225" s="125" t="n">
        <f aca="false">G225+$H$7</f>
        <v>3</v>
      </c>
      <c r="I225" s="124" t="n">
        <f aca="false">H225</f>
        <v>3</v>
      </c>
      <c r="J225" s="124" t="n">
        <f aca="false">VLOOKUP($A225,Table,MATCH(J$4,Curves,0))</f>
        <v>4</v>
      </c>
      <c r="K225" s="125" t="n">
        <f aca="false">J225+$K$7</f>
        <v>4</v>
      </c>
      <c r="L225" s="126" t="n">
        <f aca="false">K225</f>
        <v>4</v>
      </c>
      <c r="M225" s="124" t="n">
        <f aca="false">VLOOKUP($A225,Table,MATCH(M$4,Curves,0))</f>
        <v>4</v>
      </c>
      <c r="N225" s="125" t="n">
        <f aca="false">M225+$N$7</f>
        <v>4</v>
      </c>
      <c r="O225" s="126" t="n">
        <f aca="false">IF(B225&gt;0,(1000/B225*0.25)+((B225-1000)/B225*0.12),0)</f>
        <v>0</v>
      </c>
      <c r="P225" s="114"/>
      <c r="Q225" s="126" t="n">
        <f aca="false">M225+J225+G225</f>
        <v>11</v>
      </c>
      <c r="R225" s="126" t="n">
        <f aca="false">N225+K225+H225</f>
        <v>11</v>
      </c>
      <c r="S225" s="126" t="n">
        <f aca="false">O225+L225+I225</f>
        <v>7</v>
      </c>
      <c r="T225" s="127"/>
      <c r="U225" s="5" t="n">
        <f aca="false">A226-A225</f>
        <v>31</v>
      </c>
      <c r="V225" s="128" t="n">
        <f aca="false">CHOOSE(F$3,A226+24,A225)</f>
        <v>43831</v>
      </c>
      <c r="W225" s="5" t="n">
        <f aca="false">V225-C$3</f>
        <v>6600</v>
      </c>
      <c r="X225" s="124" t="n">
        <f aca="false">VLOOKUP($A225,Table,MATCH(X$4,Curves,0))</f>
        <v>2</v>
      </c>
      <c r="Y225" s="129" t="n">
        <f aca="false">1/(1+CHOOSE(F$3,(X226+($K$3/10000))/2,(X225+($K$3/10000))/2))^(2*W225/365.25)</f>
        <v>1.32095255844162E-011</v>
      </c>
      <c r="Z225" s="5" t="n">
        <f aca="false">IF(AND(mthbeg&lt;=A225,mthend&gt;=A225),1,0)</f>
        <v>0</v>
      </c>
      <c r="AA225" s="5" t="n">
        <f aca="false">U225*Z225</f>
        <v>0</v>
      </c>
      <c r="AC225" s="115" t="n">
        <f aca="false">IF(G218=2,F225*(S225-Q225),F225*(Q225-S225))</f>
        <v>0</v>
      </c>
      <c r="AE225" s="116" t="n">
        <f aca="false">IF($G$3=1,F225*(R225-Q225),F225*(Q225-R225))</f>
        <v>0</v>
      </c>
      <c r="AG225" s="116" t="n">
        <f aca="false">AC225+AE225</f>
        <v>0</v>
      </c>
    </row>
    <row r="226" customFormat="false" ht="12" hidden="false" customHeight="true" outlineLevel="0" collapsed="false">
      <c r="A226" s="120" t="n">
        <f aca="false">EDATE(A225,1)</f>
        <v>43862</v>
      </c>
      <c r="B226" s="121" t="n">
        <v>0</v>
      </c>
      <c r="C226" s="122"/>
      <c r="D226" s="123" t="n">
        <f aca="false">B226+C226</f>
        <v>0</v>
      </c>
      <c r="E226" s="111" t="n">
        <f aca="false">IF(Z226=0,0,IF(AND(Z226=1,$H$3=1),D226*U226,IF($H$3=2,D226,"N/A")))</f>
        <v>0</v>
      </c>
      <c r="F226" s="111" t="n">
        <f aca="false">E226*Y226</f>
        <v>0</v>
      </c>
      <c r="G226" s="124" t="n">
        <f aca="false">VLOOKUP($A226,Table,MATCH(G$4,Curves,0))</f>
        <v>3</v>
      </c>
      <c r="H226" s="125" t="n">
        <f aca="false">G226+$H$7</f>
        <v>3</v>
      </c>
      <c r="I226" s="124" t="n">
        <f aca="false">H226</f>
        <v>3</v>
      </c>
      <c r="J226" s="124" t="n">
        <f aca="false">VLOOKUP($A226,Table,MATCH(J$4,Curves,0))</f>
        <v>4</v>
      </c>
      <c r="K226" s="125" t="n">
        <f aca="false">J226+$K$7</f>
        <v>4</v>
      </c>
      <c r="L226" s="126" t="n">
        <f aca="false">K226</f>
        <v>4</v>
      </c>
      <c r="M226" s="124" t="n">
        <f aca="false">VLOOKUP($A226,Table,MATCH(M$4,Curves,0))</f>
        <v>4</v>
      </c>
      <c r="N226" s="125" t="n">
        <f aca="false">M226+$N$7</f>
        <v>4</v>
      </c>
      <c r="O226" s="126" t="n">
        <f aca="false">IF(B226&gt;0,(1000/B226*0.25)+((B226-1000)/B226*0.12),0)</f>
        <v>0</v>
      </c>
      <c r="P226" s="114"/>
      <c r="Q226" s="126" t="n">
        <f aca="false">M226+J226+G226</f>
        <v>11</v>
      </c>
      <c r="R226" s="126" t="n">
        <f aca="false">N226+K226+H226</f>
        <v>11</v>
      </c>
      <c r="S226" s="126" t="n">
        <f aca="false">O226+L226+I226</f>
        <v>7</v>
      </c>
      <c r="T226" s="127"/>
      <c r="U226" s="5" t="n">
        <f aca="false">A227-A226</f>
        <v>29</v>
      </c>
      <c r="V226" s="128" t="n">
        <f aca="false">CHOOSE(F$3,A227+24,A226)</f>
        <v>43862</v>
      </c>
      <c r="W226" s="5" t="n">
        <f aca="false">V226-C$3</f>
        <v>6631</v>
      </c>
      <c r="X226" s="124" t="n">
        <f aca="false">VLOOKUP($A226,Table,MATCH(X$4,Curves,0))</f>
        <v>2</v>
      </c>
      <c r="Y226" s="129" t="n">
        <f aca="false">1/(1+CHOOSE(F$3,(X227+($K$3/10000))/2,(X226+($K$3/10000))/2))^(2*W226/365.25)</f>
        <v>1.17432513709705E-011</v>
      </c>
      <c r="Z226" s="5" t="n">
        <f aca="false">IF(AND(mthbeg&lt;=A226,mthend&gt;=A226),1,0)</f>
        <v>0</v>
      </c>
      <c r="AA226" s="5" t="n">
        <f aca="false">U226*Z226</f>
        <v>0</v>
      </c>
      <c r="AC226" s="115" t="n">
        <f aca="false">IF(G219=2,F226*(S226-Q226),F226*(Q226-S226))</f>
        <v>0</v>
      </c>
      <c r="AE226" s="116" t="n">
        <f aca="false">IF($G$3=1,F226*(R226-Q226),F226*(Q226-R226))</f>
        <v>0</v>
      </c>
      <c r="AG226" s="116" t="n">
        <f aca="false">AC226+AE226</f>
        <v>0</v>
      </c>
    </row>
    <row r="227" customFormat="false" ht="12" hidden="false" customHeight="true" outlineLevel="0" collapsed="false">
      <c r="A227" s="120" t="n">
        <f aca="false">EDATE(A226,1)</f>
        <v>43891</v>
      </c>
      <c r="B227" s="121" t="n">
        <v>0</v>
      </c>
      <c r="C227" s="122"/>
      <c r="D227" s="123" t="n">
        <f aca="false">B227+C227</f>
        <v>0</v>
      </c>
      <c r="E227" s="111" t="n">
        <f aca="false">IF(Z227=0,0,IF(AND(Z227=1,$H$3=1),D227*U227,IF($H$3=2,D227,"N/A")))</f>
        <v>0</v>
      </c>
      <c r="F227" s="111" t="n">
        <f aca="false">E227*Y227</f>
        <v>0</v>
      </c>
      <c r="G227" s="124" t="n">
        <f aca="false">VLOOKUP($A227,Table,MATCH(G$4,Curves,0))</f>
        <v>3</v>
      </c>
      <c r="H227" s="125" t="n">
        <f aca="false">G227+$H$7</f>
        <v>3</v>
      </c>
      <c r="I227" s="124" t="n">
        <f aca="false">H227</f>
        <v>3</v>
      </c>
      <c r="J227" s="124" t="n">
        <f aca="false">VLOOKUP($A227,Table,MATCH(J$4,Curves,0))</f>
        <v>4</v>
      </c>
      <c r="K227" s="125" t="n">
        <f aca="false">J227+$K$7</f>
        <v>4</v>
      </c>
      <c r="L227" s="126" t="n">
        <f aca="false">K227</f>
        <v>4</v>
      </c>
      <c r="M227" s="124" t="n">
        <f aca="false">VLOOKUP($A227,Table,MATCH(M$4,Curves,0))</f>
        <v>4</v>
      </c>
      <c r="N227" s="125" t="n">
        <f aca="false">M227+$N$7</f>
        <v>4</v>
      </c>
      <c r="O227" s="126" t="n">
        <f aca="false">IF(B227&gt;0,(1000/B227*0.25)+((B227-1000)/B227*0.12),0)</f>
        <v>0</v>
      </c>
      <c r="P227" s="114"/>
      <c r="Q227" s="126" t="n">
        <f aca="false">M227+J227+G227</f>
        <v>11</v>
      </c>
      <c r="R227" s="126" t="n">
        <f aca="false">N227+K227+H227</f>
        <v>11</v>
      </c>
      <c r="S227" s="126" t="n">
        <f aca="false">O227+L227+I227</f>
        <v>7</v>
      </c>
      <c r="T227" s="127"/>
      <c r="U227" s="5" t="n">
        <f aca="false">A228-A227</f>
        <v>31</v>
      </c>
      <c r="V227" s="128" t="n">
        <f aca="false">CHOOSE(F$3,A228+24,A227)</f>
        <v>43891</v>
      </c>
      <c r="W227" s="5" t="n">
        <f aca="false">V227-C$3</f>
        <v>6660</v>
      </c>
      <c r="X227" s="124" t="n">
        <f aca="false">VLOOKUP($A227,Table,MATCH(X$4,Curves,0))</f>
        <v>2</v>
      </c>
      <c r="Y227" s="129" t="n">
        <f aca="false">1/(1+CHOOSE(F$3,(X228+($K$3/10000))/2,(X227+($K$3/10000))/2))^(2*W227/365.25)</f>
        <v>1.051928435658E-011</v>
      </c>
      <c r="Z227" s="5" t="n">
        <f aca="false">IF(AND(mthbeg&lt;=A227,mthend&gt;=A227),1,0)</f>
        <v>0</v>
      </c>
      <c r="AA227" s="5" t="n">
        <f aca="false">U227*Z227</f>
        <v>0</v>
      </c>
      <c r="AC227" s="115" t="n">
        <f aca="false">IF(G220=2,F227*(S227-Q227),F227*(Q227-S227))</f>
        <v>0</v>
      </c>
      <c r="AE227" s="116" t="n">
        <f aca="false">IF($G$3=1,F227*(R227-Q227),F227*(Q227-R227))</f>
        <v>0</v>
      </c>
      <c r="AG227" s="116" t="n">
        <f aca="false">AC227+AE227</f>
        <v>0</v>
      </c>
    </row>
    <row r="228" customFormat="false" ht="12" hidden="false" customHeight="true" outlineLevel="0" collapsed="false">
      <c r="A228" s="120" t="n">
        <f aca="false">EDATE(A227,1)</f>
        <v>43922</v>
      </c>
      <c r="B228" s="121" t="n">
        <v>0</v>
      </c>
      <c r="C228" s="122"/>
      <c r="D228" s="123" t="n">
        <f aca="false">B228+C228</f>
        <v>0</v>
      </c>
      <c r="E228" s="111" t="n">
        <f aca="false">IF(Z228=0,0,IF(AND(Z228=1,$H$3=1),D228*U228,IF($H$3=2,D228,"N/A")))</f>
        <v>0</v>
      </c>
      <c r="F228" s="111" t="n">
        <f aca="false">E228*Y228</f>
        <v>0</v>
      </c>
      <c r="G228" s="124" t="n">
        <f aca="false">VLOOKUP($A228,Table,MATCH(G$4,Curves,0))</f>
        <v>3</v>
      </c>
      <c r="H228" s="125" t="n">
        <f aca="false">G228+$H$7</f>
        <v>3</v>
      </c>
      <c r="I228" s="124" t="n">
        <f aca="false">H228</f>
        <v>3</v>
      </c>
      <c r="J228" s="124" t="n">
        <f aca="false">VLOOKUP($A228,Table,MATCH(J$4,Curves,0))</f>
        <v>4</v>
      </c>
      <c r="K228" s="125" t="n">
        <f aca="false">J228+$K$7</f>
        <v>4</v>
      </c>
      <c r="L228" s="126" t="n">
        <f aca="false">K228</f>
        <v>4</v>
      </c>
      <c r="M228" s="124" t="n">
        <f aca="false">VLOOKUP($A228,Table,MATCH(M$4,Curves,0))</f>
        <v>4</v>
      </c>
      <c r="N228" s="125" t="n">
        <f aca="false">M228+$N$7</f>
        <v>4</v>
      </c>
      <c r="O228" s="126" t="n">
        <f aca="false">IF(B228&gt;0,(1000/B228*0.25)+((B228-1000)/B228*0.12),0)</f>
        <v>0</v>
      </c>
      <c r="P228" s="114"/>
      <c r="Q228" s="126" t="n">
        <f aca="false">M228+J228+G228</f>
        <v>11</v>
      </c>
      <c r="R228" s="126" t="n">
        <f aca="false">N228+K228+H228</f>
        <v>11</v>
      </c>
      <c r="S228" s="126" t="n">
        <f aca="false">O228+L228+I228</f>
        <v>7</v>
      </c>
      <c r="T228" s="127"/>
      <c r="U228" s="5" t="n">
        <f aca="false">A229-A228</f>
        <v>30</v>
      </c>
      <c r="V228" s="128" t="n">
        <f aca="false">CHOOSE(F$3,A229+24,A228)</f>
        <v>43922</v>
      </c>
      <c r="W228" s="5" t="n">
        <f aca="false">V228-C$3</f>
        <v>6691</v>
      </c>
      <c r="X228" s="124" t="n">
        <f aca="false">VLOOKUP($A228,Table,MATCH(X$4,Curves,0))</f>
        <v>2</v>
      </c>
      <c r="Y228" s="129" t="n">
        <f aca="false">1/(1+CHOOSE(F$3,(X229+($K$3/10000))/2,(X228+($K$3/10000))/2))^(2*W228/365.25)</f>
        <v>9.35163035588276E-012</v>
      </c>
      <c r="Z228" s="5" t="n">
        <f aca="false">IF(AND(mthbeg&lt;=A228,mthend&gt;=A228),1,0)</f>
        <v>0</v>
      </c>
      <c r="AA228" s="5" t="n">
        <f aca="false">U228*Z228</f>
        <v>0</v>
      </c>
      <c r="AC228" s="115" t="n">
        <f aca="false">IF(G221=2,F228*(S228-Q228),F228*(Q228-S228))</f>
        <v>0</v>
      </c>
      <c r="AE228" s="116" t="n">
        <f aca="false">IF($G$3=1,F228*(R228-Q228),F228*(Q228-R228))</f>
        <v>0</v>
      </c>
      <c r="AG228" s="116" t="n">
        <f aca="false">AC228+AE228</f>
        <v>0</v>
      </c>
    </row>
    <row r="229" customFormat="false" ht="12" hidden="false" customHeight="true" outlineLevel="0" collapsed="false">
      <c r="A229" s="120" t="n">
        <f aca="false">EDATE(A228,1)</f>
        <v>43952</v>
      </c>
      <c r="B229" s="121" t="n">
        <v>0</v>
      </c>
      <c r="C229" s="122"/>
      <c r="D229" s="123" t="n">
        <f aca="false">B229+C229</f>
        <v>0</v>
      </c>
      <c r="E229" s="111" t="n">
        <f aca="false">IF(Z229=0,0,IF(AND(Z229=1,$H$3=1),D229*U229,IF($H$3=2,D229,"N/A")))</f>
        <v>0</v>
      </c>
      <c r="F229" s="111" t="n">
        <f aca="false">E229*Y229</f>
        <v>0</v>
      </c>
      <c r="G229" s="124" t="n">
        <f aca="false">VLOOKUP($A229,Table,MATCH(G$4,Curves,0))</f>
        <v>3</v>
      </c>
      <c r="H229" s="125" t="n">
        <f aca="false">G229+$H$7</f>
        <v>3</v>
      </c>
      <c r="I229" s="124" t="n">
        <f aca="false">H229</f>
        <v>3</v>
      </c>
      <c r="J229" s="124" t="n">
        <f aca="false">VLOOKUP($A229,Table,MATCH(J$4,Curves,0))</f>
        <v>4</v>
      </c>
      <c r="K229" s="125" t="n">
        <f aca="false">J229+$K$7</f>
        <v>4</v>
      </c>
      <c r="L229" s="126" t="n">
        <f aca="false">K229</f>
        <v>4</v>
      </c>
      <c r="M229" s="124" t="n">
        <f aca="false">VLOOKUP($A229,Table,MATCH(M$4,Curves,0))</f>
        <v>4</v>
      </c>
      <c r="N229" s="125" t="n">
        <f aca="false">M229+$N$7</f>
        <v>4</v>
      </c>
      <c r="O229" s="126" t="n">
        <f aca="false">IF(B229&gt;0,(1000/B229*0.25)+((B229-1000)/B229*0.12),0)</f>
        <v>0</v>
      </c>
      <c r="P229" s="114"/>
      <c r="Q229" s="126" t="n">
        <f aca="false">M229+J229+G229</f>
        <v>11</v>
      </c>
      <c r="R229" s="126" t="n">
        <f aca="false">N229+K229+H229</f>
        <v>11</v>
      </c>
      <c r="S229" s="126" t="n">
        <f aca="false">O229+L229+I229</f>
        <v>7</v>
      </c>
      <c r="T229" s="127"/>
      <c r="U229" s="5" t="n">
        <f aca="false">A230-A229</f>
        <v>31</v>
      </c>
      <c r="V229" s="128" t="n">
        <f aca="false">CHOOSE(F$3,A230+24,A229)</f>
        <v>43952</v>
      </c>
      <c r="W229" s="5" t="n">
        <f aca="false">V229-C$3</f>
        <v>6721</v>
      </c>
      <c r="X229" s="124" t="n">
        <f aca="false">VLOOKUP($A229,Table,MATCH(X$4,Curves,0))</f>
        <v>2</v>
      </c>
      <c r="Y229" s="129" t="n">
        <f aca="false">1/(1+CHOOSE(F$3,(X230+($K$3/10000))/2,(X229+($K$3/10000))/2))^(2*W229/365.25)</f>
        <v>8.34520134529526E-012</v>
      </c>
      <c r="Z229" s="5" t="n">
        <f aca="false">IF(AND(mthbeg&lt;=A229,mthend&gt;=A229),1,0)</f>
        <v>0</v>
      </c>
      <c r="AA229" s="5" t="n">
        <f aca="false">U229*Z229</f>
        <v>0</v>
      </c>
      <c r="AC229" s="115" t="n">
        <f aca="false">IF(G222=2,F229*(S229-Q229),F229*(Q229-S229))</f>
        <v>0</v>
      </c>
      <c r="AE229" s="116" t="n">
        <f aca="false">IF($G$3=1,F229*(R229-Q229),F229*(Q229-R229))</f>
        <v>0</v>
      </c>
      <c r="AG229" s="116" t="n">
        <f aca="false">AC229+AE229</f>
        <v>0</v>
      </c>
    </row>
    <row r="230" customFormat="false" ht="12" hidden="false" customHeight="true" outlineLevel="0" collapsed="false">
      <c r="A230" s="120" t="n">
        <f aca="false">EDATE(A229,1)</f>
        <v>43983</v>
      </c>
      <c r="B230" s="121" t="n">
        <v>0</v>
      </c>
      <c r="C230" s="122"/>
      <c r="D230" s="123" t="n">
        <f aca="false">B230+C230</f>
        <v>0</v>
      </c>
      <c r="E230" s="111" t="n">
        <f aca="false">IF(Z230=0,0,IF(AND(Z230=1,$H$3=1),D230*U230,IF($H$3=2,D230,"N/A")))</f>
        <v>0</v>
      </c>
      <c r="F230" s="111" t="n">
        <f aca="false">E230*Y230</f>
        <v>0</v>
      </c>
      <c r="G230" s="124" t="n">
        <f aca="false">VLOOKUP($A230,Table,MATCH(G$4,Curves,0))</f>
        <v>3</v>
      </c>
      <c r="H230" s="125" t="n">
        <f aca="false">G230+$H$7</f>
        <v>3</v>
      </c>
      <c r="I230" s="124" t="n">
        <f aca="false">H230</f>
        <v>3</v>
      </c>
      <c r="J230" s="124" t="n">
        <f aca="false">VLOOKUP($A230,Table,MATCH(J$4,Curves,0))</f>
        <v>4</v>
      </c>
      <c r="K230" s="125" t="n">
        <f aca="false">J230+$K$7</f>
        <v>4</v>
      </c>
      <c r="L230" s="126" t="n">
        <f aca="false">K230</f>
        <v>4</v>
      </c>
      <c r="M230" s="124" t="n">
        <f aca="false">VLOOKUP($A230,Table,MATCH(M$4,Curves,0))</f>
        <v>4</v>
      </c>
      <c r="N230" s="125" t="n">
        <f aca="false">M230+$N$7</f>
        <v>4</v>
      </c>
      <c r="O230" s="126" t="n">
        <f aca="false">IF(B230&gt;0,(1000/B230*0.25)+((B230-1000)/B230*0.12),0)</f>
        <v>0</v>
      </c>
      <c r="P230" s="114"/>
      <c r="Q230" s="126" t="n">
        <f aca="false">M230+J230+G230</f>
        <v>11</v>
      </c>
      <c r="R230" s="126" t="n">
        <f aca="false">N230+K230+H230</f>
        <v>11</v>
      </c>
      <c r="S230" s="126" t="n">
        <f aca="false">O230+L230+I230</f>
        <v>7</v>
      </c>
      <c r="T230" s="127"/>
      <c r="U230" s="5" t="n">
        <f aca="false">A231-A230</f>
        <v>30</v>
      </c>
      <c r="V230" s="128" t="n">
        <f aca="false">CHOOSE(F$3,A231+24,A230)</f>
        <v>43983</v>
      </c>
      <c r="W230" s="5" t="n">
        <f aca="false">V230-C$3</f>
        <v>6752</v>
      </c>
      <c r="X230" s="124" t="n">
        <f aca="false">VLOOKUP($A230,Table,MATCH(X$4,Curves,0))</f>
        <v>2</v>
      </c>
      <c r="Y230" s="129" t="n">
        <f aca="false">1/(1+CHOOSE(F$3,(X231+($K$3/10000))/2,(X230+($K$3/10000))/2))^(2*W230/365.25)</f>
        <v>7.41887333597939E-012</v>
      </c>
      <c r="Z230" s="5" t="n">
        <f aca="false">IF(AND(mthbeg&lt;=A230,mthend&gt;=A230),1,0)</f>
        <v>0</v>
      </c>
      <c r="AA230" s="5" t="n">
        <f aca="false">U230*Z230</f>
        <v>0</v>
      </c>
      <c r="AC230" s="115" t="n">
        <f aca="false">IF(G223=2,F230*(S230-Q230),F230*(Q230-S230))</f>
        <v>0</v>
      </c>
      <c r="AE230" s="116" t="n">
        <f aca="false">IF($G$3=1,F230*(R230-Q230),F230*(Q230-R230))</f>
        <v>0</v>
      </c>
      <c r="AG230" s="116" t="n">
        <f aca="false">AC230+AE230</f>
        <v>0</v>
      </c>
    </row>
    <row r="231" customFormat="false" ht="12" hidden="false" customHeight="true" outlineLevel="0" collapsed="false">
      <c r="A231" s="120" t="n">
        <f aca="false">EDATE(A230,1)</f>
        <v>44013</v>
      </c>
      <c r="B231" s="121" t="n">
        <v>0</v>
      </c>
      <c r="C231" s="122"/>
      <c r="D231" s="123" t="n">
        <f aca="false">B231+C231</f>
        <v>0</v>
      </c>
      <c r="E231" s="111" t="n">
        <f aca="false">IF(Z231=0,0,IF(AND(Z231=1,$H$3=1),D231*U231,IF($H$3=2,D231,"N/A")))</f>
        <v>0</v>
      </c>
      <c r="F231" s="111" t="n">
        <f aca="false">E231*Y231</f>
        <v>0</v>
      </c>
      <c r="G231" s="124" t="n">
        <f aca="false">VLOOKUP($A231,Table,MATCH(G$4,Curves,0))</f>
        <v>3</v>
      </c>
      <c r="H231" s="125" t="n">
        <f aca="false">G231+$H$7</f>
        <v>3</v>
      </c>
      <c r="I231" s="124" t="n">
        <f aca="false">H231</f>
        <v>3</v>
      </c>
      <c r="J231" s="124" t="n">
        <f aca="false">VLOOKUP($A231,Table,MATCH(J$4,Curves,0))</f>
        <v>4</v>
      </c>
      <c r="K231" s="125" t="n">
        <f aca="false">J231+$K$7</f>
        <v>4</v>
      </c>
      <c r="L231" s="126" t="n">
        <f aca="false">K231</f>
        <v>4</v>
      </c>
      <c r="M231" s="124" t="n">
        <f aca="false">VLOOKUP($A231,Table,MATCH(M$4,Curves,0))</f>
        <v>4</v>
      </c>
      <c r="N231" s="125" t="n">
        <f aca="false">M231+$N$7</f>
        <v>4</v>
      </c>
      <c r="O231" s="126" t="n">
        <f aca="false">IF(B231&gt;0,(1000/B231*0.25)+((B231-1000)/B231*0.12),0)</f>
        <v>0</v>
      </c>
      <c r="P231" s="114"/>
      <c r="Q231" s="126" t="n">
        <f aca="false">M231+J231+G231</f>
        <v>11</v>
      </c>
      <c r="R231" s="126" t="n">
        <f aca="false">N231+K231+H231</f>
        <v>11</v>
      </c>
      <c r="S231" s="126" t="n">
        <f aca="false">O231+L231+I231</f>
        <v>7</v>
      </c>
      <c r="T231" s="127"/>
      <c r="U231" s="5" t="n">
        <f aca="false">A232-A231</f>
        <v>31</v>
      </c>
      <c r="V231" s="128" t="n">
        <f aca="false">CHOOSE(F$3,A232+24,A231)</f>
        <v>44013</v>
      </c>
      <c r="W231" s="5" t="n">
        <f aca="false">V231-C$3</f>
        <v>6782</v>
      </c>
      <c r="X231" s="124" t="n">
        <f aca="false">VLOOKUP($A231,Table,MATCH(X$4,Curves,0))</f>
        <v>2</v>
      </c>
      <c r="Y231" s="129" t="n">
        <f aca="false">1/(1+CHOOSE(F$3,(X232+($K$3/10000))/2,(X231+($K$3/10000))/2))^(2*W231/365.25)</f>
        <v>6.62044898995009E-012</v>
      </c>
      <c r="Z231" s="5" t="n">
        <f aca="false">IF(AND(mthbeg&lt;=A231,mthend&gt;=A231),1,0)</f>
        <v>0</v>
      </c>
      <c r="AA231" s="5" t="n">
        <f aca="false">U231*Z231</f>
        <v>0</v>
      </c>
      <c r="AC231" s="115" t="n">
        <f aca="false">IF(G224=2,F231*(S231-Q231),F231*(Q231-S231))</f>
        <v>0</v>
      </c>
      <c r="AE231" s="116" t="n">
        <f aca="false">IF($G$3=1,F231*(R231-Q231),F231*(Q231-R231))</f>
        <v>0</v>
      </c>
      <c r="AG231" s="116" t="n">
        <f aca="false">AC231+AE231</f>
        <v>0</v>
      </c>
    </row>
    <row r="232" customFormat="false" ht="12" hidden="false" customHeight="true" outlineLevel="0" collapsed="false">
      <c r="A232" s="120" t="n">
        <f aca="false">EDATE(A231,1)</f>
        <v>44044</v>
      </c>
      <c r="B232" s="121" t="n">
        <v>0</v>
      </c>
      <c r="C232" s="122"/>
      <c r="D232" s="123" t="n">
        <f aca="false">B232+C232</f>
        <v>0</v>
      </c>
      <c r="E232" s="111" t="n">
        <f aca="false">IF(Z232=0,0,IF(AND(Z232=1,$H$3=1),D232*U232,IF($H$3=2,D232,"N/A")))</f>
        <v>0</v>
      </c>
      <c r="F232" s="111" t="n">
        <f aca="false">E232*Y232</f>
        <v>0</v>
      </c>
      <c r="G232" s="124" t="n">
        <f aca="false">VLOOKUP($A232,Table,MATCH(G$4,Curves,0))</f>
        <v>3</v>
      </c>
      <c r="H232" s="125" t="n">
        <f aca="false">G232+$H$7</f>
        <v>3</v>
      </c>
      <c r="I232" s="124" t="n">
        <f aca="false">H232</f>
        <v>3</v>
      </c>
      <c r="J232" s="124" t="n">
        <f aca="false">VLOOKUP($A232,Table,MATCH(J$4,Curves,0))</f>
        <v>4</v>
      </c>
      <c r="K232" s="125" t="n">
        <f aca="false">J232+$K$7</f>
        <v>4</v>
      </c>
      <c r="L232" s="126" t="n">
        <f aca="false">K232</f>
        <v>4</v>
      </c>
      <c r="M232" s="124" t="n">
        <f aca="false">VLOOKUP($A232,Table,MATCH(M$4,Curves,0))</f>
        <v>4</v>
      </c>
      <c r="N232" s="125" t="n">
        <f aca="false">M232+$N$7</f>
        <v>4</v>
      </c>
      <c r="O232" s="126" t="n">
        <f aca="false">IF(B232&gt;0,(1000/B232*0.25)+((B232-1000)/B232*0.12),0)</f>
        <v>0</v>
      </c>
      <c r="P232" s="114"/>
      <c r="Q232" s="126" t="n">
        <f aca="false">M232+J232+G232</f>
        <v>11</v>
      </c>
      <c r="R232" s="126" t="n">
        <f aca="false">N232+K232+H232</f>
        <v>11</v>
      </c>
      <c r="S232" s="126" t="n">
        <f aca="false">O232+L232+I232</f>
        <v>7</v>
      </c>
      <c r="T232" s="127"/>
      <c r="U232" s="5" t="n">
        <f aca="false">A233-A232</f>
        <v>31</v>
      </c>
      <c r="V232" s="128" t="n">
        <f aca="false">CHOOSE(F$3,A233+24,A232)</f>
        <v>44044</v>
      </c>
      <c r="W232" s="5" t="n">
        <f aca="false">V232-C$3</f>
        <v>6813</v>
      </c>
      <c r="X232" s="124" t="n">
        <f aca="false">VLOOKUP($A232,Table,MATCH(X$4,Curves,0))</f>
        <v>2</v>
      </c>
      <c r="Y232" s="129" t="n">
        <f aca="false">1/(1+CHOOSE(F$3,(X233+($K$3/10000))/2,(X232+($K$3/10000))/2))^(2*W232/365.25)</f>
        <v>5.88557069524062E-012</v>
      </c>
      <c r="Z232" s="5" t="n">
        <f aca="false">IF(AND(mthbeg&lt;=A232,mthend&gt;=A232),1,0)</f>
        <v>0</v>
      </c>
      <c r="AA232" s="5" t="n">
        <f aca="false">U232*Z232</f>
        <v>0</v>
      </c>
      <c r="AC232" s="115" t="n">
        <f aca="false">IF(G225=2,F232*(S232-Q232),F232*(Q232-S232))</f>
        <v>0</v>
      </c>
      <c r="AE232" s="116" t="n">
        <f aca="false">IF($G$3=1,F232*(R232-Q232),F232*(Q232-R232))</f>
        <v>0</v>
      </c>
      <c r="AG232" s="116" t="n">
        <f aca="false">AC232+AE232</f>
        <v>0</v>
      </c>
    </row>
    <row r="233" customFormat="false" ht="12" hidden="false" customHeight="true" outlineLevel="0" collapsed="false">
      <c r="A233" s="120" t="n">
        <f aca="false">EDATE(A232,1)</f>
        <v>44075</v>
      </c>
      <c r="B233" s="121" t="n">
        <v>0</v>
      </c>
      <c r="C233" s="122"/>
      <c r="D233" s="123" t="n">
        <f aca="false">B233+C233</f>
        <v>0</v>
      </c>
      <c r="E233" s="111" t="n">
        <f aca="false">IF(Z233=0,0,IF(AND(Z233=1,$H$3=1),D233*U233,IF($H$3=2,D233,"N/A")))</f>
        <v>0</v>
      </c>
      <c r="F233" s="111" t="n">
        <f aca="false">E233*Y233</f>
        <v>0</v>
      </c>
      <c r="G233" s="124" t="n">
        <f aca="false">VLOOKUP($A233,Table,MATCH(G$4,Curves,0))</f>
        <v>3</v>
      </c>
      <c r="H233" s="125" t="n">
        <f aca="false">G233+$H$7</f>
        <v>3</v>
      </c>
      <c r="I233" s="124" t="n">
        <f aca="false">H233</f>
        <v>3</v>
      </c>
      <c r="J233" s="124" t="n">
        <f aca="false">VLOOKUP($A233,Table,MATCH(J$4,Curves,0))</f>
        <v>4</v>
      </c>
      <c r="K233" s="125" t="n">
        <f aca="false">J233+$K$7</f>
        <v>4</v>
      </c>
      <c r="L233" s="126" t="n">
        <f aca="false">K233</f>
        <v>4</v>
      </c>
      <c r="M233" s="124" t="n">
        <f aca="false">VLOOKUP($A233,Table,MATCH(M$4,Curves,0))</f>
        <v>4</v>
      </c>
      <c r="N233" s="125" t="n">
        <f aca="false">M233+$N$7</f>
        <v>4</v>
      </c>
      <c r="O233" s="126" t="n">
        <f aca="false">IF(B233&gt;0,(1000/B233*0.25)+((B233-1000)/B233*0.12),0)</f>
        <v>0</v>
      </c>
      <c r="P233" s="114"/>
      <c r="Q233" s="126" t="n">
        <f aca="false">M233+J233+G233</f>
        <v>11</v>
      </c>
      <c r="R233" s="126" t="n">
        <f aca="false">N233+K233+H233</f>
        <v>11</v>
      </c>
      <c r="S233" s="126" t="n">
        <f aca="false">O233+L233+I233</f>
        <v>7</v>
      </c>
      <c r="T233" s="127"/>
      <c r="U233" s="5" t="n">
        <f aca="false">A234-A233</f>
        <v>30</v>
      </c>
      <c r="V233" s="128" t="n">
        <f aca="false">CHOOSE(F$3,A234+24,A233)</f>
        <v>44075</v>
      </c>
      <c r="W233" s="5" t="n">
        <f aca="false">V233-C$3</f>
        <v>6844</v>
      </c>
      <c r="X233" s="124" t="n">
        <f aca="false">VLOOKUP($A233,Table,MATCH(X$4,Curves,0))</f>
        <v>2</v>
      </c>
      <c r="Y233" s="129" t="n">
        <f aca="false">1/(1+CHOOSE(F$3,(X234+($K$3/10000))/2,(X233+($K$3/10000))/2))^(2*W233/365.25)</f>
        <v>5.23226482996228E-012</v>
      </c>
      <c r="Z233" s="5" t="n">
        <f aca="false">IF(AND(mthbeg&lt;=A233,mthend&gt;=A233),1,0)</f>
        <v>0</v>
      </c>
      <c r="AA233" s="5" t="n">
        <f aca="false">U233*Z233</f>
        <v>0</v>
      </c>
      <c r="AC233" s="115" t="n">
        <f aca="false">IF(G226=2,F233*(S233-Q233),F233*(Q233-S233))</f>
        <v>0</v>
      </c>
      <c r="AE233" s="116" t="n">
        <f aca="false">IF($G$3=1,F233*(R233-Q233),F233*(Q233-R233))</f>
        <v>0</v>
      </c>
      <c r="AG233" s="116" t="n">
        <f aca="false">AC233+AE233</f>
        <v>0</v>
      </c>
    </row>
    <row r="234" customFormat="false" ht="12" hidden="false" customHeight="true" outlineLevel="0" collapsed="false">
      <c r="A234" s="120" t="n">
        <f aca="false">EDATE(A233,1)</f>
        <v>44105</v>
      </c>
      <c r="B234" s="121" t="n">
        <v>0</v>
      </c>
      <c r="C234" s="122"/>
      <c r="D234" s="123" t="n">
        <f aca="false">B234+C234</f>
        <v>0</v>
      </c>
      <c r="E234" s="111" t="n">
        <f aca="false">IF(Z234=0,0,IF(AND(Z234=1,$H$3=1),D234*U234,IF($H$3=2,D234,"N/A")))</f>
        <v>0</v>
      </c>
      <c r="F234" s="111" t="n">
        <f aca="false">E234*Y234</f>
        <v>0</v>
      </c>
      <c r="G234" s="124" t="n">
        <f aca="false">VLOOKUP($A234,Table,MATCH(G$4,Curves,0))</f>
        <v>3</v>
      </c>
      <c r="H234" s="125" t="n">
        <f aca="false">G234+$H$7</f>
        <v>3</v>
      </c>
      <c r="I234" s="124" t="n">
        <f aca="false">H234</f>
        <v>3</v>
      </c>
      <c r="J234" s="124" t="n">
        <f aca="false">VLOOKUP($A234,Table,MATCH(J$4,Curves,0))</f>
        <v>4</v>
      </c>
      <c r="K234" s="125" t="n">
        <f aca="false">J234+$K$7</f>
        <v>4</v>
      </c>
      <c r="L234" s="126" t="n">
        <f aca="false">K234</f>
        <v>4</v>
      </c>
      <c r="M234" s="124" t="n">
        <f aca="false">VLOOKUP($A234,Table,MATCH(M$4,Curves,0))</f>
        <v>4</v>
      </c>
      <c r="N234" s="125" t="n">
        <f aca="false">M234+$N$7</f>
        <v>4</v>
      </c>
      <c r="O234" s="126" t="n">
        <f aca="false">IF(B234&gt;0,(1000/B234*0.25)+((B234-1000)/B234*0.12),0)</f>
        <v>0</v>
      </c>
      <c r="P234" s="114"/>
      <c r="Q234" s="126" t="n">
        <f aca="false">M234+J234+G234</f>
        <v>11</v>
      </c>
      <c r="R234" s="126" t="n">
        <f aca="false">N234+K234+H234</f>
        <v>11</v>
      </c>
      <c r="S234" s="126" t="n">
        <f aca="false">O234+L234+I234</f>
        <v>7</v>
      </c>
      <c r="T234" s="127"/>
      <c r="U234" s="5" t="n">
        <f aca="false">A235-A234</f>
        <v>31</v>
      </c>
      <c r="V234" s="128" t="n">
        <f aca="false">CHOOSE(F$3,A235+24,A234)</f>
        <v>44105</v>
      </c>
      <c r="W234" s="5" t="n">
        <f aca="false">V234-C$3</f>
        <v>6874</v>
      </c>
      <c r="X234" s="124" t="n">
        <f aca="false">VLOOKUP($A234,Table,MATCH(X$4,Curves,0))</f>
        <v>2</v>
      </c>
      <c r="Y234" s="129" t="n">
        <f aca="false">1/(1+CHOOSE(F$3,(X235+($K$3/10000))/2,(X234+($K$3/10000))/2))^(2*W234/365.25)</f>
        <v>4.66916482327328E-012</v>
      </c>
      <c r="Z234" s="5" t="n">
        <f aca="false">IF(AND(mthbeg&lt;=A234,mthend&gt;=A234),1,0)</f>
        <v>0</v>
      </c>
      <c r="AA234" s="5" t="n">
        <f aca="false">U234*Z234</f>
        <v>0</v>
      </c>
      <c r="AC234" s="115" t="n">
        <f aca="false">IF(G227=2,F234*(S234-Q234),F234*(Q234-S234))</f>
        <v>0</v>
      </c>
      <c r="AE234" s="116" t="n">
        <f aca="false">IF($G$3=1,F234*(R234-Q234),F234*(Q234-R234))</f>
        <v>0</v>
      </c>
      <c r="AG234" s="116" t="n">
        <f aca="false">AC234+AE234</f>
        <v>0</v>
      </c>
    </row>
    <row r="235" customFormat="false" ht="12" hidden="false" customHeight="true" outlineLevel="0" collapsed="false">
      <c r="A235" s="120" t="n">
        <f aca="false">EDATE(A234,1)</f>
        <v>44136</v>
      </c>
      <c r="B235" s="121" t="n">
        <v>0</v>
      </c>
      <c r="C235" s="122"/>
      <c r="D235" s="123" t="n">
        <f aca="false">B235+C235</f>
        <v>0</v>
      </c>
      <c r="E235" s="111" t="n">
        <f aca="false">IF(Z235=0,0,IF(AND(Z235=1,$H$3=1),D235*U235,IF($H$3=2,D235,"N/A")))</f>
        <v>0</v>
      </c>
      <c r="F235" s="111" t="n">
        <f aca="false">E235*Y235</f>
        <v>0</v>
      </c>
      <c r="G235" s="124" t="n">
        <f aca="false">VLOOKUP($A235,Table,MATCH(G$4,Curves,0))</f>
        <v>3</v>
      </c>
      <c r="H235" s="125" t="n">
        <f aca="false">G235+$H$7</f>
        <v>3</v>
      </c>
      <c r="I235" s="124" t="n">
        <f aca="false">H235</f>
        <v>3</v>
      </c>
      <c r="J235" s="124" t="n">
        <f aca="false">VLOOKUP($A235,Table,MATCH(J$4,Curves,0))</f>
        <v>4</v>
      </c>
      <c r="K235" s="125" t="n">
        <f aca="false">J235+$K$7</f>
        <v>4</v>
      </c>
      <c r="L235" s="126" t="n">
        <f aca="false">K235</f>
        <v>4</v>
      </c>
      <c r="M235" s="124" t="n">
        <f aca="false">VLOOKUP($A235,Table,MATCH(M$4,Curves,0))</f>
        <v>4</v>
      </c>
      <c r="N235" s="125" t="n">
        <f aca="false">M235+$N$7</f>
        <v>4</v>
      </c>
      <c r="O235" s="126" t="n">
        <f aca="false">IF(B235&gt;0,(1000/B235*0.25)+((B235-1000)/B235*0.12),0)</f>
        <v>0</v>
      </c>
      <c r="P235" s="114"/>
      <c r="Q235" s="126" t="n">
        <f aca="false">M235+J235+G235</f>
        <v>11</v>
      </c>
      <c r="R235" s="126" t="n">
        <f aca="false">N235+K235+H235</f>
        <v>11</v>
      </c>
      <c r="S235" s="126" t="n">
        <f aca="false">O235+L235+I235</f>
        <v>7</v>
      </c>
      <c r="T235" s="127"/>
      <c r="U235" s="5" t="n">
        <f aca="false">A236-A235</f>
        <v>30</v>
      </c>
      <c r="V235" s="128" t="n">
        <f aca="false">CHOOSE(F$3,A236+24,A235)</f>
        <v>44136</v>
      </c>
      <c r="W235" s="5" t="n">
        <f aca="false">V235-C$3</f>
        <v>6905</v>
      </c>
      <c r="X235" s="124" t="n">
        <f aca="false">VLOOKUP($A235,Table,MATCH(X$4,Curves,0))</f>
        <v>2</v>
      </c>
      <c r="Y235" s="129" t="n">
        <f aca="false">1/(1+CHOOSE(F$3,(X236+($K$3/10000))/2,(X235+($K$3/10000))/2))^(2*W235/365.25)</f>
        <v>4.15088156359509E-012</v>
      </c>
      <c r="Z235" s="5" t="n">
        <f aca="false">IF(AND(mthbeg&lt;=A235,mthend&gt;=A235),1,0)</f>
        <v>0</v>
      </c>
      <c r="AA235" s="5" t="n">
        <f aca="false">U235*Z235</f>
        <v>0</v>
      </c>
      <c r="AC235" s="115" t="n">
        <f aca="false">IF(G228=2,F235*(S235-Q235),F235*(Q235-S235))</f>
        <v>0</v>
      </c>
      <c r="AE235" s="116" t="n">
        <f aca="false">IF($G$3=1,F235*(R235-Q235),F235*(Q235-R235))</f>
        <v>0</v>
      </c>
      <c r="AG235" s="116" t="n">
        <f aca="false">AC235+AE235</f>
        <v>0</v>
      </c>
    </row>
    <row r="236" customFormat="false" ht="12" hidden="false" customHeight="true" outlineLevel="0" collapsed="false">
      <c r="A236" s="120" t="n">
        <f aca="false">EDATE(A235,1)</f>
        <v>44166</v>
      </c>
      <c r="B236" s="121" t="n">
        <v>0</v>
      </c>
      <c r="C236" s="122"/>
      <c r="D236" s="123" t="n">
        <f aca="false">B236+C236</f>
        <v>0</v>
      </c>
      <c r="E236" s="111" t="n">
        <f aca="false">IF(Z236=0,0,IF(AND(Z236=1,$H$3=1),D236*U236,IF($H$3=2,D236,"N/A")))</f>
        <v>0</v>
      </c>
      <c r="F236" s="111" t="n">
        <f aca="false">E236*Y236</f>
        <v>0</v>
      </c>
      <c r="G236" s="124" t="n">
        <f aca="false">VLOOKUP($A236,Table,MATCH(G$4,Curves,0))</f>
        <v>3</v>
      </c>
      <c r="H236" s="125" t="n">
        <f aca="false">G236+$H$7</f>
        <v>3</v>
      </c>
      <c r="I236" s="124" t="n">
        <f aca="false">H236</f>
        <v>3</v>
      </c>
      <c r="J236" s="124" t="n">
        <f aca="false">VLOOKUP($A236,Table,MATCH(J$4,Curves,0))</f>
        <v>4</v>
      </c>
      <c r="K236" s="125" t="n">
        <f aca="false">J236+$K$7</f>
        <v>4</v>
      </c>
      <c r="L236" s="126" t="n">
        <f aca="false">K236</f>
        <v>4</v>
      </c>
      <c r="M236" s="124" t="n">
        <f aca="false">VLOOKUP($A236,Table,MATCH(M$4,Curves,0))</f>
        <v>4</v>
      </c>
      <c r="N236" s="125" t="n">
        <f aca="false">M236+$N$7</f>
        <v>4</v>
      </c>
      <c r="O236" s="126" t="n">
        <f aca="false">IF(B236&gt;0,(1000/B236*0.25)+((B236-1000)/B236*0.12),0)</f>
        <v>0</v>
      </c>
      <c r="P236" s="114"/>
      <c r="Q236" s="126" t="n">
        <f aca="false">M236+J236+G236</f>
        <v>11</v>
      </c>
      <c r="R236" s="126" t="n">
        <f aca="false">N236+K236+H236</f>
        <v>11</v>
      </c>
      <c r="S236" s="126" t="n">
        <f aca="false">O236+L236+I236</f>
        <v>7</v>
      </c>
      <c r="T236" s="127"/>
      <c r="U236" s="5" t="n">
        <f aca="false">A237-A236</f>
        <v>31</v>
      </c>
      <c r="V236" s="128" t="n">
        <f aca="false">CHOOSE(F$3,A237+24,A236)</f>
        <v>44166</v>
      </c>
      <c r="W236" s="5" t="n">
        <f aca="false">V236-C$3</f>
        <v>6935</v>
      </c>
      <c r="X236" s="124" t="n">
        <f aca="false">VLOOKUP($A236,Table,MATCH(X$4,Curves,0))</f>
        <v>2</v>
      </c>
      <c r="Y236" s="129" t="n">
        <f aca="false">1/(1+CHOOSE(F$3,(X237+($K$3/10000))/2,(X236+($K$3/10000))/2))^(2*W236/365.25)</f>
        <v>3.70416078164214E-012</v>
      </c>
      <c r="Z236" s="5" t="n">
        <f aca="false">IF(AND(mthbeg&lt;=A236,mthend&gt;=A236),1,0)</f>
        <v>0</v>
      </c>
      <c r="AA236" s="5" t="n">
        <f aca="false">U236*Z236</f>
        <v>0</v>
      </c>
      <c r="AC236" s="115" t="n">
        <f aca="false">IF(G229=2,F236*(S236-Q236),F236*(Q236-S236))</f>
        <v>0</v>
      </c>
      <c r="AE236" s="116" t="n">
        <f aca="false">IF($G$3=1,F236*(R236-Q236),F236*(Q236-R236))</f>
        <v>0</v>
      </c>
      <c r="AG236" s="116" t="n">
        <f aca="false">AC236+AE236</f>
        <v>0</v>
      </c>
    </row>
    <row r="237" customFormat="false" ht="12" hidden="false" customHeight="true" outlineLevel="0" collapsed="false">
      <c r="A237" s="120" t="n">
        <f aca="false">EDATE(A236,1)</f>
        <v>44197</v>
      </c>
      <c r="B237" s="121" t="n">
        <v>0</v>
      </c>
      <c r="C237" s="122"/>
      <c r="D237" s="123" t="n">
        <f aca="false">B237+C237</f>
        <v>0</v>
      </c>
      <c r="E237" s="111" t="n">
        <f aca="false">IF(Z237=0,0,IF(AND(Z237=1,$H$3=1),D237*U237,IF($H$3=2,D237,"N/A")))</f>
        <v>0</v>
      </c>
      <c r="F237" s="111" t="n">
        <f aca="false">E237*Y237</f>
        <v>0</v>
      </c>
      <c r="G237" s="124" t="n">
        <f aca="false">VLOOKUP($A237,Table,MATCH(G$4,Curves,0))</f>
        <v>3</v>
      </c>
      <c r="H237" s="125" t="n">
        <f aca="false">G237+$H$7</f>
        <v>3</v>
      </c>
      <c r="I237" s="124" t="n">
        <f aca="false">H237</f>
        <v>3</v>
      </c>
      <c r="J237" s="124" t="n">
        <f aca="false">VLOOKUP($A237,Table,MATCH(J$4,Curves,0))</f>
        <v>4</v>
      </c>
      <c r="K237" s="125" t="n">
        <f aca="false">J237+$K$7</f>
        <v>4</v>
      </c>
      <c r="L237" s="126" t="n">
        <f aca="false">K237</f>
        <v>4</v>
      </c>
      <c r="M237" s="124" t="n">
        <f aca="false">VLOOKUP($A237,Table,MATCH(M$4,Curves,0))</f>
        <v>4</v>
      </c>
      <c r="N237" s="125" t="n">
        <f aca="false">M237+$N$7</f>
        <v>4</v>
      </c>
      <c r="O237" s="126" t="n">
        <f aca="false">IF(B237&gt;0,(1000/B237*0.25)+((B237-1000)/B237*0.12),0)</f>
        <v>0</v>
      </c>
      <c r="P237" s="114"/>
      <c r="Q237" s="126" t="n">
        <f aca="false">M237+J237+G237</f>
        <v>11</v>
      </c>
      <c r="R237" s="126" t="n">
        <f aca="false">N237+K237+H237</f>
        <v>11</v>
      </c>
      <c r="S237" s="126" t="n">
        <f aca="false">O237+L237+I237</f>
        <v>7</v>
      </c>
      <c r="T237" s="127"/>
      <c r="U237" s="5" t="n">
        <f aca="false">A238-A237</f>
        <v>31</v>
      </c>
      <c r="V237" s="128" t="n">
        <f aca="false">CHOOSE(F$3,A238+24,A237)</f>
        <v>44197</v>
      </c>
      <c r="W237" s="5" t="n">
        <f aca="false">V237-C$3</f>
        <v>6966</v>
      </c>
      <c r="X237" s="124" t="n">
        <f aca="false">VLOOKUP($A237,Table,MATCH(X$4,Curves,0))</f>
        <v>2</v>
      </c>
      <c r="Y237" s="129" t="n">
        <f aca="false">1/(1+CHOOSE(F$3,(X238+($K$3/10000))/2,(X237+($K$3/10000))/2))^(2*W237/365.25)</f>
        <v>3.29299420326127E-012</v>
      </c>
      <c r="Z237" s="5" t="n">
        <f aca="false">IF(AND(mthbeg&lt;=A237,mthend&gt;=A237),1,0)</f>
        <v>0</v>
      </c>
      <c r="AA237" s="5" t="n">
        <f aca="false">U237*Z237</f>
        <v>0</v>
      </c>
      <c r="AC237" s="115" t="n">
        <f aca="false">IF(G230=2,F237*(S237-Q237),F237*(Q237-S237))</f>
        <v>0</v>
      </c>
      <c r="AE237" s="116" t="n">
        <f aca="false">IF($G$3=1,F237*(R237-Q237),F237*(Q237-R237))</f>
        <v>0</v>
      </c>
      <c r="AG237" s="116" t="n">
        <f aca="false">AC237+AE237</f>
        <v>0</v>
      </c>
    </row>
    <row r="238" customFormat="false" ht="12" hidden="false" customHeight="true" outlineLevel="0" collapsed="false">
      <c r="A238" s="120" t="n">
        <f aca="false">EDATE(A237,1)</f>
        <v>44228</v>
      </c>
      <c r="B238" s="121" t="n">
        <v>0</v>
      </c>
      <c r="C238" s="122"/>
      <c r="D238" s="123" t="n">
        <f aca="false">B238+C238</f>
        <v>0</v>
      </c>
      <c r="E238" s="111" t="n">
        <f aca="false">IF(Z238=0,0,IF(AND(Z238=1,$H$3=1),D238*U238,IF($H$3=2,D238,"N/A")))</f>
        <v>0</v>
      </c>
      <c r="F238" s="111" t="n">
        <f aca="false">E238*Y238</f>
        <v>0</v>
      </c>
      <c r="G238" s="124" t="n">
        <f aca="false">VLOOKUP($A238,Table,MATCH(G$4,Curves,0))</f>
        <v>3</v>
      </c>
      <c r="H238" s="125" t="n">
        <f aca="false">G238+$H$7</f>
        <v>3</v>
      </c>
      <c r="I238" s="124" t="n">
        <f aca="false">H238</f>
        <v>3</v>
      </c>
      <c r="J238" s="124" t="n">
        <f aca="false">VLOOKUP($A238,Table,MATCH(J$4,Curves,0))</f>
        <v>4</v>
      </c>
      <c r="K238" s="125" t="n">
        <f aca="false">J238+$K$7</f>
        <v>4</v>
      </c>
      <c r="L238" s="126" t="n">
        <f aca="false">K238</f>
        <v>4</v>
      </c>
      <c r="M238" s="124" t="n">
        <f aca="false">VLOOKUP($A238,Table,MATCH(M$4,Curves,0))</f>
        <v>4</v>
      </c>
      <c r="N238" s="125" t="n">
        <f aca="false">M238+$N$7</f>
        <v>4</v>
      </c>
      <c r="O238" s="126" t="n">
        <f aca="false">IF(B238&gt;0,(1000/B238*0.25)+((B238-1000)/B238*0.12),0)</f>
        <v>0</v>
      </c>
      <c r="P238" s="114"/>
      <c r="Q238" s="126" t="n">
        <f aca="false">M238+J238+G238</f>
        <v>11</v>
      </c>
      <c r="R238" s="126" t="n">
        <f aca="false">N238+K238+H238</f>
        <v>11</v>
      </c>
      <c r="S238" s="126" t="n">
        <f aca="false">O238+L238+I238</f>
        <v>7</v>
      </c>
      <c r="T238" s="127"/>
      <c r="U238" s="5" t="n">
        <f aca="false">A239-A238</f>
        <v>28</v>
      </c>
      <c r="V238" s="128" t="n">
        <f aca="false">CHOOSE(F$3,A239+24,A238)</f>
        <v>44228</v>
      </c>
      <c r="W238" s="5" t="n">
        <f aca="false">V238-C$3</f>
        <v>6997</v>
      </c>
      <c r="X238" s="124" t="n">
        <f aca="false">VLOOKUP($A238,Table,MATCH(X$4,Curves,0))</f>
        <v>2</v>
      </c>
      <c r="Y238" s="129" t="n">
        <f aca="false">1/(1+CHOOSE(F$3,(X239+($K$3/10000))/2,(X238+($K$3/10000))/2))^(2*W238/365.25)</f>
        <v>2.92746764029638E-012</v>
      </c>
      <c r="Z238" s="5" t="n">
        <f aca="false">IF(AND(mthbeg&lt;=A238,mthend&gt;=A238),1,0)</f>
        <v>0</v>
      </c>
      <c r="AA238" s="5" t="n">
        <f aca="false">U238*Z238</f>
        <v>0</v>
      </c>
      <c r="AC238" s="115" t="n">
        <f aca="false">IF(G231=2,F238*(S238-Q238),F238*(Q238-S238))</f>
        <v>0</v>
      </c>
      <c r="AE238" s="116" t="n">
        <f aca="false">IF($G$3=1,F238*(R238-Q238),F238*(Q238-R238))</f>
        <v>0</v>
      </c>
      <c r="AG238" s="116" t="n">
        <f aca="false">AC238+AE238</f>
        <v>0</v>
      </c>
    </row>
    <row r="239" customFormat="false" ht="12" hidden="false" customHeight="true" outlineLevel="0" collapsed="false">
      <c r="A239" s="120" t="n">
        <f aca="false">EDATE(A238,1)</f>
        <v>44256</v>
      </c>
      <c r="B239" s="121" t="n">
        <v>0</v>
      </c>
      <c r="C239" s="122"/>
      <c r="D239" s="123" t="n">
        <f aca="false">B239+C239</f>
        <v>0</v>
      </c>
      <c r="E239" s="111" t="n">
        <f aca="false">IF(Z239=0,0,IF(AND(Z239=1,$H$3=1),D239*U239,IF($H$3=2,D239,"N/A")))</f>
        <v>0</v>
      </c>
      <c r="F239" s="111" t="n">
        <f aca="false">E239*Y239</f>
        <v>0</v>
      </c>
      <c r="G239" s="124" t="n">
        <f aca="false">VLOOKUP($A239,Table,MATCH(G$4,Curves,0))</f>
        <v>3</v>
      </c>
      <c r="H239" s="125" t="n">
        <f aca="false">G239+$H$7</f>
        <v>3</v>
      </c>
      <c r="I239" s="124" t="n">
        <f aca="false">H239</f>
        <v>3</v>
      </c>
      <c r="J239" s="124" t="n">
        <f aca="false">VLOOKUP($A239,Table,MATCH(J$4,Curves,0))</f>
        <v>4</v>
      </c>
      <c r="K239" s="125" t="n">
        <f aca="false">J239+$K$7</f>
        <v>4</v>
      </c>
      <c r="L239" s="126" t="n">
        <f aca="false">K239</f>
        <v>4</v>
      </c>
      <c r="M239" s="124" t="n">
        <f aca="false">VLOOKUP($A239,Table,MATCH(M$4,Curves,0))</f>
        <v>4</v>
      </c>
      <c r="N239" s="125" t="n">
        <f aca="false">M239+$N$7</f>
        <v>4</v>
      </c>
      <c r="O239" s="126" t="n">
        <f aca="false">IF(B239&gt;0,(1000/B239*0.25)+((B239-1000)/B239*0.12),0)</f>
        <v>0</v>
      </c>
      <c r="P239" s="114"/>
      <c r="Q239" s="126" t="n">
        <f aca="false">M239+J239+G239</f>
        <v>11</v>
      </c>
      <c r="R239" s="126" t="n">
        <f aca="false">N239+K239+H239</f>
        <v>11</v>
      </c>
      <c r="S239" s="126" t="n">
        <f aca="false">O239+L239+I239</f>
        <v>7</v>
      </c>
      <c r="T239" s="127"/>
      <c r="U239" s="5" t="n">
        <f aca="false">A240-A239</f>
        <v>31</v>
      </c>
      <c r="V239" s="128" t="n">
        <f aca="false">CHOOSE(F$3,A240+24,A239)</f>
        <v>44256</v>
      </c>
      <c r="W239" s="5" t="n">
        <f aca="false">V239-C$3</f>
        <v>7025</v>
      </c>
      <c r="X239" s="124" t="n">
        <f aca="false">VLOOKUP($A239,Table,MATCH(X$4,Curves,0))</f>
        <v>2</v>
      </c>
      <c r="Y239" s="129" t="n">
        <f aca="false">1/(1+CHOOSE(F$3,(X240+($K$3/10000))/2,(X239+($K$3/10000))/2))^(2*W239/365.25)</f>
        <v>2.63231762325765E-012</v>
      </c>
      <c r="Z239" s="5" t="n">
        <f aca="false">IF(AND(mthbeg&lt;=A239,mthend&gt;=A239),1,0)</f>
        <v>0</v>
      </c>
      <c r="AA239" s="5" t="n">
        <f aca="false">U239*Z239</f>
        <v>0</v>
      </c>
      <c r="AC239" s="115" t="n">
        <f aca="false">IF(G232=2,F239*(S239-Q239),F239*(Q239-S239))</f>
        <v>0</v>
      </c>
      <c r="AE239" s="116" t="n">
        <f aca="false">IF($G$3=1,F239*(R239-Q239),F239*(Q239-R239))</f>
        <v>0</v>
      </c>
      <c r="AG239" s="116" t="n">
        <f aca="false">AC239+AE239</f>
        <v>0</v>
      </c>
    </row>
    <row r="240" customFormat="false" ht="12" hidden="false" customHeight="true" outlineLevel="0" collapsed="false">
      <c r="A240" s="120" t="n">
        <f aca="false">EDATE(A239,1)</f>
        <v>44287</v>
      </c>
      <c r="B240" s="121" t="n">
        <v>0</v>
      </c>
      <c r="C240" s="122"/>
      <c r="D240" s="123" t="n">
        <f aca="false">B240+C240</f>
        <v>0</v>
      </c>
      <c r="E240" s="111" t="n">
        <f aca="false">IF(Z240=0,0,IF(AND(Z240=1,$H$3=1),D240*U240,IF($H$3=2,D240,"N/A")))</f>
        <v>0</v>
      </c>
      <c r="F240" s="111" t="n">
        <f aca="false">E240*Y240</f>
        <v>0</v>
      </c>
      <c r="G240" s="124" t="n">
        <f aca="false">VLOOKUP($A240,Table,MATCH(G$4,Curves,0))</f>
        <v>3</v>
      </c>
      <c r="H240" s="125" t="n">
        <f aca="false">G240+$H$7</f>
        <v>3</v>
      </c>
      <c r="I240" s="124" t="n">
        <f aca="false">H240</f>
        <v>3</v>
      </c>
      <c r="J240" s="124" t="n">
        <f aca="false">VLOOKUP($A240,Table,MATCH(J$4,Curves,0))</f>
        <v>4</v>
      </c>
      <c r="K240" s="125" t="n">
        <f aca="false">J240+$K$7</f>
        <v>4</v>
      </c>
      <c r="L240" s="126" t="n">
        <f aca="false">K240</f>
        <v>4</v>
      </c>
      <c r="M240" s="124" t="n">
        <f aca="false">VLOOKUP($A240,Table,MATCH(M$4,Curves,0))</f>
        <v>4</v>
      </c>
      <c r="N240" s="125" t="n">
        <f aca="false">M240+$N$7</f>
        <v>4</v>
      </c>
      <c r="O240" s="126" t="n">
        <f aca="false">IF(B240&gt;0,(1000/B240*0.25)+((B240-1000)/B240*0.12),0)</f>
        <v>0</v>
      </c>
      <c r="P240" s="114"/>
      <c r="Q240" s="126" t="n">
        <f aca="false">M240+J240+G240</f>
        <v>11</v>
      </c>
      <c r="R240" s="126" t="n">
        <f aca="false">N240+K240+H240</f>
        <v>11</v>
      </c>
      <c r="S240" s="126" t="n">
        <f aca="false">O240+L240+I240</f>
        <v>7</v>
      </c>
      <c r="T240" s="127"/>
      <c r="U240" s="5" t="n">
        <f aca="false">A241-A240</f>
        <v>30</v>
      </c>
      <c r="V240" s="128" t="n">
        <f aca="false">CHOOSE(F$3,A241+24,A240)</f>
        <v>44287</v>
      </c>
      <c r="W240" s="5" t="n">
        <f aca="false">V240-C$3</f>
        <v>7056</v>
      </c>
      <c r="X240" s="124" t="n">
        <f aca="false">VLOOKUP($A240,Table,MATCH(X$4,Curves,0))</f>
        <v>2</v>
      </c>
      <c r="Y240" s="129" t="n">
        <f aca="false">1/(1+CHOOSE(F$3,(X241+($K$3/10000))/2,(X240+($K$3/10000))/2))^(2*W240/365.25)</f>
        <v>2.3401270046078E-012</v>
      </c>
      <c r="Z240" s="5" t="n">
        <f aca="false">IF(AND(mthbeg&lt;=A240,mthend&gt;=A240),1,0)</f>
        <v>0</v>
      </c>
      <c r="AA240" s="5" t="n">
        <f aca="false">U240*Z240</f>
        <v>0</v>
      </c>
      <c r="AC240" s="115" t="n">
        <f aca="false">IF(G233=2,F240*(S240-Q240),F240*(Q240-S240))</f>
        <v>0</v>
      </c>
      <c r="AE240" s="116" t="n">
        <f aca="false">IF($G$3=1,F240*(R240-Q240),F240*(Q240-R240))</f>
        <v>0</v>
      </c>
      <c r="AG240" s="116" t="n">
        <f aca="false">AC240+AE240</f>
        <v>0</v>
      </c>
    </row>
    <row r="241" customFormat="false" ht="12" hidden="false" customHeight="true" outlineLevel="0" collapsed="false">
      <c r="A241" s="120" t="n">
        <f aca="false">EDATE(A240,1)</f>
        <v>44317</v>
      </c>
      <c r="B241" s="121" t="n">
        <v>0</v>
      </c>
      <c r="C241" s="122"/>
      <c r="D241" s="123" t="n">
        <f aca="false">B241+C241</f>
        <v>0</v>
      </c>
      <c r="E241" s="111" t="n">
        <f aca="false">IF(Z241=0,0,IF(AND(Z241=1,$H$3=1),D241*U241,IF($H$3=2,D241,"N/A")))</f>
        <v>0</v>
      </c>
      <c r="F241" s="111" t="n">
        <f aca="false">E241*Y241</f>
        <v>0</v>
      </c>
      <c r="G241" s="124" t="n">
        <f aca="false">VLOOKUP($A241,Table,MATCH(G$4,Curves,0))</f>
        <v>3</v>
      </c>
      <c r="H241" s="125" t="n">
        <f aca="false">G241+$H$7</f>
        <v>3</v>
      </c>
      <c r="I241" s="124" t="n">
        <f aca="false">H241</f>
        <v>3</v>
      </c>
      <c r="J241" s="124" t="n">
        <f aca="false">VLOOKUP($A241,Table,MATCH(J$4,Curves,0))</f>
        <v>4</v>
      </c>
      <c r="K241" s="125" t="n">
        <f aca="false">J241+$K$7</f>
        <v>4</v>
      </c>
      <c r="L241" s="126" t="n">
        <f aca="false">K241</f>
        <v>4</v>
      </c>
      <c r="M241" s="124" t="n">
        <f aca="false">VLOOKUP($A241,Table,MATCH(M$4,Curves,0))</f>
        <v>4</v>
      </c>
      <c r="N241" s="125" t="n">
        <f aca="false">M241+$N$7</f>
        <v>4</v>
      </c>
      <c r="O241" s="126" t="n">
        <f aca="false">IF(B241&gt;0,(1000/B241*0.25)+((B241-1000)/B241*0.12),0)</f>
        <v>0</v>
      </c>
      <c r="P241" s="114"/>
      <c r="Q241" s="126" t="n">
        <f aca="false">M241+J241+G241</f>
        <v>11</v>
      </c>
      <c r="R241" s="126" t="n">
        <f aca="false">N241+K241+H241</f>
        <v>11</v>
      </c>
      <c r="S241" s="126" t="n">
        <f aca="false">O241+L241+I241</f>
        <v>7</v>
      </c>
      <c r="T241" s="127"/>
      <c r="U241" s="5" t="n">
        <f aca="false">A242-A241</f>
        <v>31</v>
      </c>
      <c r="V241" s="128" t="n">
        <f aca="false">CHOOSE(F$3,A242+24,A241)</f>
        <v>44317</v>
      </c>
      <c r="W241" s="5" t="n">
        <f aca="false">V241-C$3</f>
        <v>7086</v>
      </c>
      <c r="X241" s="124" t="n">
        <f aca="false">VLOOKUP($A241,Table,MATCH(X$4,Curves,0))</f>
        <v>2</v>
      </c>
      <c r="Y241" s="129" t="n">
        <f aca="false">1/(1+CHOOSE(F$3,(X242+($K$3/10000))/2,(X241+($K$3/10000))/2))^(2*W241/365.25)</f>
        <v>2.08828089689516E-012</v>
      </c>
      <c r="Z241" s="5" t="n">
        <f aca="false">IF(AND(mthbeg&lt;=A241,mthend&gt;=A241),1,0)</f>
        <v>0</v>
      </c>
      <c r="AA241" s="5" t="n">
        <f aca="false">U241*Z241</f>
        <v>0</v>
      </c>
      <c r="AC241" s="115" t="n">
        <f aca="false">IF(G234=2,F241*(S241-Q241),F241*(Q241-S241))</f>
        <v>0</v>
      </c>
      <c r="AE241" s="116" t="n">
        <f aca="false">IF($G$3=1,F241*(R241-Q241),F241*(Q241-R241))</f>
        <v>0</v>
      </c>
      <c r="AG241" s="116" t="n">
        <f aca="false">AC241+AE241</f>
        <v>0</v>
      </c>
    </row>
    <row r="242" customFormat="false" ht="12" hidden="false" customHeight="true" outlineLevel="0" collapsed="false">
      <c r="A242" s="120" t="n">
        <f aca="false">EDATE(A241,1)</f>
        <v>44348</v>
      </c>
      <c r="B242" s="121" t="n">
        <v>0</v>
      </c>
      <c r="C242" s="122"/>
      <c r="D242" s="123" t="n">
        <f aca="false">B242+C242</f>
        <v>0</v>
      </c>
      <c r="E242" s="111" t="n">
        <f aca="false">IF(Z242=0,0,IF(AND(Z242=1,$H$3=1),D242*U242,IF($H$3=2,D242,"N/A")))</f>
        <v>0</v>
      </c>
      <c r="F242" s="111" t="n">
        <f aca="false">E242*Y242</f>
        <v>0</v>
      </c>
      <c r="G242" s="124" t="n">
        <f aca="false">VLOOKUP($A242,Table,MATCH(G$4,Curves,0))</f>
        <v>3</v>
      </c>
      <c r="H242" s="125" t="n">
        <f aca="false">G242+$H$7</f>
        <v>3</v>
      </c>
      <c r="I242" s="124" t="n">
        <f aca="false">H242</f>
        <v>3</v>
      </c>
      <c r="J242" s="124" t="n">
        <f aca="false">VLOOKUP($A242,Table,MATCH(J$4,Curves,0))</f>
        <v>4</v>
      </c>
      <c r="K242" s="125" t="n">
        <f aca="false">J242+$K$7</f>
        <v>4</v>
      </c>
      <c r="L242" s="126" t="n">
        <f aca="false">K242</f>
        <v>4</v>
      </c>
      <c r="M242" s="124" t="n">
        <f aca="false">VLOOKUP($A242,Table,MATCH(M$4,Curves,0))</f>
        <v>4</v>
      </c>
      <c r="N242" s="125" t="n">
        <f aca="false">M242+$N$7</f>
        <v>4</v>
      </c>
      <c r="O242" s="126" t="n">
        <f aca="false">IF(B242&gt;0,(1000/B242*0.25)+((B242-1000)/B242*0.12),0)</f>
        <v>0</v>
      </c>
      <c r="P242" s="114"/>
      <c r="Q242" s="126" t="n">
        <f aca="false">M242+J242+G242</f>
        <v>11</v>
      </c>
      <c r="R242" s="126" t="n">
        <f aca="false">N242+K242+H242</f>
        <v>11</v>
      </c>
      <c r="S242" s="126" t="n">
        <f aca="false">O242+L242+I242</f>
        <v>7</v>
      </c>
      <c r="T242" s="127"/>
      <c r="U242" s="5" t="n">
        <f aca="false">A243-A242</f>
        <v>30</v>
      </c>
      <c r="V242" s="128" t="n">
        <f aca="false">CHOOSE(F$3,A243+24,A242)</f>
        <v>44348</v>
      </c>
      <c r="W242" s="5" t="n">
        <f aca="false">V242-C$3</f>
        <v>7117</v>
      </c>
      <c r="X242" s="124" t="n">
        <f aca="false">VLOOKUP($A242,Table,MATCH(X$4,Curves,0))</f>
        <v>2</v>
      </c>
      <c r="Y242" s="129" t="n">
        <f aca="false">1/(1+CHOOSE(F$3,(X243+($K$3/10000))/2,(X242+($K$3/10000))/2))^(2*W242/365.25)</f>
        <v>1.85647904981284E-012</v>
      </c>
      <c r="Z242" s="5" t="n">
        <f aca="false">IF(AND(mthbeg&lt;=A242,mthend&gt;=A242),1,0)</f>
        <v>0</v>
      </c>
      <c r="AA242" s="5" t="n">
        <f aca="false">U242*Z242</f>
        <v>0</v>
      </c>
      <c r="AC242" s="115" t="n">
        <f aca="false">IF(G235=2,F242*(S242-Q242),F242*(Q242-S242))</f>
        <v>0</v>
      </c>
      <c r="AE242" s="116" t="n">
        <f aca="false">IF($G$3=1,F242*(R242-Q242),F242*(Q242-R242))</f>
        <v>0</v>
      </c>
      <c r="AG242" s="116" t="n">
        <f aca="false">AC242+AE242</f>
        <v>0</v>
      </c>
    </row>
    <row r="243" customFormat="false" ht="12" hidden="false" customHeight="true" outlineLevel="0" collapsed="false">
      <c r="A243" s="120" t="n">
        <f aca="false">EDATE(A242,1)</f>
        <v>44378</v>
      </c>
      <c r="B243" s="121" t="n">
        <v>0</v>
      </c>
      <c r="C243" s="122"/>
      <c r="D243" s="123" t="n">
        <f aca="false">B243+C243</f>
        <v>0</v>
      </c>
      <c r="E243" s="111" t="n">
        <f aca="false">IF(Z243=0,0,IF(AND(Z243=1,$H$3=1),D243*U243,IF($H$3=2,D243,"N/A")))</f>
        <v>0</v>
      </c>
      <c r="F243" s="111" t="n">
        <f aca="false">E243*Y243</f>
        <v>0</v>
      </c>
      <c r="G243" s="124" t="n">
        <f aca="false">VLOOKUP($A243,Table,MATCH(G$4,Curves,0))</f>
        <v>3</v>
      </c>
      <c r="H243" s="125" t="n">
        <f aca="false">G243+$H$7</f>
        <v>3</v>
      </c>
      <c r="I243" s="124" t="n">
        <f aca="false">H243</f>
        <v>3</v>
      </c>
      <c r="J243" s="124" t="n">
        <f aca="false">VLOOKUP($A243,Table,MATCH(J$4,Curves,0))</f>
        <v>4</v>
      </c>
      <c r="K243" s="125" t="n">
        <f aca="false">J243+$K$7</f>
        <v>4</v>
      </c>
      <c r="L243" s="126" t="n">
        <f aca="false">K243</f>
        <v>4</v>
      </c>
      <c r="M243" s="124" t="n">
        <f aca="false">VLOOKUP($A243,Table,MATCH(M$4,Curves,0))</f>
        <v>4</v>
      </c>
      <c r="N243" s="125" t="n">
        <f aca="false">M243+$N$7</f>
        <v>4</v>
      </c>
      <c r="O243" s="126" t="n">
        <f aca="false">IF(B243&gt;0,(1000/B243*0.25)+((B243-1000)/B243*0.12),0)</f>
        <v>0</v>
      </c>
      <c r="P243" s="114"/>
      <c r="Q243" s="126" t="n">
        <f aca="false">M243+J243+G243</f>
        <v>11</v>
      </c>
      <c r="R243" s="126" t="n">
        <f aca="false">N243+K243+H243</f>
        <v>11</v>
      </c>
      <c r="S243" s="126" t="n">
        <f aca="false">O243+L243+I243</f>
        <v>7</v>
      </c>
      <c r="T243" s="127"/>
      <c r="U243" s="5" t="n">
        <f aca="false">A244-A243</f>
        <v>31</v>
      </c>
      <c r="V243" s="128" t="n">
        <f aca="false">CHOOSE(F$3,A244+24,A243)</f>
        <v>44378</v>
      </c>
      <c r="W243" s="5" t="n">
        <f aca="false">V243-C$3</f>
        <v>7147</v>
      </c>
      <c r="X243" s="124" t="n">
        <f aca="false">VLOOKUP($A243,Table,MATCH(X$4,Curves,0))</f>
        <v>2</v>
      </c>
      <c r="Y243" s="129" t="n">
        <f aca="false">1/(1+CHOOSE(F$3,(X244+($K$3/10000))/2,(X243+($K$3/10000))/2))^(2*W243/365.25)</f>
        <v>1.65668347383563E-012</v>
      </c>
      <c r="Z243" s="5" t="n">
        <f aca="false">IF(AND(mthbeg&lt;=A243,mthend&gt;=A243),1,0)</f>
        <v>0</v>
      </c>
      <c r="AA243" s="5" t="n">
        <f aca="false">U243*Z243</f>
        <v>0</v>
      </c>
      <c r="AC243" s="115" t="n">
        <f aca="false">IF(G236=2,F243*(S243-Q243),F243*(Q243-S243))</f>
        <v>0</v>
      </c>
      <c r="AE243" s="116" t="n">
        <f aca="false">IF($G$3=1,F243*(R243-Q243),F243*(Q243-R243))</f>
        <v>0</v>
      </c>
      <c r="AG243" s="116" t="n">
        <f aca="false">AC243+AE243</f>
        <v>0</v>
      </c>
    </row>
    <row r="244" customFormat="false" ht="12" hidden="false" customHeight="true" outlineLevel="0" collapsed="false">
      <c r="A244" s="120" t="n">
        <f aca="false">EDATE(A243,1)</f>
        <v>44409</v>
      </c>
      <c r="B244" s="121" t="n">
        <v>0</v>
      </c>
      <c r="C244" s="122"/>
      <c r="D244" s="123" t="n">
        <f aca="false">B244+C244</f>
        <v>0</v>
      </c>
      <c r="E244" s="111" t="n">
        <f aca="false">IF(Z244=0,0,IF(AND(Z244=1,$H$3=1),D244*U244,IF($H$3=2,D244,"N/A")))</f>
        <v>0</v>
      </c>
      <c r="F244" s="111" t="n">
        <f aca="false">E244*Y244</f>
        <v>0</v>
      </c>
      <c r="G244" s="124" t="n">
        <f aca="false">VLOOKUP($A244,Table,MATCH(G$4,Curves,0))</f>
        <v>3</v>
      </c>
      <c r="H244" s="125" t="n">
        <f aca="false">G244+$H$7</f>
        <v>3</v>
      </c>
      <c r="I244" s="124" t="n">
        <f aca="false">H244</f>
        <v>3</v>
      </c>
      <c r="J244" s="124" t="n">
        <f aca="false">VLOOKUP($A244,Table,MATCH(J$4,Curves,0))</f>
        <v>4</v>
      </c>
      <c r="K244" s="125" t="n">
        <f aca="false">J244+$K$7</f>
        <v>4</v>
      </c>
      <c r="L244" s="126" t="n">
        <f aca="false">K244</f>
        <v>4</v>
      </c>
      <c r="M244" s="124" t="n">
        <f aca="false">VLOOKUP($A244,Table,MATCH(M$4,Curves,0))</f>
        <v>4</v>
      </c>
      <c r="N244" s="125" t="n">
        <f aca="false">M244+$N$7</f>
        <v>4</v>
      </c>
      <c r="O244" s="126" t="n">
        <f aca="false">IF(B244&gt;0,(1000/B244*0.25)+((B244-1000)/B244*0.12),0)</f>
        <v>0</v>
      </c>
      <c r="P244" s="114"/>
      <c r="Q244" s="126" t="n">
        <f aca="false">M244+J244+G244</f>
        <v>11</v>
      </c>
      <c r="R244" s="126" t="n">
        <f aca="false">N244+K244+H244</f>
        <v>11</v>
      </c>
      <c r="S244" s="126" t="n">
        <f aca="false">O244+L244+I244</f>
        <v>7</v>
      </c>
      <c r="T244" s="127"/>
      <c r="U244" s="5" t="n">
        <f aca="false">A245-A244</f>
        <v>31</v>
      </c>
      <c r="V244" s="128" t="n">
        <f aca="false">CHOOSE(F$3,A245+24,A244)</f>
        <v>44409</v>
      </c>
      <c r="W244" s="5" t="n">
        <f aca="false">V244-C$3</f>
        <v>7178</v>
      </c>
      <c r="X244" s="124" t="n">
        <f aca="false">VLOOKUP($A244,Table,MATCH(X$4,Curves,0))</f>
        <v>2</v>
      </c>
      <c r="Y244" s="129" t="n">
        <f aca="false">1/(1+CHOOSE(F$3,(X245+($K$3/10000))/2,(X244+($K$3/10000))/2))^(2*W244/365.25)</f>
        <v>1.47278949202657E-012</v>
      </c>
      <c r="Z244" s="5" t="n">
        <f aca="false">IF(AND(mthbeg&lt;=A244,mthend&gt;=A244),1,0)</f>
        <v>0</v>
      </c>
      <c r="AA244" s="5" t="n">
        <f aca="false">U244*Z244</f>
        <v>0</v>
      </c>
      <c r="AC244" s="115" t="n">
        <f aca="false">IF(G237=2,F244*(S244-Q244),F244*(Q244-S244))</f>
        <v>0</v>
      </c>
      <c r="AE244" s="116" t="n">
        <f aca="false">IF($G$3=1,F244*(R244-Q244),F244*(Q244-R244))</f>
        <v>0</v>
      </c>
      <c r="AG244" s="116" t="n">
        <f aca="false">AC244+AE244</f>
        <v>0</v>
      </c>
    </row>
    <row r="245" customFormat="false" ht="12" hidden="false" customHeight="true" outlineLevel="0" collapsed="false">
      <c r="A245" s="120" t="n">
        <f aca="false">EDATE(A244,1)</f>
        <v>44440</v>
      </c>
      <c r="B245" s="121" t="n">
        <v>0</v>
      </c>
      <c r="C245" s="122"/>
      <c r="D245" s="123" t="n">
        <f aca="false">B245+C245</f>
        <v>0</v>
      </c>
      <c r="E245" s="111" t="n">
        <f aca="false">IF(Z245=0,0,IF(AND(Z245=1,$H$3=1),D245*U245,IF($H$3=2,D245,"N/A")))</f>
        <v>0</v>
      </c>
      <c r="F245" s="111" t="n">
        <f aca="false">E245*Y245</f>
        <v>0</v>
      </c>
      <c r="G245" s="124" t="n">
        <f aca="false">VLOOKUP($A245,Table,MATCH(G$4,Curves,0))</f>
        <v>3</v>
      </c>
      <c r="H245" s="125" t="n">
        <f aca="false">G245+$H$7</f>
        <v>3</v>
      </c>
      <c r="I245" s="124" t="n">
        <f aca="false">H245</f>
        <v>3</v>
      </c>
      <c r="J245" s="124" t="n">
        <f aca="false">VLOOKUP($A245,Table,MATCH(J$4,Curves,0))</f>
        <v>4</v>
      </c>
      <c r="K245" s="125" t="n">
        <f aca="false">J245+$K$7</f>
        <v>4</v>
      </c>
      <c r="L245" s="126" t="n">
        <f aca="false">K245</f>
        <v>4</v>
      </c>
      <c r="M245" s="124" t="n">
        <f aca="false">VLOOKUP($A245,Table,MATCH(M$4,Curves,0))</f>
        <v>4</v>
      </c>
      <c r="N245" s="125" t="n">
        <f aca="false">M245+$N$7</f>
        <v>4</v>
      </c>
      <c r="O245" s="126" t="n">
        <f aca="false">IF(B245&gt;0,(1000/B245*0.25)+((B245-1000)/B245*0.12),0)</f>
        <v>0</v>
      </c>
      <c r="P245" s="114"/>
      <c r="Q245" s="126" t="n">
        <f aca="false">M245+J245+G245</f>
        <v>11</v>
      </c>
      <c r="R245" s="126" t="n">
        <f aca="false">N245+K245+H245</f>
        <v>11</v>
      </c>
      <c r="S245" s="126" t="n">
        <f aca="false">O245+L245+I245</f>
        <v>7</v>
      </c>
      <c r="T245" s="127"/>
      <c r="U245" s="5" t="n">
        <f aca="false">A246-A245</f>
        <v>30</v>
      </c>
      <c r="V245" s="128" t="n">
        <f aca="false">CHOOSE(F$3,A246+24,A245)</f>
        <v>44440</v>
      </c>
      <c r="W245" s="5" t="n">
        <f aca="false">V245-C$3</f>
        <v>7209</v>
      </c>
      <c r="X245" s="124" t="n">
        <f aca="false">VLOOKUP($A245,Table,MATCH(X$4,Curves,0))</f>
        <v>2</v>
      </c>
      <c r="Y245" s="129" t="n">
        <f aca="false">1/(1+CHOOSE(F$3,(X246+($K$3/10000))/2,(X245+($K$3/10000))/2))^(2*W245/365.25)</f>
        <v>1.3093079771007E-012</v>
      </c>
      <c r="Z245" s="5" t="n">
        <f aca="false">IF(AND(mthbeg&lt;=A245,mthend&gt;=A245),1,0)</f>
        <v>0</v>
      </c>
      <c r="AA245" s="5" t="n">
        <f aca="false">U245*Z245</f>
        <v>0</v>
      </c>
      <c r="AC245" s="115" t="n">
        <f aca="false">IF(G238=2,F245*(S245-Q245),F245*(Q245-S245))</f>
        <v>0</v>
      </c>
      <c r="AE245" s="116" t="n">
        <f aca="false">IF($G$3=1,F245*(R245-Q245),F245*(Q245-R245))</f>
        <v>0</v>
      </c>
      <c r="AG245" s="116" t="n">
        <f aca="false">AC245+AE245</f>
        <v>0</v>
      </c>
    </row>
    <row r="246" customFormat="false" ht="12" hidden="false" customHeight="true" outlineLevel="0" collapsed="false">
      <c r="A246" s="120" t="n">
        <f aca="false">EDATE(A245,1)</f>
        <v>44470</v>
      </c>
      <c r="B246" s="121" t="n">
        <v>0</v>
      </c>
      <c r="C246" s="122"/>
      <c r="D246" s="123" t="n">
        <f aca="false">B246+C246</f>
        <v>0</v>
      </c>
      <c r="E246" s="111" t="n">
        <f aca="false">IF(Z246=0,0,IF(AND(Z246=1,$H$3=1),D246*U246,IF($H$3=2,D246,"N/A")))</f>
        <v>0</v>
      </c>
      <c r="F246" s="111" t="n">
        <f aca="false">E246*Y246</f>
        <v>0</v>
      </c>
      <c r="G246" s="124" t="n">
        <f aca="false">VLOOKUP($A246,Table,MATCH(G$4,Curves,0))</f>
        <v>3</v>
      </c>
      <c r="H246" s="125" t="n">
        <f aca="false">G246+$H$7</f>
        <v>3</v>
      </c>
      <c r="I246" s="124" t="n">
        <f aca="false">H246</f>
        <v>3</v>
      </c>
      <c r="J246" s="124" t="n">
        <f aca="false">VLOOKUP($A246,Table,MATCH(J$4,Curves,0))</f>
        <v>4</v>
      </c>
      <c r="K246" s="125" t="n">
        <f aca="false">J246+$K$7</f>
        <v>4</v>
      </c>
      <c r="L246" s="126" t="n">
        <f aca="false">K246</f>
        <v>4</v>
      </c>
      <c r="M246" s="124" t="n">
        <f aca="false">VLOOKUP($A246,Table,MATCH(M$4,Curves,0))</f>
        <v>4</v>
      </c>
      <c r="N246" s="125" t="n">
        <f aca="false">M246+$N$7</f>
        <v>4</v>
      </c>
      <c r="O246" s="126" t="n">
        <f aca="false">IF(B246&gt;0,(1000/B246*0.25)+((B246-1000)/B246*0.12),0)</f>
        <v>0</v>
      </c>
      <c r="P246" s="114"/>
      <c r="Q246" s="126" t="n">
        <f aca="false">M246+J246+G246</f>
        <v>11</v>
      </c>
      <c r="R246" s="126" t="n">
        <f aca="false">N246+K246+H246</f>
        <v>11</v>
      </c>
      <c r="S246" s="126" t="n">
        <f aca="false">O246+L246+I246</f>
        <v>7</v>
      </c>
      <c r="T246" s="127"/>
      <c r="U246" s="5" t="n">
        <f aca="false">A247-A246</f>
        <v>31</v>
      </c>
      <c r="V246" s="128" t="n">
        <f aca="false">CHOOSE(F$3,A247+24,A246)</f>
        <v>44470</v>
      </c>
      <c r="W246" s="5" t="n">
        <f aca="false">V246-C$3</f>
        <v>7239</v>
      </c>
      <c r="X246" s="124" t="n">
        <f aca="false">VLOOKUP($A246,Table,MATCH(X$4,Curves,0))</f>
        <v>2</v>
      </c>
      <c r="Y246" s="129" t="n">
        <f aca="false">1/(1+CHOOSE(F$3,(X247+($K$3/10000))/2,(X246+($K$3/10000))/2))^(2*W246/365.25)</f>
        <v>1.16839933531303E-012</v>
      </c>
      <c r="Z246" s="5" t="n">
        <f aca="false">IF(AND(mthbeg&lt;=A246,mthend&gt;=A246),1,0)</f>
        <v>0</v>
      </c>
      <c r="AA246" s="5" t="n">
        <f aca="false">U246*Z246</f>
        <v>0</v>
      </c>
      <c r="AC246" s="115" t="n">
        <f aca="false">IF(G239=2,F246*(S246-Q246),F246*(Q246-S246))</f>
        <v>0</v>
      </c>
      <c r="AE246" s="116" t="n">
        <f aca="false">IF($G$3=1,F246*(R246-Q246),F246*(Q246-R246))</f>
        <v>0</v>
      </c>
      <c r="AG246" s="116" t="n">
        <f aca="false">AC246+AE246</f>
        <v>0</v>
      </c>
    </row>
    <row r="247" customFormat="false" ht="12" hidden="false" customHeight="true" outlineLevel="0" collapsed="false">
      <c r="A247" s="120" t="n">
        <f aca="false">EDATE(A246,1)</f>
        <v>44501</v>
      </c>
      <c r="B247" s="121" t="n">
        <v>0</v>
      </c>
      <c r="C247" s="122"/>
      <c r="D247" s="123" t="n">
        <f aca="false">B247+C247</f>
        <v>0</v>
      </c>
      <c r="E247" s="111" t="n">
        <f aca="false">IF(Z247=0,0,IF(AND(Z247=1,$H$3=1),D247*U247,IF($H$3=2,D247,"N/A")))</f>
        <v>0</v>
      </c>
      <c r="F247" s="111" t="n">
        <f aca="false">E247*Y247</f>
        <v>0</v>
      </c>
      <c r="G247" s="124" t="n">
        <f aca="false">VLOOKUP($A247,Table,MATCH(G$4,Curves,0))</f>
        <v>3</v>
      </c>
      <c r="H247" s="125" t="n">
        <f aca="false">G247+$H$7</f>
        <v>3</v>
      </c>
      <c r="I247" s="124" t="n">
        <f aca="false">H247</f>
        <v>3</v>
      </c>
      <c r="J247" s="124" t="n">
        <f aca="false">VLOOKUP($A247,Table,MATCH(J$4,Curves,0))</f>
        <v>4</v>
      </c>
      <c r="K247" s="125" t="n">
        <f aca="false">J247+$K$7</f>
        <v>4</v>
      </c>
      <c r="L247" s="126" t="n">
        <f aca="false">K247</f>
        <v>4</v>
      </c>
      <c r="M247" s="124" t="n">
        <f aca="false">VLOOKUP($A247,Table,MATCH(M$4,Curves,0))</f>
        <v>4</v>
      </c>
      <c r="N247" s="125" t="n">
        <f aca="false">M247+$N$7</f>
        <v>4</v>
      </c>
      <c r="O247" s="126" t="n">
        <f aca="false">IF(B247&gt;0,(1000/B247*0.25)+((B247-1000)/B247*0.12),0)</f>
        <v>0</v>
      </c>
      <c r="P247" s="114"/>
      <c r="Q247" s="126" t="n">
        <f aca="false">M247+J247+G247</f>
        <v>11</v>
      </c>
      <c r="R247" s="126" t="n">
        <f aca="false">N247+K247+H247</f>
        <v>11</v>
      </c>
      <c r="S247" s="126" t="n">
        <f aca="false">O247+L247+I247</f>
        <v>7</v>
      </c>
      <c r="T247" s="127"/>
      <c r="U247" s="5" t="n">
        <f aca="false">A248-A247</f>
        <v>30</v>
      </c>
      <c r="V247" s="128" t="n">
        <f aca="false">CHOOSE(F$3,A248+24,A247)</f>
        <v>44501</v>
      </c>
      <c r="W247" s="5" t="n">
        <f aca="false">V247-C$3</f>
        <v>7270</v>
      </c>
      <c r="X247" s="124" t="n">
        <f aca="false">VLOOKUP($A247,Table,MATCH(X$4,Curves,0))</f>
        <v>2</v>
      </c>
      <c r="Y247" s="129" t="n">
        <f aca="false">1/(1+CHOOSE(F$3,(X248+($K$3/10000))/2,(X247+($K$3/10000))/2))^(2*W247/365.25)</f>
        <v>1.03870551660407E-012</v>
      </c>
      <c r="Z247" s="5" t="n">
        <f aca="false">IF(AND(mthbeg&lt;=A247,mthend&gt;=A247),1,0)</f>
        <v>0</v>
      </c>
      <c r="AA247" s="5" t="n">
        <f aca="false">U247*Z247</f>
        <v>0</v>
      </c>
      <c r="AC247" s="115" t="n">
        <f aca="false">IF(G240=2,F247*(S247-Q247),F247*(Q247-S247))</f>
        <v>0</v>
      </c>
      <c r="AE247" s="116" t="n">
        <f aca="false">IF($G$3=1,F247*(R247-Q247),F247*(Q247-R247))</f>
        <v>0</v>
      </c>
      <c r="AG247" s="116" t="n">
        <f aca="false">AC247+AE247</f>
        <v>0</v>
      </c>
    </row>
    <row r="248" customFormat="false" ht="12" hidden="false" customHeight="true" outlineLevel="0" collapsed="false">
      <c r="A248" s="120" t="n">
        <f aca="false">EDATE(A247,1)</f>
        <v>44531</v>
      </c>
      <c r="B248" s="121" t="n">
        <v>0</v>
      </c>
      <c r="C248" s="122"/>
      <c r="D248" s="123" t="n">
        <f aca="false">B248+C248</f>
        <v>0</v>
      </c>
      <c r="E248" s="111" t="n">
        <f aca="false">IF(Z248=0,0,IF(AND(Z248=1,$H$3=1),D248*U248,IF($H$3=2,D248,"N/A")))</f>
        <v>0</v>
      </c>
      <c r="F248" s="111" t="n">
        <f aca="false">E248*Y248</f>
        <v>0</v>
      </c>
      <c r="G248" s="124" t="n">
        <f aca="false">VLOOKUP($A248,Table,MATCH(G$4,Curves,0))</f>
        <v>3</v>
      </c>
      <c r="H248" s="125" t="n">
        <f aca="false">G248+$H$7</f>
        <v>3</v>
      </c>
      <c r="I248" s="124" t="n">
        <f aca="false">H248</f>
        <v>3</v>
      </c>
      <c r="J248" s="124" t="n">
        <f aca="false">VLOOKUP($A248,Table,MATCH(J$4,Curves,0))</f>
        <v>4</v>
      </c>
      <c r="K248" s="125" t="n">
        <f aca="false">J248+$K$7</f>
        <v>4</v>
      </c>
      <c r="L248" s="126" t="n">
        <f aca="false">K248</f>
        <v>4</v>
      </c>
      <c r="M248" s="124" t="n">
        <f aca="false">VLOOKUP($A248,Table,MATCH(M$4,Curves,0))</f>
        <v>4</v>
      </c>
      <c r="N248" s="125" t="n">
        <f aca="false">M248+$N$7</f>
        <v>4</v>
      </c>
      <c r="O248" s="126" t="n">
        <f aca="false">IF(B248&gt;0,(1000/B248*0.25)+((B248-1000)/B248*0.12),0)</f>
        <v>0</v>
      </c>
      <c r="P248" s="114"/>
      <c r="Q248" s="126" t="n">
        <f aca="false">M248+J248+G248</f>
        <v>11</v>
      </c>
      <c r="R248" s="126" t="n">
        <f aca="false">N248+K248+H248</f>
        <v>11</v>
      </c>
      <c r="S248" s="126" t="n">
        <f aca="false">O248+L248+I248</f>
        <v>7</v>
      </c>
      <c r="T248" s="127"/>
      <c r="U248" s="5" t="n">
        <f aca="false">A249-A248</f>
        <v>31</v>
      </c>
      <c r="V248" s="128" t="n">
        <f aca="false">CHOOSE(F$3,A249+24,A248)</f>
        <v>44531</v>
      </c>
      <c r="W248" s="5" t="n">
        <f aca="false">V248-C$3</f>
        <v>7300</v>
      </c>
      <c r="X248" s="124" t="n">
        <f aca="false">VLOOKUP($A248,Table,MATCH(X$4,Curves,0))</f>
        <v>2</v>
      </c>
      <c r="Y248" s="129" t="n">
        <f aca="false">1/(1+CHOOSE(F$3,(X249+($K$3/10000))/2,(X248+($K$3/10000))/2))^(2*W248/365.25)</f>
        <v>9.26919301197255E-013</v>
      </c>
      <c r="Z248" s="5" t="n">
        <f aca="false">IF(AND(mthbeg&lt;=A248,mthend&gt;=A248),1,0)</f>
        <v>0</v>
      </c>
      <c r="AA248" s="5" t="n">
        <f aca="false">U248*Z248</f>
        <v>0</v>
      </c>
      <c r="AC248" s="115" t="n">
        <f aca="false">IF(G241=2,F248*(S248-Q248),F248*(Q248-S248))</f>
        <v>0</v>
      </c>
      <c r="AE248" s="116" t="n">
        <f aca="false">IF($G$3=1,F248*(R248-Q248),F248*(Q248-R248))</f>
        <v>0</v>
      </c>
      <c r="AG248" s="116" t="n">
        <f aca="false">AC248+AE248</f>
        <v>0</v>
      </c>
    </row>
    <row r="249" customFormat="false" ht="12" hidden="false" customHeight="true" outlineLevel="0" collapsed="false">
      <c r="A249" s="120" t="n">
        <f aca="false">EDATE(A248,1)</f>
        <v>44562</v>
      </c>
      <c r="B249" s="121" t="n">
        <v>0</v>
      </c>
      <c r="C249" s="122"/>
      <c r="D249" s="123" t="n">
        <f aca="false">B249+C249</f>
        <v>0</v>
      </c>
      <c r="E249" s="111" t="n">
        <f aca="false">IF(Z249=0,0,IF(AND(Z249=1,$H$3=1),D249*U249,IF($H$3=2,D249,"N/A")))</f>
        <v>0</v>
      </c>
      <c r="F249" s="111" t="n">
        <f aca="false">E249*Y249</f>
        <v>0</v>
      </c>
      <c r="G249" s="124" t="n">
        <f aca="false">VLOOKUP($A249,Table,MATCH(G$4,Curves,0))</f>
        <v>3</v>
      </c>
      <c r="H249" s="125" t="n">
        <f aca="false">G249+$H$7</f>
        <v>3</v>
      </c>
      <c r="I249" s="124" t="n">
        <f aca="false">H249</f>
        <v>3</v>
      </c>
      <c r="J249" s="124" t="n">
        <f aca="false">VLOOKUP($A249,Table,MATCH(J$4,Curves,0))</f>
        <v>4</v>
      </c>
      <c r="K249" s="125" t="n">
        <f aca="false">J249+$K$7</f>
        <v>4</v>
      </c>
      <c r="L249" s="126" t="n">
        <f aca="false">K249</f>
        <v>4</v>
      </c>
      <c r="M249" s="124" t="n">
        <f aca="false">VLOOKUP($A249,Table,MATCH(M$4,Curves,0))</f>
        <v>4</v>
      </c>
      <c r="N249" s="125" t="n">
        <f aca="false">M249+$N$7</f>
        <v>4</v>
      </c>
      <c r="O249" s="126" t="n">
        <f aca="false">IF(B249&gt;0,(1000/B249*0.25)+((B249-1000)/B249*0.12),0)</f>
        <v>0</v>
      </c>
      <c r="P249" s="114"/>
      <c r="Q249" s="126" t="n">
        <f aca="false">M249+J249+G249</f>
        <v>11</v>
      </c>
      <c r="R249" s="126" t="n">
        <f aca="false">N249+K249+H249</f>
        <v>11</v>
      </c>
      <c r="S249" s="126" t="n">
        <f aca="false">O249+L249+I249</f>
        <v>7</v>
      </c>
      <c r="T249" s="127"/>
      <c r="U249" s="5" t="n">
        <f aca="false">A250-A249</f>
        <v>31</v>
      </c>
      <c r="V249" s="128" t="n">
        <f aca="false">CHOOSE(F$3,A250+24,A249)</f>
        <v>44562</v>
      </c>
      <c r="W249" s="5" t="n">
        <f aca="false">V249-C$3</f>
        <v>7331</v>
      </c>
      <c r="X249" s="124" t="n">
        <f aca="false">VLOOKUP($A249,Table,MATCH(X$4,Curves,0))</f>
        <v>2</v>
      </c>
      <c r="Y249" s="129" t="n">
        <f aca="false">1/(1+CHOOSE(F$3,(X250+($K$3/10000))/2,(X249+($K$3/10000))/2))^(2*W249/365.25)</f>
        <v>8.2403007473676E-013</v>
      </c>
      <c r="Z249" s="5" t="n">
        <f aca="false">IF(AND(mthbeg&lt;=A249,mthend&gt;=A249),1,0)</f>
        <v>0</v>
      </c>
      <c r="AA249" s="5" t="n">
        <f aca="false">U249*Z249</f>
        <v>0</v>
      </c>
      <c r="AC249" s="115" t="n">
        <f aca="false">IF(G242=2,F249*(S249-Q249),F249*(Q249-S249))</f>
        <v>0</v>
      </c>
      <c r="AE249" s="116" t="n">
        <f aca="false">IF($G$3=1,F249*(R249-Q249),F249*(Q249-R249))</f>
        <v>0</v>
      </c>
      <c r="AG249" s="116" t="n">
        <f aca="false">AC249+AE249</f>
        <v>0</v>
      </c>
    </row>
    <row r="250" customFormat="false" ht="12" hidden="false" customHeight="true" outlineLevel="0" collapsed="false">
      <c r="A250" s="120" t="n">
        <f aca="false">EDATE(A249,1)</f>
        <v>44593</v>
      </c>
      <c r="B250" s="121" t="n">
        <v>0</v>
      </c>
      <c r="C250" s="122"/>
      <c r="D250" s="123" t="n">
        <f aca="false">B250+C250</f>
        <v>0</v>
      </c>
      <c r="E250" s="111" t="n">
        <f aca="false">IF(Z250=0,0,IF(AND(Z250=1,$H$3=1),D250*U250,IF($H$3=2,D250,"N/A")))</f>
        <v>0</v>
      </c>
      <c r="F250" s="111" t="n">
        <f aca="false">E250*Y250</f>
        <v>0</v>
      </c>
      <c r="G250" s="124" t="n">
        <f aca="false">VLOOKUP($A250,Table,MATCH(G$4,Curves,0))</f>
        <v>3</v>
      </c>
      <c r="H250" s="125" t="n">
        <f aca="false">G250+$H$7</f>
        <v>3</v>
      </c>
      <c r="I250" s="124" t="n">
        <f aca="false">H250</f>
        <v>3</v>
      </c>
      <c r="J250" s="124" t="n">
        <f aca="false">VLOOKUP($A250,Table,MATCH(J$4,Curves,0))</f>
        <v>4</v>
      </c>
      <c r="K250" s="125" t="n">
        <f aca="false">J250+$K$7</f>
        <v>4</v>
      </c>
      <c r="L250" s="126" t="n">
        <f aca="false">K250</f>
        <v>4</v>
      </c>
      <c r="M250" s="124" t="n">
        <f aca="false">VLOOKUP($A250,Table,MATCH(M$4,Curves,0))</f>
        <v>4</v>
      </c>
      <c r="N250" s="125" t="n">
        <f aca="false">M250+$N$7</f>
        <v>4</v>
      </c>
      <c r="O250" s="126" t="n">
        <f aca="false">IF(B250&gt;0,(1000/B250*0.25)+((B250-1000)/B250*0.12),0)</f>
        <v>0</v>
      </c>
      <c r="P250" s="114"/>
      <c r="Q250" s="126" t="n">
        <f aca="false">M250+J250+G250</f>
        <v>11</v>
      </c>
      <c r="R250" s="126" t="n">
        <f aca="false">N250+K250+H250</f>
        <v>11</v>
      </c>
      <c r="S250" s="126" t="n">
        <f aca="false">O250+L250+I250</f>
        <v>7</v>
      </c>
      <c r="T250" s="127"/>
      <c r="U250" s="5" t="n">
        <f aca="false">A251-A250</f>
        <v>28</v>
      </c>
      <c r="V250" s="128" t="n">
        <f aca="false">CHOOSE(F$3,A251+24,A250)</f>
        <v>44593</v>
      </c>
      <c r="W250" s="5" t="n">
        <f aca="false">V250-C$3</f>
        <v>7362</v>
      </c>
      <c r="X250" s="124" t="n">
        <f aca="false">VLOOKUP($A250,Table,MATCH(X$4,Curves,0))</f>
        <v>2</v>
      </c>
      <c r="Y250" s="129" t="n">
        <f aca="false">1/(1+CHOOSE(F$3,(X251+($K$3/10000))/2,(X250+($K$3/10000))/2))^(2*W250/365.25)</f>
        <v>7.32561683841956E-013</v>
      </c>
      <c r="Z250" s="5" t="n">
        <f aca="false">IF(AND(mthbeg&lt;=A250,mthend&gt;=A250),1,0)</f>
        <v>0</v>
      </c>
      <c r="AA250" s="5" t="n">
        <f aca="false">U250*Z250</f>
        <v>0</v>
      </c>
      <c r="AC250" s="115" t="n">
        <f aca="false">IF(G243=2,F250*(S250-Q250),F250*(Q250-S250))</f>
        <v>0</v>
      </c>
      <c r="AE250" s="116" t="n">
        <f aca="false">IF($G$3=1,F250*(R250-Q250),F250*(Q250-R250))</f>
        <v>0</v>
      </c>
      <c r="AG250" s="116" t="n">
        <f aca="false">AC250+AE250</f>
        <v>0</v>
      </c>
    </row>
    <row r="251" customFormat="false" ht="12" hidden="false" customHeight="true" outlineLevel="0" collapsed="false">
      <c r="A251" s="120" t="n">
        <f aca="false">EDATE(A250,1)</f>
        <v>44621</v>
      </c>
      <c r="B251" s="121" t="n">
        <v>0</v>
      </c>
      <c r="C251" s="122"/>
      <c r="D251" s="123" t="n">
        <f aca="false">B251+C251</f>
        <v>0</v>
      </c>
      <c r="E251" s="111" t="n">
        <f aca="false">IF(Z251=0,0,IF(AND(Z251=1,$H$3=1),D251*U251,IF($H$3=2,D251,"N/A")))</f>
        <v>0</v>
      </c>
      <c r="F251" s="111" t="n">
        <f aca="false">E251*Y251</f>
        <v>0</v>
      </c>
      <c r="G251" s="124" t="n">
        <f aca="false">VLOOKUP($A251,Table,MATCH(G$4,Curves,0))</f>
        <v>3</v>
      </c>
      <c r="H251" s="125" t="n">
        <f aca="false">G251+$H$7</f>
        <v>3</v>
      </c>
      <c r="I251" s="124" t="n">
        <f aca="false">H251</f>
        <v>3</v>
      </c>
      <c r="J251" s="124" t="n">
        <f aca="false">VLOOKUP($A251,Table,MATCH(J$4,Curves,0))</f>
        <v>4</v>
      </c>
      <c r="K251" s="125" t="n">
        <f aca="false">J251+$K$7</f>
        <v>4</v>
      </c>
      <c r="L251" s="126" t="n">
        <f aca="false">K251</f>
        <v>4</v>
      </c>
      <c r="M251" s="124" t="n">
        <f aca="false">VLOOKUP($A251,Table,MATCH(M$4,Curves,0))</f>
        <v>4</v>
      </c>
      <c r="N251" s="125" t="n">
        <f aca="false">M251+$N$7</f>
        <v>4</v>
      </c>
      <c r="O251" s="126" t="n">
        <f aca="false">IF(B251&gt;0,(1000/B251*0.25)+((B251-1000)/B251*0.12),0)</f>
        <v>0</v>
      </c>
      <c r="P251" s="114"/>
      <c r="Q251" s="126" t="n">
        <f aca="false">M251+J251+G251</f>
        <v>11</v>
      </c>
      <c r="R251" s="126" t="n">
        <f aca="false">N251+K251+H251</f>
        <v>11</v>
      </c>
      <c r="S251" s="126" t="n">
        <f aca="false">O251+L251+I251</f>
        <v>7</v>
      </c>
      <c r="T251" s="127"/>
      <c r="U251" s="5" t="n">
        <f aca="false">A252-A251</f>
        <v>31</v>
      </c>
      <c r="V251" s="128" t="n">
        <f aca="false">CHOOSE(F$3,A252+24,A251)</f>
        <v>44621</v>
      </c>
      <c r="W251" s="5" t="n">
        <f aca="false">V251-C$3</f>
        <v>7390</v>
      </c>
      <c r="X251" s="124" t="n">
        <f aca="false">VLOOKUP($A251,Table,MATCH(X$4,Curves,0))</f>
        <v>2</v>
      </c>
      <c r="Y251" s="129" t="n">
        <f aca="false">1/(1+CHOOSE(F$3,(X252+($K$3/10000))/2,(X251+($K$3/10000))/2))^(2*W251/365.25)</f>
        <v>6.58704131843196E-013</v>
      </c>
      <c r="Z251" s="5" t="n">
        <f aca="false">IF(AND(mthbeg&lt;=A251,mthend&gt;=A251),1,0)</f>
        <v>0</v>
      </c>
      <c r="AA251" s="5" t="n">
        <f aca="false">U251*Z251</f>
        <v>0</v>
      </c>
      <c r="AC251" s="115" t="n">
        <f aca="false">IF(G244=2,F251*(S251-Q251),F251*(Q251-S251))</f>
        <v>0</v>
      </c>
      <c r="AE251" s="116" t="n">
        <f aca="false">IF($G$3=1,F251*(R251-Q251),F251*(Q251-R251))</f>
        <v>0</v>
      </c>
      <c r="AG251" s="116" t="n">
        <f aca="false">AC251+AE251</f>
        <v>0</v>
      </c>
    </row>
    <row r="252" customFormat="false" ht="12" hidden="false" customHeight="true" outlineLevel="0" collapsed="false">
      <c r="A252" s="120" t="n">
        <f aca="false">EDATE(A251,1)</f>
        <v>44652</v>
      </c>
      <c r="B252" s="121" t="n">
        <v>0</v>
      </c>
      <c r="C252" s="122"/>
      <c r="D252" s="123" t="n">
        <f aca="false">B252+C252</f>
        <v>0</v>
      </c>
      <c r="E252" s="111" t="n">
        <f aca="false">IF(Z252=0,0,IF(AND(Z252=1,$H$3=1),D252*U252,IF($H$3=2,D252,"N/A")))</f>
        <v>0</v>
      </c>
      <c r="F252" s="111" t="n">
        <f aca="false">E252*Y252</f>
        <v>0</v>
      </c>
      <c r="G252" s="124" t="n">
        <f aca="false">VLOOKUP($A252,Table,MATCH(G$4,Curves,0))</f>
        <v>3</v>
      </c>
      <c r="H252" s="125" t="n">
        <f aca="false">G252+$H$7</f>
        <v>3</v>
      </c>
      <c r="I252" s="124" t="n">
        <f aca="false">H252</f>
        <v>3</v>
      </c>
      <c r="J252" s="124" t="n">
        <f aca="false">VLOOKUP($A252,Table,MATCH(J$4,Curves,0))</f>
        <v>4</v>
      </c>
      <c r="K252" s="125" t="n">
        <f aca="false">J252+$K$7</f>
        <v>4</v>
      </c>
      <c r="L252" s="126" t="n">
        <f aca="false">K252</f>
        <v>4</v>
      </c>
      <c r="M252" s="124" t="n">
        <f aca="false">VLOOKUP($A252,Table,MATCH(M$4,Curves,0))</f>
        <v>4</v>
      </c>
      <c r="N252" s="125" t="n">
        <f aca="false">M252+$N$7</f>
        <v>4</v>
      </c>
      <c r="O252" s="126" t="n">
        <f aca="false">IF(B252&gt;0,(1000/B252*0.25)+((B252-1000)/B252*0.12),0)</f>
        <v>0</v>
      </c>
      <c r="P252" s="114"/>
      <c r="Q252" s="126" t="n">
        <f aca="false">M252+J252+G252</f>
        <v>11</v>
      </c>
      <c r="R252" s="126" t="n">
        <f aca="false">N252+K252+H252</f>
        <v>11</v>
      </c>
      <c r="S252" s="126" t="n">
        <f aca="false">O252+L252+I252</f>
        <v>7</v>
      </c>
      <c r="T252" s="127"/>
      <c r="U252" s="5" t="n">
        <f aca="false">A253-A252</f>
        <v>30</v>
      </c>
      <c r="V252" s="128" t="n">
        <f aca="false">CHOOSE(F$3,A253+24,A252)</f>
        <v>44652</v>
      </c>
      <c r="W252" s="5" t="n">
        <f aca="false">V252-C$3</f>
        <v>7421</v>
      </c>
      <c r="X252" s="124" t="n">
        <f aca="false">VLOOKUP($A252,Table,MATCH(X$4,Curves,0))</f>
        <v>2</v>
      </c>
      <c r="Y252" s="129" t="n">
        <f aca="false">1/(1+CHOOSE(F$3,(X253+($K$3/10000))/2,(X252+($K$3/10000))/2))^(2*W252/365.25)</f>
        <v>5.85587131793527E-013</v>
      </c>
      <c r="Z252" s="5" t="n">
        <f aca="false">IF(AND(mthbeg&lt;=A252,mthend&gt;=A252),1,0)</f>
        <v>0</v>
      </c>
      <c r="AA252" s="5" t="n">
        <f aca="false">U252*Z252</f>
        <v>0</v>
      </c>
      <c r="AC252" s="115" t="n">
        <f aca="false">IF(G245=2,F252*(S252-Q252),F252*(Q252-S252))</f>
        <v>0</v>
      </c>
      <c r="AE252" s="116" t="n">
        <f aca="false">IF($G$3=1,F252*(R252-Q252),F252*(Q252-R252))</f>
        <v>0</v>
      </c>
      <c r="AG252" s="116" t="n">
        <f aca="false">AC252+AE252</f>
        <v>0</v>
      </c>
    </row>
    <row r="253" customFormat="false" ht="12" hidden="false" customHeight="true" outlineLevel="0" collapsed="false">
      <c r="A253" s="120" t="n">
        <f aca="false">EDATE(A252,1)</f>
        <v>44682</v>
      </c>
      <c r="B253" s="121" t="n">
        <v>0</v>
      </c>
      <c r="C253" s="122"/>
      <c r="D253" s="123" t="n">
        <f aca="false">B253+C253</f>
        <v>0</v>
      </c>
      <c r="E253" s="111" t="n">
        <f aca="false">IF(Z253=0,0,IF(AND(Z253=1,$H$3=1),D253*U253,IF($H$3=2,D253,"N/A")))</f>
        <v>0</v>
      </c>
      <c r="F253" s="111" t="n">
        <f aca="false">E253*Y253</f>
        <v>0</v>
      </c>
      <c r="G253" s="124" t="n">
        <f aca="false">VLOOKUP($A253,Table,MATCH(G$4,Curves,0))</f>
        <v>3</v>
      </c>
      <c r="H253" s="125" t="n">
        <f aca="false">G253+$H$7</f>
        <v>3</v>
      </c>
      <c r="I253" s="124" t="n">
        <f aca="false">H253</f>
        <v>3</v>
      </c>
      <c r="J253" s="124" t="n">
        <f aca="false">VLOOKUP($A253,Table,MATCH(J$4,Curves,0))</f>
        <v>4</v>
      </c>
      <c r="K253" s="125" t="n">
        <f aca="false">J253+$K$7</f>
        <v>4</v>
      </c>
      <c r="L253" s="126" t="n">
        <f aca="false">K253</f>
        <v>4</v>
      </c>
      <c r="M253" s="124" t="n">
        <f aca="false">VLOOKUP($A253,Table,MATCH(M$4,Curves,0))</f>
        <v>4</v>
      </c>
      <c r="N253" s="125" t="n">
        <f aca="false">M253+$N$7</f>
        <v>4</v>
      </c>
      <c r="O253" s="126" t="n">
        <f aca="false">IF(B253&gt;0,(1000/B253*0.25)+((B253-1000)/B253*0.12),0)</f>
        <v>0</v>
      </c>
      <c r="P253" s="114"/>
      <c r="Q253" s="126" t="n">
        <f aca="false">M253+J253+G253</f>
        <v>11</v>
      </c>
      <c r="R253" s="126" t="n">
        <f aca="false">N253+K253+H253</f>
        <v>11</v>
      </c>
      <c r="S253" s="126" t="n">
        <f aca="false">O253+L253+I253</f>
        <v>7</v>
      </c>
      <c r="T253" s="127"/>
      <c r="U253" s="5" t="n">
        <f aca="false">A254-A253</f>
        <v>31</v>
      </c>
      <c r="V253" s="128" t="n">
        <f aca="false">CHOOSE(F$3,A254+24,A253)</f>
        <v>44682</v>
      </c>
      <c r="W253" s="5" t="n">
        <f aca="false">V253-C$3</f>
        <v>7451</v>
      </c>
      <c r="X253" s="124" t="n">
        <f aca="false">VLOOKUP($A253,Table,MATCH(X$4,Curves,0))</f>
        <v>2</v>
      </c>
      <c r="Y253" s="129" t="n">
        <f aca="false">1/(1+CHOOSE(F$3,(X254+($K$3/10000))/2,(X253+($K$3/10000))/2))^(2*W253/365.25)</f>
        <v>5.22565834411623E-013</v>
      </c>
      <c r="Z253" s="5" t="n">
        <f aca="false">IF(AND(mthbeg&lt;=A253,mthend&gt;=A253),1,0)</f>
        <v>0</v>
      </c>
      <c r="AA253" s="5" t="n">
        <f aca="false">U253*Z253</f>
        <v>0</v>
      </c>
      <c r="AC253" s="115" t="n">
        <f aca="false">IF(G246=2,F253*(S253-Q253),F253*(Q253-S253))</f>
        <v>0</v>
      </c>
      <c r="AE253" s="116" t="n">
        <f aca="false">IF($G$3=1,F253*(R253-Q253),F253*(Q253-R253))</f>
        <v>0</v>
      </c>
      <c r="AG253" s="116" t="n">
        <f aca="false">AC253+AE253</f>
        <v>0</v>
      </c>
    </row>
    <row r="254" customFormat="false" ht="12" hidden="false" customHeight="true" outlineLevel="0" collapsed="false">
      <c r="A254" s="120" t="n">
        <f aca="false">EDATE(A253,1)</f>
        <v>44713</v>
      </c>
      <c r="B254" s="121" t="n">
        <v>0</v>
      </c>
      <c r="C254" s="122"/>
      <c r="D254" s="123" t="n">
        <f aca="false">B254+C254</f>
        <v>0</v>
      </c>
      <c r="E254" s="111" t="n">
        <f aca="false">IF(Z254=0,0,IF(AND(Z254=1,$H$3=1),D254*U254,IF($H$3=2,D254,"N/A")))</f>
        <v>0</v>
      </c>
      <c r="F254" s="111" t="n">
        <f aca="false">E254*Y254</f>
        <v>0</v>
      </c>
      <c r="G254" s="124" t="n">
        <f aca="false">VLOOKUP($A254,Table,MATCH(G$4,Curves,0))</f>
        <v>3</v>
      </c>
      <c r="H254" s="125" t="n">
        <f aca="false">G254+$H$7</f>
        <v>3</v>
      </c>
      <c r="I254" s="124" t="n">
        <f aca="false">H254</f>
        <v>3</v>
      </c>
      <c r="J254" s="124" t="n">
        <f aca="false">VLOOKUP($A254,Table,MATCH(J$4,Curves,0))</f>
        <v>4</v>
      </c>
      <c r="K254" s="125" t="n">
        <f aca="false">J254+$K$7</f>
        <v>4</v>
      </c>
      <c r="L254" s="126" t="n">
        <f aca="false">K254</f>
        <v>4</v>
      </c>
      <c r="M254" s="124" t="n">
        <f aca="false">VLOOKUP($A254,Table,MATCH(M$4,Curves,0))</f>
        <v>4</v>
      </c>
      <c r="N254" s="125" t="n">
        <f aca="false">M254+$N$7</f>
        <v>4</v>
      </c>
      <c r="O254" s="126" t="n">
        <f aca="false">IF(B254&gt;0,(1000/B254*0.25)+((B254-1000)/B254*0.12),0)</f>
        <v>0</v>
      </c>
      <c r="P254" s="114"/>
      <c r="Q254" s="126" t="n">
        <f aca="false">M254+J254+G254</f>
        <v>11</v>
      </c>
      <c r="R254" s="126" t="n">
        <f aca="false">N254+K254+H254</f>
        <v>11</v>
      </c>
      <c r="S254" s="126" t="n">
        <f aca="false">O254+L254+I254</f>
        <v>7</v>
      </c>
      <c r="T254" s="127"/>
      <c r="U254" s="5" t="n">
        <f aca="false">A255-A254</f>
        <v>30</v>
      </c>
      <c r="V254" s="128" t="n">
        <f aca="false">CHOOSE(F$3,A255+24,A254)</f>
        <v>44713</v>
      </c>
      <c r="W254" s="5" t="n">
        <f aca="false">V254-C$3</f>
        <v>7482</v>
      </c>
      <c r="X254" s="124" t="n">
        <f aca="false">VLOOKUP($A254,Table,MATCH(X$4,Curves,0))</f>
        <v>2</v>
      </c>
      <c r="Y254" s="129" t="n">
        <f aca="false">1/(1+CHOOSE(F$3,(X255+($K$3/10000))/2,(X254+($K$3/10000))/2))^(2*W254/365.25)</f>
        <v>4.64560359277113E-013</v>
      </c>
      <c r="Z254" s="5" t="n">
        <f aca="false">IF(AND(mthbeg&lt;=A254,mthend&gt;=A254),1,0)</f>
        <v>0</v>
      </c>
      <c r="AA254" s="5" t="n">
        <f aca="false">U254*Z254</f>
        <v>0</v>
      </c>
      <c r="AC254" s="115" t="n">
        <f aca="false">IF(G247=2,F254*(S254-Q254),F254*(Q254-S254))</f>
        <v>0</v>
      </c>
      <c r="AE254" s="116" t="n">
        <f aca="false">IF($G$3=1,F254*(R254-Q254),F254*(Q254-R254))</f>
        <v>0</v>
      </c>
      <c r="AG254" s="116" t="n">
        <f aca="false">AC254+AE254</f>
        <v>0</v>
      </c>
    </row>
    <row r="255" customFormat="false" ht="12" hidden="false" customHeight="true" outlineLevel="0" collapsed="false">
      <c r="A255" s="120" t="n">
        <f aca="false">EDATE(A254,1)</f>
        <v>44743</v>
      </c>
      <c r="B255" s="121" t="n">
        <v>0</v>
      </c>
      <c r="C255" s="122"/>
      <c r="D255" s="123" t="n">
        <f aca="false">B255+C255</f>
        <v>0</v>
      </c>
      <c r="E255" s="111" t="n">
        <f aca="false">IF(Z255=0,0,IF(AND(Z255=1,$H$3=1),D255*U255,IF($H$3=2,D255,"N/A")))</f>
        <v>0</v>
      </c>
      <c r="F255" s="111" t="n">
        <f aca="false">E255*Y255</f>
        <v>0</v>
      </c>
      <c r="G255" s="124" t="n">
        <f aca="false">VLOOKUP($A255,Table,MATCH(G$4,Curves,0))</f>
        <v>3</v>
      </c>
      <c r="H255" s="125" t="n">
        <f aca="false">G255+$H$7</f>
        <v>3</v>
      </c>
      <c r="I255" s="124" t="n">
        <f aca="false">H255</f>
        <v>3</v>
      </c>
      <c r="J255" s="124" t="n">
        <f aca="false">VLOOKUP($A255,Table,MATCH(J$4,Curves,0))</f>
        <v>4</v>
      </c>
      <c r="K255" s="125" t="n">
        <f aca="false">J255+$K$7</f>
        <v>4</v>
      </c>
      <c r="L255" s="126" t="n">
        <f aca="false">K255</f>
        <v>4</v>
      </c>
      <c r="M255" s="124" t="n">
        <f aca="false">VLOOKUP($A255,Table,MATCH(M$4,Curves,0))</f>
        <v>4</v>
      </c>
      <c r="N255" s="125" t="n">
        <f aca="false">M255+$N$7</f>
        <v>4</v>
      </c>
      <c r="O255" s="126" t="n">
        <f aca="false">IF(B255&gt;0,(1000/B255*0.25)+((B255-1000)/B255*0.12),0)</f>
        <v>0</v>
      </c>
      <c r="P255" s="114"/>
      <c r="Q255" s="126" t="n">
        <f aca="false">M255+J255+G255</f>
        <v>11</v>
      </c>
      <c r="R255" s="126" t="n">
        <f aca="false">N255+K255+H255</f>
        <v>11</v>
      </c>
      <c r="S255" s="126" t="n">
        <f aca="false">O255+L255+I255</f>
        <v>7</v>
      </c>
      <c r="T255" s="127"/>
      <c r="U255" s="5" t="n">
        <f aca="false">A256-A255</f>
        <v>31</v>
      </c>
      <c r="V255" s="128" t="n">
        <f aca="false">CHOOSE(F$3,A256+24,A255)</f>
        <v>44743</v>
      </c>
      <c r="W255" s="5" t="n">
        <f aca="false">V255-C$3</f>
        <v>7512</v>
      </c>
      <c r="X255" s="124" t="n">
        <f aca="false">VLOOKUP($A255,Table,MATCH(X$4,Curves,0))</f>
        <v>2</v>
      </c>
      <c r="Y255" s="129" t="n">
        <f aca="false">1/(1+CHOOSE(F$3,(X256+($K$3/10000))/2,(X255+($K$3/10000))/2))^(2*W255/365.25)</f>
        <v>4.14564047943943E-013</v>
      </c>
      <c r="Z255" s="5" t="n">
        <f aca="false">IF(AND(mthbeg&lt;=A255,mthend&gt;=A255),1,0)</f>
        <v>0</v>
      </c>
      <c r="AA255" s="5" t="n">
        <f aca="false">U255*Z255</f>
        <v>0</v>
      </c>
      <c r="AC255" s="115" t="n">
        <f aca="false">IF(G248=2,F255*(S255-Q255),F255*(Q255-S255))</f>
        <v>0</v>
      </c>
      <c r="AE255" s="116" t="n">
        <f aca="false">IF($G$3=1,F255*(R255-Q255),F255*(Q255-R255))</f>
        <v>0</v>
      </c>
      <c r="AG255" s="116" t="n">
        <f aca="false">AC255+AE255</f>
        <v>0</v>
      </c>
    </row>
    <row r="256" customFormat="false" ht="12" hidden="false" customHeight="true" outlineLevel="0" collapsed="false">
      <c r="A256" s="120" t="n">
        <f aca="false">EDATE(A255,1)</f>
        <v>44774</v>
      </c>
      <c r="B256" s="121" t="n">
        <v>0</v>
      </c>
      <c r="C256" s="122"/>
      <c r="D256" s="123" t="n">
        <f aca="false">B256+C256</f>
        <v>0</v>
      </c>
      <c r="E256" s="111" t="n">
        <f aca="false">IF(Z256=0,0,IF(AND(Z256=1,$H$3=1),D256*U256,IF($H$3=2,D256,"N/A")))</f>
        <v>0</v>
      </c>
      <c r="F256" s="111" t="n">
        <f aca="false">E256*Y256</f>
        <v>0</v>
      </c>
      <c r="G256" s="124" t="n">
        <f aca="false">VLOOKUP($A256,Table,MATCH(G$4,Curves,0))</f>
        <v>3</v>
      </c>
      <c r="H256" s="125" t="n">
        <f aca="false">G256+$H$7</f>
        <v>3</v>
      </c>
      <c r="I256" s="124" t="n">
        <f aca="false">H256</f>
        <v>3</v>
      </c>
      <c r="J256" s="124" t="n">
        <f aca="false">VLOOKUP($A256,Table,MATCH(J$4,Curves,0))</f>
        <v>4</v>
      </c>
      <c r="K256" s="125" t="n">
        <f aca="false">J256+$K$7</f>
        <v>4</v>
      </c>
      <c r="L256" s="126" t="n">
        <f aca="false">K256</f>
        <v>4</v>
      </c>
      <c r="M256" s="124" t="n">
        <f aca="false">VLOOKUP($A256,Table,MATCH(M$4,Curves,0))</f>
        <v>4</v>
      </c>
      <c r="N256" s="125" t="n">
        <f aca="false">M256+$N$7</f>
        <v>4</v>
      </c>
      <c r="O256" s="126" t="n">
        <f aca="false">IF(B256&gt;0,(1000/B256*0.25)+((B256-1000)/B256*0.12),0)</f>
        <v>0</v>
      </c>
      <c r="P256" s="114"/>
      <c r="Q256" s="126" t="n">
        <f aca="false">M256+J256+G256</f>
        <v>11</v>
      </c>
      <c r="R256" s="126" t="n">
        <f aca="false">N256+K256+H256</f>
        <v>11</v>
      </c>
      <c r="S256" s="126" t="n">
        <f aca="false">O256+L256+I256</f>
        <v>7</v>
      </c>
      <c r="T256" s="127"/>
      <c r="U256" s="5" t="n">
        <f aca="false">A257-A256</f>
        <v>31</v>
      </c>
      <c r="V256" s="128" t="n">
        <f aca="false">CHOOSE(F$3,A257+24,A256)</f>
        <v>44774</v>
      </c>
      <c r="W256" s="5" t="n">
        <f aca="false">V256-C$3</f>
        <v>7543</v>
      </c>
      <c r="X256" s="124" t="n">
        <f aca="false">VLOOKUP($A256,Table,MATCH(X$4,Curves,0))</f>
        <v>2</v>
      </c>
      <c r="Y256" s="129" t="n">
        <f aca="false">1/(1+CHOOSE(F$3,(X257+($K$3/10000))/2,(X256+($K$3/10000))/2))^(2*W256/365.25)</f>
        <v>3.685469090666E-013</v>
      </c>
      <c r="Z256" s="5" t="n">
        <f aca="false">IF(AND(mthbeg&lt;=A256,mthend&gt;=A256),1,0)</f>
        <v>0</v>
      </c>
      <c r="AA256" s="5" t="n">
        <f aca="false">U256*Z256</f>
        <v>0</v>
      </c>
      <c r="AC256" s="115" t="n">
        <f aca="false">IF(G249=2,F256*(S256-Q256),F256*(Q256-S256))</f>
        <v>0</v>
      </c>
      <c r="AE256" s="116" t="n">
        <f aca="false">IF($G$3=1,F256*(R256-Q256),F256*(Q256-R256))</f>
        <v>0</v>
      </c>
      <c r="AG256" s="116" t="n">
        <f aca="false">AC256+AE256</f>
        <v>0</v>
      </c>
    </row>
    <row r="257" customFormat="false" ht="12" hidden="false" customHeight="true" outlineLevel="0" collapsed="false">
      <c r="A257" s="120" t="n">
        <f aca="false">EDATE(A256,1)</f>
        <v>44805</v>
      </c>
      <c r="B257" s="121" t="n">
        <v>0</v>
      </c>
      <c r="C257" s="122"/>
      <c r="D257" s="123" t="n">
        <f aca="false">B257+C257</f>
        <v>0</v>
      </c>
      <c r="E257" s="111" t="n">
        <f aca="false">IF(Z257=0,0,IF(AND(Z257=1,$H$3=1),D257*U257,IF($H$3=2,D257,"N/A")))</f>
        <v>0</v>
      </c>
      <c r="F257" s="111" t="n">
        <f aca="false">E257*Y257</f>
        <v>0</v>
      </c>
      <c r="G257" s="124" t="n">
        <f aca="false">VLOOKUP($A257,Table,MATCH(G$4,Curves,0))</f>
        <v>3</v>
      </c>
      <c r="H257" s="125" t="n">
        <f aca="false">G257+$H$7</f>
        <v>3</v>
      </c>
      <c r="I257" s="124" t="n">
        <f aca="false">H257</f>
        <v>3</v>
      </c>
      <c r="J257" s="124" t="n">
        <f aca="false">VLOOKUP($A257,Table,MATCH(J$4,Curves,0))</f>
        <v>4</v>
      </c>
      <c r="K257" s="125" t="n">
        <f aca="false">J257+$K$7</f>
        <v>4</v>
      </c>
      <c r="L257" s="126" t="n">
        <f aca="false">K257</f>
        <v>4</v>
      </c>
      <c r="M257" s="124" t="n">
        <f aca="false">VLOOKUP($A257,Table,MATCH(M$4,Curves,0))</f>
        <v>4</v>
      </c>
      <c r="N257" s="125" t="n">
        <f aca="false">M257+$N$7</f>
        <v>4</v>
      </c>
      <c r="O257" s="126" t="n">
        <f aca="false">IF(B257&gt;0,(1000/B257*0.25)+((B257-1000)/B257*0.12),0)</f>
        <v>0</v>
      </c>
      <c r="P257" s="114"/>
      <c r="Q257" s="126" t="n">
        <f aca="false">M257+J257+G257</f>
        <v>11</v>
      </c>
      <c r="R257" s="126" t="n">
        <f aca="false">N257+K257+H257</f>
        <v>11</v>
      </c>
      <c r="S257" s="126" t="n">
        <f aca="false">O257+L257+I257</f>
        <v>7</v>
      </c>
      <c r="T257" s="127"/>
      <c r="U257" s="5" t="n">
        <f aca="false">A258-A257</f>
        <v>30</v>
      </c>
      <c r="V257" s="128" t="n">
        <f aca="false">CHOOSE(F$3,A258+24,A257)</f>
        <v>44805</v>
      </c>
      <c r="W257" s="5" t="n">
        <f aca="false">V257-C$3</f>
        <v>7574</v>
      </c>
      <c r="X257" s="124" t="n">
        <f aca="false">VLOOKUP($A257,Table,MATCH(X$4,Curves,0))</f>
        <v>2</v>
      </c>
      <c r="Y257" s="129" t="n">
        <f aca="false">1/(1+CHOOSE(F$3,(X258+($K$3/10000))/2,(X257+($K$3/10000))/2))^(2*W257/365.25)</f>
        <v>3.27637731385986E-013</v>
      </c>
      <c r="Z257" s="5" t="n">
        <f aca="false">IF(AND(mthbeg&lt;=A257,mthend&gt;=A257),1,0)</f>
        <v>0</v>
      </c>
      <c r="AA257" s="5" t="n">
        <f aca="false">U257*Z257</f>
        <v>0</v>
      </c>
      <c r="AC257" s="115" t="n">
        <f aca="false">IF(G250=2,F257*(S257-Q257),F257*(Q257-S257))</f>
        <v>0</v>
      </c>
      <c r="AE257" s="116" t="n">
        <f aca="false">IF($G$3=1,F257*(R257-Q257),F257*(Q257-R257))</f>
        <v>0</v>
      </c>
      <c r="AG257" s="116" t="n">
        <f aca="false">AC257+AE257</f>
        <v>0</v>
      </c>
    </row>
    <row r="258" customFormat="false" ht="12" hidden="false" customHeight="true" outlineLevel="0" collapsed="false">
      <c r="A258" s="120" t="n">
        <f aca="false">EDATE(A257,1)</f>
        <v>44835</v>
      </c>
      <c r="B258" s="121" t="n">
        <v>0</v>
      </c>
      <c r="C258" s="122"/>
      <c r="D258" s="123" t="n">
        <f aca="false">B258+C258</f>
        <v>0</v>
      </c>
      <c r="E258" s="111" t="n">
        <f aca="false">IF(Z258=0,0,IF(AND(Z258=1,$H$3=1),D258*U258,IF($H$3=2,D258,"N/A")))</f>
        <v>0</v>
      </c>
      <c r="F258" s="111" t="n">
        <f aca="false">E258*Y258</f>
        <v>0</v>
      </c>
      <c r="G258" s="124" t="n">
        <f aca="false">VLOOKUP($A258,Table,MATCH(G$4,Curves,0))</f>
        <v>3</v>
      </c>
      <c r="H258" s="125" t="n">
        <f aca="false">G258+$H$7</f>
        <v>3</v>
      </c>
      <c r="I258" s="124" t="n">
        <f aca="false">H258</f>
        <v>3</v>
      </c>
      <c r="J258" s="124" t="n">
        <f aca="false">VLOOKUP($A258,Table,MATCH(J$4,Curves,0))</f>
        <v>4</v>
      </c>
      <c r="K258" s="125" t="n">
        <f aca="false">J258+$K$7</f>
        <v>4</v>
      </c>
      <c r="L258" s="126" t="n">
        <f aca="false">K258</f>
        <v>4</v>
      </c>
      <c r="M258" s="124" t="n">
        <f aca="false">VLOOKUP($A258,Table,MATCH(M$4,Curves,0))</f>
        <v>4</v>
      </c>
      <c r="N258" s="125" t="n">
        <f aca="false">M258+$N$7</f>
        <v>4</v>
      </c>
      <c r="O258" s="126" t="n">
        <f aca="false">IF(B258&gt;0,(1000/B258*0.25)+((B258-1000)/B258*0.12),0)</f>
        <v>0</v>
      </c>
      <c r="P258" s="114"/>
      <c r="Q258" s="126" t="n">
        <f aca="false">M258+J258+G258</f>
        <v>11</v>
      </c>
      <c r="R258" s="126" t="n">
        <f aca="false">N258+K258+H258</f>
        <v>11</v>
      </c>
      <c r="S258" s="126" t="n">
        <f aca="false">O258+L258+I258</f>
        <v>7</v>
      </c>
      <c r="T258" s="127"/>
      <c r="U258" s="5" t="n">
        <f aca="false">A259-A258</f>
        <v>31</v>
      </c>
      <c r="V258" s="128" t="n">
        <f aca="false">CHOOSE(F$3,A259+24,A258)</f>
        <v>44835</v>
      </c>
      <c r="W258" s="5" t="n">
        <f aca="false">V258-C$3</f>
        <v>7604</v>
      </c>
      <c r="X258" s="124" t="n">
        <f aca="false">VLOOKUP($A258,Table,MATCH(X$4,Curves,0))</f>
        <v>2</v>
      </c>
      <c r="Y258" s="129" t="n">
        <f aca="false">1/(1+CHOOSE(F$3,(X259+($K$3/10000))/2,(X258+($K$3/10000))/2))^(2*W258/365.25)</f>
        <v>2.92377129193503E-013</v>
      </c>
      <c r="Z258" s="5" t="n">
        <f aca="false">IF(AND(mthbeg&lt;=A258,mthend&gt;=A258),1,0)</f>
        <v>0</v>
      </c>
      <c r="AA258" s="5" t="n">
        <f aca="false">U258*Z258</f>
        <v>0</v>
      </c>
      <c r="AC258" s="115" t="n">
        <f aca="false">IF(G251=2,F258*(S258-Q258),F258*(Q258-S258))</f>
        <v>0</v>
      </c>
      <c r="AE258" s="116" t="n">
        <f aca="false">IF($G$3=1,F258*(R258-Q258),F258*(Q258-R258))</f>
        <v>0</v>
      </c>
      <c r="AG258" s="116" t="n">
        <f aca="false">AC258+AE258</f>
        <v>0</v>
      </c>
    </row>
    <row r="259" customFormat="false" ht="12" hidden="false" customHeight="true" outlineLevel="0" collapsed="false">
      <c r="A259" s="120" t="n">
        <f aca="false">EDATE(A258,1)</f>
        <v>44866</v>
      </c>
      <c r="B259" s="121" t="n">
        <v>0</v>
      </c>
      <c r="C259" s="122"/>
      <c r="D259" s="123" t="n">
        <f aca="false">B259+C259</f>
        <v>0</v>
      </c>
      <c r="E259" s="111" t="n">
        <f aca="false">IF(Z259=0,0,IF(AND(Z259=1,$H$3=1),D259*U259,IF($H$3=2,D259,"N/A")))</f>
        <v>0</v>
      </c>
      <c r="F259" s="111" t="n">
        <f aca="false">E259*Y259</f>
        <v>0</v>
      </c>
      <c r="G259" s="124" t="n">
        <f aca="false">VLOOKUP($A259,Table,MATCH(G$4,Curves,0))</f>
        <v>3</v>
      </c>
      <c r="H259" s="125" t="n">
        <f aca="false">G259+$H$7</f>
        <v>3</v>
      </c>
      <c r="I259" s="124" t="n">
        <f aca="false">H259</f>
        <v>3</v>
      </c>
      <c r="J259" s="124" t="n">
        <f aca="false">VLOOKUP($A259,Table,MATCH(J$4,Curves,0))</f>
        <v>4</v>
      </c>
      <c r="K259" s="125" t="n">
        <f aca="false">J259+$K$7</f>
        <v>4</v>
      </c>
      <c r="L259" s="126" t="n">
        <f aca="false">K259</f>
        <v>4</v>
      </c>
      <c r="M259" s="124" t="n">
        <f aca="false">VLOOKUP($A259,Table,MATCH(M$4,Curves,0))</f>
        <v>4</v>
      </c>
      <c r="N259" s="125" t="n">
        <f aca="false">M259+$N$7</f>
        <v>4</v>
      </c>
      <c r="O259" s="126" t="n">
        <f aca="false">IF(B259&gt;0,(1000/B259*0.25)+((B259-1000)/B259*0.12),0)</f>
        <v>0</v>
      </c>
      <c r="P259" s="114"/>
      <c r="Q259" s="126" t="n">
        <f aca="false">M259+J259+G259</f>
        <v>11</v>
      </c>
      <c r="R259" s="126" t="n">
        <f aca="false">N259+K259+H259</f>
        <v>11</v>
      </c>
      <c r="S259" s="126" t="n">
        <f aca="false">O259+L259+I259</f>
        <v>7</v>
      </c>
      <c r="T259" s="127"/>
      <c r="U259" s="5" t="n">
        <f aca="false">A260-A259</f>
        <v>30</v>
      </c>
      <c r="V259" s="128" t="n">
        <f aca="false">CHOOSE(F$3,A260+24,A259)</f>
        <v>44866</v>
      </c>
      <c r="W259" s="5" t="n">
        <f aca="false">V259-C$3</f>
        <v>7635</v>
      </c>
      <c r="X259" s="124" t="n">
        <f aca="false">VLOOKUP($A259,Table,MATCH(X$4,Curves,0))</f>
        <v>2</v>
      </c>
      <c r="Y259" s="129" t="n">
        <f aca="false">1/(1+CHOOSE(F$3,(X260+($K$3/10000))/2,(X259+($K$3/10000))/2))^(2*W259/365.25)</f>
        <v>2.59922894376509E-013</v>
      </c>
      <c r="Z259" s="5" t="n">
        <f aca="false">IF(AND(mthbeg&lt;=A259,mthend&gt;=A259),1,0)</f>
        <v>0</v>
      </c>
      <c r="AA259" s="5" t="n">
        <f aca="false">U259*Z259</f>
        <v>0</v>
      </c>
      <c r="AC259" s="115" t="n">
        <f aca="false">IF(G252=2,F259*(S259-Q259),F259*(Q259-S259))</f>
        <v>0</v>
      </c>
      <c r="AE259" s="116" t="n">
        <f aca="false">IF($G$3=1,F259*(R259-Q259),F259*(Q259-R259))</f>
        <v>0</v>
      </c>
      <c r="AG259" s="116" t="n">
        <f aca="false">AC259+AE259</f>
        <v>0</v>
      </c>
    </row>
    <row r="260" customFormat="false" ht="12" hidden="false" customHeight="true" outlineLevel="0" collapsed="false">
      <c r="A260" s="120" t="n">
        <f aca="false">EDATE(A259,1)</f>
        <v>44896</v>
      </c>
      <c r="B260" s="121" t="n">
        <v>0</v>
      </c>
      <c r="C260" s="122"/>
      <c r="D260" s="123" t="n">
        <f aca="false">B260+C260</f>
        <v>0</v>
      </c>
      <c r="E260" s="111" t="n">
        <f aca="false">IF(Z260=0,0,IF(AND(Z260=1,$H$3=1),D260*U260,IF($H$3=2,D260,"N/A")))</f>
        <v>0</v>
      </c>
      <c r="F260" s="111" t="n">
        <f aca="false">E260*Y260</f>
        <v>0</v>
      </c>
      <c r="G260" s="124" t="n">
        <f aca="false">VLOOKUP($A260,Table,MATCH(G$4,Curves,0))</f>
        <v>3</v>
      </c>
      <c r="H260" s="125" t="n">
        <f aca="false">G260+$H$7</f>
        <v>3</v>
      </c>
      <c r="I260" s="124" t="n">
        <f aca="false">H260</f>
        <v>3</v>
      </c>
      <c r="J260" s="124" t="n">
        <f aca="false">VLOOKUP($A260,Table,MATCH(J$4,Curves,0))</f>
        <v>4</v>
      </c>
      <c r="K260" s="125" t="n">
        <f aca="false">J260+$K$7</f>
        <v>4</v>
      </c>
      <c r="L260" s="126" t="n">
        <f aca="false">K260</f>
        <v>4</v>
      </c>
      <c r="M260" s="124" t="n">
        <f aca="false">VLOOKUP($A260,Table,MATCH(M$4,Curves,0))</f>
        <v>4</v>
      </c>
      <c r="N260" s="125" t="n">
        <f aca="false">M260+$N$7</f>
        <v>4</v>
      </c>
      <c r="O260" s="126" t="n">
        <f aca="false">IF(B260&gt;0,(1000/B260*0.25)+((B260-1000)/B260*0.12),0)</f>
        <v>0</v>
      </c>
      <c r="P260" s="114"/>
      <c r="Q260" s="126" t="n">
        <f aca="false">M260+J260+G260</f>
        <v>11</v>
      </c>
      <c r="R260" s="126" t="n">
        <f aca="false">N260+K260+H260</f>
        <v>11</v>
      </c>
      <c r="S260" s="126" t="n">
        <f aca="false">O260+L260+I260</f>
        <v>7</v>
      </c>
      <c r="T260" s="127"/>
      <c r="U260" s="5" t="n">
        <f aca="false">A261-A260</f>
        <v>31</v>
      </c>
      <c r="V260" s="128" t="n">
        <f aca="false">CHOOSE(F$3,A261+24,A260)</f>
        <v>44896</v>
      </c>
      <c r="W260" s="5" t="n">
        <f aca="false">V260-C$3</f>
        <v>7665</v>
      </c>
      <c r="X260" s="124" t="n">
        <f aca="false">VLOOKUP($A260,Table,MATCH(X$4,Curves,0))</f>
        <v>2</v>
      </c>
      <c r="Y260" s="129" t="n">
        <f aca="false">1/(1+CHOOSE(F$3,(X261+($K$3/10000))/2,(X260+($K$3/10000))/2))^(2*W260/365.25)</f>
        <v>2.31949810383533E-013</v>
      </c>
      <c r="Z260" s="5" t="n">
        <f aca="false">IF(AND(mthbeg&lt;=A260,mthend&gt;=A260),1,0)</f>
        <v>0</v>
      </c>
      <c r="AA260" s="5" t="n">
        <f aca="false">U260*Z260</f>
        <v>0</v>
      </c>
      <c r="AC260" s="115" t="n">
        <f aca="false">IF(G253=2,F260*(S260-Q260),F260*(Q260-S260))</f>
        <v>0</v>
      </c>
      <c r="AE260" s="116" t="n">
        <f aca="false">IF($G$3=1,F260*(R260-Q260),F260*(Q260-R260))</f>
        <v>0</v>
      </c>
      <c r="AG260" s="116" t="n">
        <f aca="false">AC260+AE260</f>
        <v>0</v>
      </c>
    </row>
    <row r="261" customFormat="false" ht="12" hidden="false" customHeight="true" outlineLevel="0" collapsed="false">
      <c r="A261" s="120" t="n">
        <f aca="false">EDATE(A260,1)</f>
        <v>44927</v>
      </c>
      <c r="B261" s="121" t="n">
        <v>0</v>
      </c>
      <c r="C261" s="122"/>
      <c r="D261" s="123" t="n">
        <f aca="false">B261+C261</f>
        <v>0</v>
      </c>
      <c r="E261" s="111" t="n">
        <f aca="false">IF(Z261=0,0,IF(AND(Z261=1,$H$3=1),D261*U261,IF($H$3=2,D261,"N/A")))</f>
        <v>0</v>
      </c>
      <c r="F261" s="111" t="n">
        <f aca="false">E261*Y261</f>
        <v>0</v>
      </c>
      <c r="G261" s="124" t="n">
        <f aca="false">VLOOKUP($A261,Table,MATCH(G$4,Curves,0))</f>
        <v>3</v>
      </c>
      <c r="H261" s="125" t="n">
        <f aca="false">G261+$H$7</f>
        <v>3</v>
      </c>
      <c r="I261" s="124" t="n">
        <f aca="false">H261</f>
        <v>3</v>
      </c>
      <c r="J261" s="124" t="n">
        <f aca="false">VLOOKUP($A261,Table,MATCH(J$4,Curves,0))</f>
        <v>4</v>
      </c>
      <c r="K261" s="125" t="n">
        <f aca="false">J261+$K$7</f>
        <v>4</v>
      </c>
      <c r="L261" s="126" t="n">
        <f aca="false">K261</f>
        <v>4</v>
      </c>
      <c r="M261" s="124" t="n">
        <f aca="false">VLOOKUP($A261,Table,MATCH(M$4,Curves,0))</f>
        <v>4</v>
      </c>
      <c r="N261" s="125" t="n">
        <f aca="false">M261+$N$7</f>
        <v>4</v>
      </c>
      <c r="O261" s="126" t="n">
        <f aca="false">IF(B261&gt;0,(1000/B261*0.25)+((B261-1000)/B261*0.12),0)</f>
        <v>0</v>
      </c>
      <c r="P261" s="114"/>
      <c r="Q261" s="126" t="n">
        <f aca="false">M261+J261+G261</f>
        <v>11</v>
      </c>
      <c r="R261" s="126" t="n">
        <f aca="false">N261+K261+H261</f>
        <v>11</v>
      </c>
      <c r="S261" s="126" t="n">
        <f aca="false">O261+L261+I261</f>
        <v>7</v>
      </c>
      <c r="T261" s="127"/>
      <c r="U261" s="5" t="n">
        <f aca="false">A262-A261</f>
        <v>31</v>
      </c>
      <c r="V261" s="128" t="n">
        <f aca="false">CHOOSE(F$3,A262+24,A261)</f>
        <v>44927</v>
      </c>
      <c r="W261" s="5" t="n">
        <f aca="false">V261-C$3</f>
        <v>7696</v>
      </c>
      <c r="X261" s="124" t="n">
        <f aca="false">VLOOKUP($A261,Table,MATCH(X$4,Curves,0))</f>
        <v>2</v>
      </c>
      <c r="Y261" s="129" t="n">
        <f aca="false">1/(1+CHOOSE(F$3,(X262+($K$3/10000))/2,(X261+($K$3/10000))/2))^(2*W261/365.25)</f>
        <v>2.06203085143056E-013</v>
      </c>
      <c r="Z261" s="5" t="n">
        <f aca="false">IF(AND(mthbeg&lt;=A261,mthend&gt;=A261),1,0)</f>
        <v>0</v>
      </c>
      <c r="AA261" s="5" t="n">
        <f aca="false">U261*Z261</f>
        <v>0</v>
      </c>
      <c r="AC261" s="115" t="n">
        <f aca="false">IF(G254=2,F261*(S261-Q261),F261*(Q261-S261))</f>
        <v>0</v>
      </c>
      <c r="AE261" s="116" t="n">
        <f aca="false">IF($G$3=1,F261*(R261-Q261),F261*(Q261-R261))</f>
        <v>0</v>
      </c>
      <c r="AG261" s="116" t="n">
        <f aca="false">AC261+AE261</f>
        <v>0</v>
      </c>
    </row>
    <row r="262" customFormat="false" ht="12" hidden="false" customHeight="true" outlineLevel="0" collapsed="false">
      <c r="A262" s="120" t="n">
        <f aca="false">EDATE(A261,1)</f>
        <v>44958</v>
      </c>
      <c r="B262" s="121" t="n">
        <v>0</v>
      </c>
      <c r="C262" s="122"/>
      <c r="D262" s="123" t="n">
        <f aca="false">B262+C262</f>
        <v>0</v>
      </c>
      <c r="E262" s="111" t="n">
        <f aca="false">IF(Z262=0,0,IF(AND(Z262=1,$H$3=1),D262*U262,IF($H$3=2,D262,"N/A")))</f>
        <v>0</v>
      </c>
      <c r="F262" s="111" t="n">
        <f aca="false">E262*Y262</f>
        <v>0</v>
      </c>
      <c r="G262" s="124" t="n">
        <f aca="false">VLOOKUP($A262,Table,MATCH(G$4,Curves,0))</f>
        <v>3</v>
      </c>
      <c r="H262" s="125" t="n">
        <f aca="false">G262+$H$7</f>
        <v>3</v>
      </c>
      <c r="I262" s="124" t="n">
        <f aca="false">H262</f>
        <v>3</v>
      </c>
      <c r="J262" s="124" t="n">
        <f aca="false">VLOOKUP($A262,Table,MATCH(J$4,Curves,0))</f>
        <v>4</v>
      </c>
      <c r="K262" s="125" t="n">
        <f aca="false">J262+$K$7</f>
        <v>4</v>
      </c>
      <c r="L262" s="126" t="n">
        <f aca="false">K262</f>
        <v>4</v>
      </c>
      <c r="M262" s="124" t="n">
        <f aca="false">VLOOKUP($A262,Table,MATCH(M$4,Curves,0))</f>
        <v>4</v>
      </c>
      <c r="N262" s="125" t="n">
        <f aca="false">M262+$N$7</f>
        <v>4</v>
      </c>
      <c r="O262" s="126" t="n">
        <f aca="false">IF(B262&gt;0,(1000/B262*0.25)+((B262-1000)/B262*0.12),0)</f>
        <v>0</v>
      </c>
      <c r="P262" s="114"/>
      <c r="Q262" s="126" t="n">
        <f aca="false">M262+J262+G262</f>
        <v>11</v>
      </c>
      <c r="R262" s="126" t="n">
        <f aca="false">N262+K262+H262</f>
        <v>11</v>
      </c>
      <c r="S262" s="126" t="n">
        <f aca="false">O262+L262+I262</f>
        <v>7</v>
      </c>
      <c r="T262" s="127"/>
      <c r="U262" s="5" t="n">
        <f aca="false">A263-A262</f>
        <v>28</v>
      </c>
      <c r="V262" s="128" t="n">
        <f aca="false">CHOOSE(F$3,A263+24,A262)</f>
        <v>44958</v>
      </c>
      <c r="W262" s="5" t="n">
        <f aca="false">V262-C$3</f>
        <v>7727</v>
      </c>
      <c r="X262" s="124" t="n">
        <f aca="false">VLOOKUP($A262,Table,MATCH(X$4,Curves,0))</f>
        <v>2</v>
      </c>
      <c r="Y262" s="129" t="n">
        <f aca="false">1/(1+CHOOSE(F$3,(X263+($K$3/10000))/2,(X262+($K$3/10000))/2))^(2*W262/365.25)</f>
        <v>1.83314279292608E-013</v>
      </c>
      <c r="Z262" s="5" t="n">
        <f aca="false">IF(AND(mthbeg&lt;=A262,mthend&gt;=A262),1,0)</f>
        <v>0</v>
      </c>
      <c r="AA262" s="5" t="n">
        <f aca="false">U262*Z262</f>
        <v>0</v>
      </c>
      <c r="AC262" s="115" t="n">
        <f aca="false">IF(G255=2,F262*(S262-Q262),F262*(Q262-S262))</f>
        <v>0</v>
      </c>
      <c r="AE262" s="116" t="n">
        <f aca="false">IF($G$3=1,F262*(R262-Q262),F262*(Q262-R262))</f>
        <v>0</v>
      </c>
      <c r="AG262" s="116" t="n">
        <f aca="false">AC262+AE262</f>
        <v>0</v>
      </c>
    </row>
    <row r="263" customFormat="false" ht="12" hidden="false" customHeight="true" outlineLevel="0" collapsed="false">
      <c r="A263" s="120" t="n">
        <f aca="false">EDATE(A262,1)</f>
        <v>44986</v>
      </c>
      <c r="B263" s="121" t="n">
        <v>0</v>
      </c>
      <c r="C263" s="122"/>
      <c r="D263" s="123" t="n">
        <f aca="false">B263+C263</f>
        <v>0</v>
      </c>
      <c r="E263" s="111" t="n">
        <f aca="false">IF(Z263=0,0,IF(AND(Z263=1,$H$3=1),D263*U263,IF($H$3=2,D263,"N/A")))</f>
        <v>0</v>
      </c>
      <c r="F263" s="111" t="n">
        <f aca="false">E263*Y263</f>
        <v>0</v>
      </c>
      <c r="G263" s="124" t="n">
        <f aca="false">VLOOKUP($A263,Table,MATCH(G$4,Curves,0))</f>
        <v>3</v>
      </c>
      <c r="H263" s="125" t="n">
        <f aca="false">G263+$H$7</f>
        <v>3</v>
      </c>
      <c r="I263" s="124" t="n">
        <f aca="false">H263</f>
        <v>3</v>
      </c>
      <c r="J263" s="124" t="n">
        <f aca="false">VLOOKUP($A263,Table,MATCH(J$4,Curves,0))</f>
        <v>4</v>
      </c>
      <c r="K263" s="125" t="n">
        <f aca="false">J263+$K$7</f>
        <v>4</v>
      </c>
      <c r="L263" s="126" t="n">
        <f aca="false">K263</f>
        <v>4</v>
      </c>
      <c r="M263" s="124" t="n">
        <f aca="false">VLOOKUP($A263,Table,MATCH(M$4,Curves,0))</f>
        <v>4</v>
      </c>
      <c r="N263" s="125" t="n">
        <f aca="false">M263+$N$7</f>
        <v>4</v>
      </c>
      <c r="O263" s="126" t="n">
        <f aca="false">IF(B263&gt;0,(1000/B263*0.25)+((B263-1000)/B263*0.12),0)</f>
        <v>0</v>
      </c>
      <c r="P263" s="114"/>
      <c r="Q263" s="126" t="n">
        <f aca="false">M263+J263+G263</f>
        <v>11</v>
      </c>
      <c r="R263" s="126" t="n">
        <f aca="false">N263+K263+H263</f>
        <v>11</v>
      </c>
      <c r="S263" s="126" t="n">
        <f aca="false">O263+L263+I263</f>
        <v>7</v>
      </c>
      <c r="T263" s="127"/>
      <c r="U263" s="5" t="n">
        <f aca="false">A264-A263</f>
        <v>31</v>
      </c>
      <c r="V263" s="128" t="n">
        <f aca="false">CHOOSE(F$3,A264+24,A263)</f>
        <v>44986</v>
      </c>
      <c r="W263" s="5" t="n">
        <f aca="false">V263-C$3</f>
        <v>7755</v>
      </c>
      <c r="X263" s="124" t="n">
        <f aca="false">VLOOKUP($A263,Table,MATCH(X$4,Curves,0))</f>
        <v>2</v>
      </c>
      <c r="Y263" s="129" t="n">
        <f aca="false">1/(1+CHOOSE(F$3,(X264+($K$3/10000))/2,(X263+($K$3/10000))/2))^(2*W263/365.25)</f>
        <v>1.64832362733769E-013</v>
      </c>
      <c r="Z263" s="5" t="n">
        <f aca="false">IF(AND(mthbeg&lt;=A263,mthend&gt;=A263),1,0)</f>
        <v>0</v>
      </c>
      <c r="AA263" s="5" t="n">
        <f aca="false">U263*Z263</f>
        <v>0</v>
      </c>
      <c r="AC263" s="115" t="n">
        <f aca="false">IF(G256=2,F263*(S263-Q263),F263*(Q263-S263))</f>
        <v>0</v>
      </c>
      <c r="AE263" s="116" t="n">
        <f aca="false">IF($G$3=1,F263*(R263-Q263),F263*(Q263-R263))</f>
        <v>0</v>
      </c>
      <c r="AG263" s="116" t="n">
        <f aca="false">AC263+AE263</f>
        <v>0</v>
      </c>
    </row>
    <row r="264" customFormat="false" ht="12" hidden="false" customHeight="true" outlineLevel="0" collapsed="false">
      <c r="A264" s="120" t="n">
        <f aca="false">EDATE(A263,1)</f>
        <v>45017</v>
      </c>
      <c r="B264" s="121" t="n">
        <v>0</v>
      </c>
      <c r="C264" s="122"/>
      <c r="D264" s="123" t="n">
        <f aca="false">B264+C264</f>
        <v>0</v>
      </c>
      <c r="E264" s="111" t="n">
        <f aca="false">IF(Z264=0,0,IF(AND(Z264=1,$H$3=1),D264*U264,IF($H$3=2,D264,"N/A")))</f>
        <v>0</v>
      </c>
      <c r="F264" s="111" t="n">
        <f aca="false">E264*Y264</f>
        <v>0</v>
      </c>
      <c r="G264" s="124" t="n">
        <f aca="false">VLOOKUP($A264,Table,MATCH(G$4,Curves,0))</f>
        <v>3</v>
      </c>
      <c r="H264" s="125" t="n">
        <f aca="false">G264+$H$7</f>
        <v>3</v>
      </c>
      <c r="I264" s="124" t="n">
        <f aca="false">H264</f>
        <v>3</v>
      </c>
      <c r="J264" s="124" t="n">
        <f aca="false">VLOOKUP($A264,Table,MATCH(J$4,Curves,0))</f>
        <v>4</v>
      </c>
      <c r="K264" s="125" t="n">
        <f aca="false">J264+$K$7</f>
        <v>4</v>
      </c>
      <c r="L264" s="126" t="n">
        <f aca="false">K264</f>
        <v>4</v>
      </c>
      <c r="M264" s="124" t="n">
        <f aca="false">VLOOKUP($A264,Table,MATCH(M$4,Curves,0))</f>
        <v>4</v>
      </c>
      <c r="N264" s="125" t="n">
        <f aca="false">M264+$N$7</f>
        <v>4</v>
      </c>
      <c r="O264" s="126" t="n">
        <f aca="false">IF(B264&gt;0,(1000/B264*0.25)+((B264-1000)/B264*0.12),0)</f>
        <v>0</v>
      </c>
      <c r="P264" s="114"/>
      <c r="Q264" s="126" t="n">
        <f aca="false">M264+J264+G264</f>
        <v>11</v>
      </c>
      <c r="R264" s="126" t="n">
        <f aca="false">N264+K264+H264</f>
        <v>11</v>
      </c>
      <c r="S264" s="126" t="n">
        <f aca="false">O264+L264+I264</f>
        <v>7</v>
      </c>
      <c r="T264" s="127"/>
      <c r="U264" s="5" t="n">
        <f aca="false">A265-A264</f>
        <v>30</v>
      </c>
      <c r="V264" s="128" t="n">
        <f aca="false">CHOOSE(F$3,A265+24,A264)</f>
        <v>45017</v>
      </c>
      <c r="W264" s="5" t="n">
        <f aca="false">V264-C$3</f>
        <v>7786</v>
      </c>
      <c r="X264" s="124" t="n">
        <f aca="false">VLOOKUP($A264,Table,MATCH(X$4,Curves,0))</f>
        <v>2</v>
      </c>
      <c r="Y264" s="129" t="n">
        <f aca="false">1/(1+CHOOSE(F$3,(X265+($K$3/10000))/2,(X264+($K$3/10000))/2))^(2*W264/365.25)</f>
        <v>1.4653575991686E-013</v>
      </c>
      <c r="Z264" s="5" t="n">
        <f aca="false">IF(AND(mthbeg&lt;=A264,mthend&gt;=A264),1,0)</f>
        <v>0</v>
      </c>
      <c r="AA264" s="5" t="n">
        <f aca="false">U264*Z264</f>
        <v>0</v>
      </c>
      <c r="AC264" s="115" t="n">
        <f aca="false">IF(G257=2,F264*(S264-Q264),F264*(Q264-S264))</f>
        <v>0</v>
      </c>
      <c r="AE264" s="116" t="n">
        <f aca="false">IF($G$3=1,F264*(R264-Q264),F264*(Q264-R264))</f>
        <v>0</v>
      </c>
      <c r="AG264" s="116" t="n">
        <f aca="false">AC264+AE264</f>
        <v>0</v>
      </c>
    </row>
    <row r="265" customFormat="false" ht="12" hidden="false" customHeight="true" outlineLevel="0" collapsed="false">
      <c r="A265" s="120" t="n">
        <f aca="false">EDATE(A264,1)</f>
        <v>45047</v>
      </c>
      <c r="B265" s="121" t="n">
        <v>0</v>
      </c>
      <c r="C265" s="122"/>
      <c r="D265" s="123" t="n">
        <f aca="false">B265+C265</f>
        <v>0</v>
      </c>
      <c r="E265" s="111" t="n">
        <f aca="false">IF(Z265=0,0,IF(AND(Z265=1,$H$3=1),D265*U265,IF($H$3=2,D265,"N/A")))</f>
        <v>0</v>
      </c>
      <c r="F265" s="111" t="n">
        <f aca="false">E265*Y265</f>
        <v>0</v>
      </c>
      <c r="G265" s="124" t="n">
        <f aca="false">VLOOKUP($A265,Table,MATCH(G$4,Curves,0))</f>
        <v>3</v>
      </c>
      <c r="H265" s="125" t="n">
        <f aca="false">G265+$H$7</f>
        <v>3</v>
      </c>
      <c r="I265" s="124" t="n">
        <f aca="false">H265</f>
        <v>3</v>
      </c>
      <c r="J265" s="124" t="n">
        <f aca="false">VLOOKUP($A265,Table,MATCH(J$4,Curves,0))</f>
        <v>4</v>
      </c>
      <c r="K265" s="125" t="n">
        <f aca="false">J265+$K$7</f>
        <v>4</v>
      </c>
      <c r="L265" s="126" t="n">
        <f aca="false">K265</f>
        <v>4</v>
      </c>
      <c r="M265" s="124" t="n">
        <f aca="false">VLOOKUP($A265,Table,MATCH(M$4,Curves,0))</f>
        <v>4</v>
      </c>
      <c r="N265" s="125" t="n">
        <f aca="false">M265+$N$7</f>
        <v>4</v>
      </c>
      <c r="O265" s="126" t="n">
        <f aca="false">IF(B265&gt;0,(1000/B265*0.25)+((B265-1000)/B265*0.12),0)</f>
        <v>0</v>
      </c>
      <c r="P265" s="114"/>
      <c r="Q265" s="126" t="n">
        <f aca="false">M265+J265+G265</f>
        <v>11</v>
      </c>
      <c r="R265" s="126" t="n">
        <f aca="false">N265+K265+H265</f>
        <v>11</v>
      </c>
      <c r="S265" s="126" t="n">
        <f aca="false">O265+L265+I265</f>
        <v>7</v>
      </c>
      <c r="T265" s="127"/>
      <c r="U265" s="5" t="n">
        <f aca="false">A266-A265</f>
        <v>31</v>
      </c>
      <c r="V265" s="128" t="n">
        <f aca="false">CHOOSE(F$3,A266+24,A265)</f>
        <v>45047</v>
      </c>
      <c r="W265" s="5" t="n">
        <f aca="false">V265-C$3</f>
        <v>7816</v>
      </c>
      <c r="X265" s="124" t="n">
        <f aca="false">VLOOKUP($A265,Table,MATCH(X$4,Curves,0))</f>
        <v>2</v>
      </c>
      <c r="Y265" s="129" t="n">
        <f aca="false">1/(1+CHOOSE(F$3,(X266+($K$3/10000))/2,(X265+($K$3/10000))/2))^(2*W265/365.25)</f>
        <v>1.3076547877267E-013</v>
      </c>
      <c r="Z265" s="5" t="n">
        <f aca="false">IF(AND(mthbeg&lt;=A265,mthend&gt;=A265),1,0)</f>
        <v>0</v>
      </c>
      <c r="AA265" s="5" t="n">
        <f aca="false">U265*Z265</f>
        <v>0</v>
      </c>
      <c r="AC265" s="115" t="n">
        <f aca="false">IF(G258=2,F265*(S265-Q265),F265*(Q265-S265))</f>
        <v>0</v>
      </c>
      <c r="AE265" s="116" t="n">
        <f aca="false">IF($G$3=1,F265*(R265-Q265),F265*(Q265-R265))</f>
        <v>0</v>
      </c>
      <c r="AG265" s="116" t="n">
        <f aca="false">AC265+AE265</f>
        <v>0</v>
      </c>
    </row>
    <row r="266" customFormat="false" ht="12" hidden="false" customHeight="true" outlineLevel="0" collapsed="false">
      <c r="A266" s="120" t="n">
        <f aca="false">EDATE(A265,1)</f>
        <v>45078</v>
      </c>
      <c r="B266" s="121" t="n">
        <v>0</v>
      </c>
      <c r="C266" s="122"/>
      <c r="D266" s="123" t="n">
        <f aca="false">B266+C266</f>
        <v>0</v>
      </c>
      <c r="E266" s="111" t="n">
        <f aca="false">IF(Z266=0,0,IF(AND(Z266=1,$H$3=1),D266*U266,IF($H$3=2,D266,"N/A")))</f>
        <v>0</v>
      </c>
      <c r="F266" s="111" t="n">
        <f aca="false">E266*Y266</f>
        <v>0</v>
      </c>
      <c r="G266" s="124" t="n">
        <f aca="false">VLOOKUP($A266,Table,MATCH(G$4,Curves,0))</f>
        <v>3</v>
      </c>
      <c r="H266" s="125" t="n">
        <f aca="false">G266+$H$7</f>
        <v>3</v>
      </c>
      <c r="I266" s="124" t="n">
        <f aca="false">H266</f>
        <v>3</v>
      </c>
      <c r="J266" s="124" t="n">
        <f aca="false">VLOOKUP($A266,Table,MATCH(J$4,Curves,0))</f>
        <v>4</v>
      </c>
      <c r="K266" s="125" t="n">
        <f aca="false">J266+$K$7</f>
        <v>4</v>
      </c>
      <c r="L266" s="126" t="n">
        <f aca="false">K266</f>
        <v>4</v>
      </c>
      <c r="M266" s="124" t="n">
        <f aca="false">VLOOKUP($A266,Table,MATCH(M$4,Curves,0))</f>
        <v>4</v>
      </c>
      <c r="N266" s="125" t="n">
        <f aca="false">M266+$N$7</f>
        <v>4</v>
      </c>
      <c r="O266" s="126" t="n">
        <f aca="false">IF(B266&gt;0,(1000/B266*0.25)+((B266-1000)/B266*0.12),0)</f>
        <v>0</v>
      </c>
      <c r="P266" s="114"/>
      <c r="Q266" s="126" t="n">
        <f aca="false">M266+J266+G266</f>
        <v>11</v>
      </c>
      <c r="R266" s="126" t="n">
        <f aca="false">N266+K266+H266</f>
        <v>11</v>
      </c>
      <c r="S266" s="126" t="n">
        <f aca="false">O266+L266+I266</f>
        <v>7</v>
      </c>
      <c r="T266" s="127"/>
      <c r="U266" s="5" t="n">
        <f aca="false">A267-A266</f>
        <v>30</v>
      </c>
      <c r="V266" s="128" t="n">
        <f aca="false">CHOOSE(F$3,A267+24,A266)</f>
        <v>45078</v>
      </c>
      <c r="W266" s="5" t="n">
        <f aca="false">V266-C$3</f>
        <v>7847</v>
      </c>
      <c r="X266" s="124" t="n">
        <f aca="false">VLOOKUP($A266,Table,MATCH(X$4,Curves,0))</f>
        <v>2</v>
      </c>
      <c r="Y266" s="129" t="n">
        <f aca="false">1/(1+CHOOSE(F$3,(X267+($K$3/10000))/2,(X266+($K$3/10000))/2))^(2*W266/365.25)</f>
        <v>1.16250343591778E-013</v>
      </c>
      <c r="Z266" s="5" t="n">
        <f aca="false">IF(AND(mthbeg&lt;=A266,mthend&gt;=A266),1,0)</f>
        <v>0</v>
      </c>
      <c r="AA266" s="5" t="n">
        <f aca="false">U266*Z266</f>
        <v>0</v>
      </c>
      <c r="AC266" s="115" t="n">
        <f aca="false">IF(G259=2,F266*(S266-Q266),F266*(Q266-S266))</f>
        <v>0</v>
      </c>
      <c r="AE266" s="116" t="n">
        <f aca="false">IF($G$3=1,F266*(R266-Q266),F266*(Q266-R266))</f>
        <v>0</v>
      </c>
      <c r="AG266" s="116" t="n">
        <f aca="false">AC266+AE266</f>
        <v>0</v>
      </c>
    </row>
    <row r="267" customFormat="false" ht="12" hidden="false" customHeight="true" outlineLevel="0" collapsed="false">
      <c r="A267" s="120" t="n">
        <f aca="false">EDATE(A266,1)</f>
        <v>45108</v>
      </c>
      <c r="B267" s="121" t="n">
        <v>0</v>
      </c>
      <c r="C267" s="122"/>
      <c r="D267" s="123" t="n">
        <f aca="false">B267+C267</f>
        <v>0</v>
      </c>
      <c r="E267" s="111" t="n">
        <f aca="false">IF(Z267=0,0,IF(AND(Z267=1,$H$3=1),D267*U267,IF($H$3=2,D267,"N/A")))</f>
        <v>0</v>
      </c>
      <c r="F267" s="111" t="n">
        <f aca="false">E267*Y267</f>
        <v>0</v>
      </c>
      <c r="G267" s="124" t="n">
        <f aca="false">VLOOKUP($A267,Table,MATCH(G$4,Curves,0))</f>
        <v>3</v>
      </c>
      <c r="H267" s="125" t="n">
        <f aca="false">G267+$H$7</f>
        <v>3</v>
      </c>
      <c r="I267" s="124" t="n">
        <f aca="false">H267</f>
        <v>3</v>
      </c>
      <c r="J267" s="124" t="n">
        <f aca="false">VLOOKUP($A267,Table,MATCH(J$4,Curves,0))</f>
        <v>4</v>
      </c>
      <c r="K267" s="125" t="n">
        <f aca="false">J267+$K$7</f>
        <v>4</v>
      </c>
      <c r="L267" s="126" t="n">
        <f aca="false">K267</f>
        <v>4</v>
      </c>
      <c r="M267" s="124" t="n">
        <f aca="false">VLOOKUP($A267,Table,MATCH(M$4,Curves,0))</f>
        <v>4</v>
      </c>
      <c r="N267" s="125" t="n">
        <f aca="false">M267+$N$7</f>
        <v>4</v>
      </c>
      <c r="O267" s="126" t="n">
        <f aca="false">IF(B267&gt;0,(1000/B267*0.25)+((B267-1000)/B267*0.12),0)</f>
        <v>0</v>
      </c>
      <c r="P267" s="114"/>
      <c r="Q267" s="126" t="n">
        <f aca="false">M267+J267+G267</f>
        <v>11</v>
      </c>
      <c r="R267" s="126" t="n">
        <f aca="false">N267+K267+H267</f>
        <v>11</v>
      </c>
      <c r="S267" s="126" t="n">
        <f aca="false">O267+L267+I267</f>
        <v>7</v>
      </c>
      <c r="T267" s="127"/>
      <c r="U267" s="5" t="n">
        <f aca="false">A268-A267</f>
        <v>31</v>
      </c>
      <c r="V267" s="128" t="n">
        <f aca="false">CHOOSE(F$3,A268+24,A267)</f>
        <v>45108</v>
      </c>
      <c r="W267" s="5" t="n">
        <f aca="false">V267-C$3</f>
        <v>7877</v>
      </c>
      <c r="X267" s="124" t="n">
        <f aca="false">VLOOKUP($A267,Table,MATCH(X$4,Curves,0))</f>
        <v>2</v>
      </c>
      <c r="Y267" s="129" t="n">
        <f aca="false">1/(1+CHOOSE(F$3,(X268+($K$3/10000))/2,(X267+($K$3/10000))/2))^(2*W267/365.25)</f>
        <v>1.03739400170246E-013</v>
      </c>
      <c r="Z267" s="5" t="n">
        <f aca="false">IF(AND(mthbeg&lt;=A267,mthend&gt;=A267),1,0)</f>
        <v>0</v>
      </c>
      <c r="AA267" s="5" t="n">
        <f aca="false">U267*Z267</f>
        <v>0</v>
      </c>
      <c r="AC267" s="115" t="n">
        <f aca="false">IF(G260=2,F267*(S267-Q267),F267*(Q267-S267))</f>
        <v>0</v>
      </c>
      <c r="AE267" s="116" t="n">
        <f aca="false">IF($G$3=1,F267*(R267-Q267),F267*(Q267-R267))</f>
        <v>0</v>
      </c>
      <c r="AG267" s="116" t="n">
        <f aca="false">AC267+AE267</f>
        <v>0</v>
      </c>
    </row>
    <row r="268" customFormat="false" ht="12" hidden="false" customHeight="true" outlineLevel="0" collapsed="false">
      <c r="A268" s="120" t="n">
        <f aca="false">EDATE(A267,1)</f>
        <v>45139</v>
      </c>
      <c r="B268" s="121" t="n">
        <v>0</v>
      </c>
      <c r="C268" s="122"/>
      <c r="D268" s="123" t="n">
        <f aca="false">B268+C268</f>
        <v>0</v>
      </c>
      <c r="E268" s="111" t="n">
        <f aca="false">IF(Z268=0,0,IF(AND(Z268=1,$H$3=1),D268*U268,IF($H$3=2,D268,"N/A")))</f>
        <v>0</v>
      </c>
      <c r="F268" s="111" t="n">
        <f aca="false">E268*Y268</f>
        <v>0</v>
      </c>
      <c r="G268" s="124" t="n">
        <f aca="false">VLOOKUP($A268,Table,MATCH(G$4,Curves,0))</f>
        <v>3</v>
      </c>
      <c r="H268" s="125" t="n">
        <f aca="false">G268+$H$7</f>
        <v>3</v>
      </c>
      <c r="I268" s="124" t="n">
        <f aca="false">H268</f>
        <v>3</v>
      </c>
      <c r="J268" s="124" t="n">
        <f aca="false">VLOOKUP($A268,Table,MATCH(J$4,Curves,0))</f>
        <v>4</v>
      </c>
      <c r="K268" s="125" t="n">
        <f aca="false">J268+$K$7</f>
        <v>4</v>
      </c>
      <c r="L268" s="126" t="n">
        <f aca="false">K268</f>
        <v>4</v>
      </c>
      <c r="M268" s="124" t="n">
        <f aca="false">VLOOKUP($A268,Table,MATCH(M$4,Curves,0))</f>
        <v>4</v>
      </c>
      <c r="N268" s="125" t="n">
        <f aca="false">M268+$N$7</f>
        <v>4</v>
      </c>
      <c r="O268" s="126" t="n">
        <f aca="false">IF(B268&gt;0,(1000/B268*0.25)+((B268-1000)/B268*0.12),0)</f>
        <v>0</v>
      </c>
      <c r="P268" s="114"/>
      <c r="Q268" s="126" t="n">
        <f aca="false">M268+J268+G268</f>
        <v>11</v>
      </c>
      <c r="R268" s="126" t="n">
        <f aca="false">N268+K268+H268</f>
        <v>11</v>
      </c>
      <c r="S268" s="126" t="n">
        <f aca="false">O268+L268+I268</f>
        <v>7</v>
      </c>
      <c r="T268" s="127"/>
      <c r="U268" s="5" t="n">
        <f aca="false">A269-A268</f>
        <v>31</v>
      </c>
      <c r="V268" s="128" t="n">
        <f aca="false">CHOOSE(F$3,A269+24,A268)</f>
        <v>45139</v>
      </c>
      <c r="W268" s="5" t="n">
        <f aca="false">V268-C$3</f>
        <v>7908</v>
      </c>
      <c r="X268" s="124" t="n">
        <f aca="false">VLOOKUP($A268,Table,MATCH(X$4,Curves,0))</f>
        <v>2</v>
      </c>
      <c r="Y268" s="129" t="n">
        <f aca="false">1/(1+CHOOSE(F$3,(X269+($K$3/10000))/2,(X268+($K$3/10000))/2))^(2*W268/365.25)</f>
        <v>9.22241942367787E-014</v>
      </c>
      <c r="Z268" s="5" t="n">
        <f aca="false">IF(AND(mthbeg&lt;=A268,mthend&gt;=A268),1,0)</f>
        <v>0</v>
      </c>
      <c r="AA268" s="5" t="n">
        <f aca="false">U268*Z268</f>
        <v>0</v>
      </c>
      <c r="AC268" s="115" t="n">
        <f aca="false">IF(G261=2,F268*(S268-Q268),F268*(Q268-S268))</f>
        <v>0</v>
      </c>
      <c r="AE268" s="116" t="n">
        <f aca="false">IF($G$3=1,F268*(R268-Q268),F268*(Q268-R268))</f>
        <v>0</v>
      </c>
      <c r="AG268" s="116" t="n">
        <f aca="false">AC268+AE268</f>
        <v>0</v>
      </c>
    </row>
    <row r="269" customFormat="false" ht="12" hidden="false" customHeight="true" outlineLevel="0" collapsed="false">
      <c r="A269" s="120" t="n">
        <f aca="false">EDATE(A268,1)</f>
        <v>45170</v>
      </c>
      <c r="B269" s="121" t="n">
        <v>0</v>
      </c>
      <c r="C269" s="122"/>
      <c r="D269" s="123" t="n">
        <f aca="false">B269+C269</f>
        <v>0</v>
      </c>
      <c r="E269" s="111" t="n">
        <f aca="false">IF(Z269=0,0,IF(AND(Z269=1,$H$3=1),D269*U269,IF($H$3=2,D269,"N/A")))</f>
        <v>0</v>
      </c>
      <c r="F269" s="111" t="n">
        <f aca="false">E269*Y269</f>
        <v>0</v>
      </c>
      <c r="G269" s="124" t="n">
        <f aca="false">VLOOKUP($A269,Table,MATCH(G$4,Curves,0))</f>
        <v>3</v>
      </c>
      <c r="H269" s="125" t="n">
        <f aca="false">G269+$H$7</f>
        <v>3</v>
      </c>
      <c r="I269" s="124" t="n">
        <f aca="false">H269</f>
        <v>3</v>
      </c>
      <c r="J269" s="124" t="n">
        <f aca="false">VLOOKUP($A269,Table,MATCH(J$4,Curves,0))</f>
        <v>4</v>
      </c>
      <c r="K269" s="125" t="n">
        <f aca="false">J269+$K$7</f>
        <v>4</v>
      </c>
      <c r="L269" s="126" t="n">
        <f aca="false">K269</f>
        <v>4</v>
      </c>
      <c r="M269" s="124" t="n">
        <f aca="false">VLOOKUP($A269,Table,MATCH(M$4,Curves,0))</f>
        <v>4</v>
      </c>
      <c r="N269" s="125" t="n">
        <f aca="false">M269+$N$7</f>
        <v>4</v>
      </c>
      <c r="O269" s="126" t="n">
        <f aca="false">IF(B269&gt;0,(1000/B269*0.25)+((B269-1000)/B269*0.12),0)</f>
        <v>0</v>
      </c>
      <c r="P269" s="114"/>
      <c r="Q269" s="126" t="n">
        <f aca="false">M269+J269+G269</f>
        <v>11</v>
      </c>
      <c r="R269" s="126" t="n">
        <f aca="false">N269+K269+H269</f>
        <v>11</v>
      </c>
      <c r="S269" s="126" t="n">
        <f aca="false">O269+L269+I269</f>
        <v>7</v>
      </c>
      <c r="T269" s="127"/>
      <c r="U269" s="5" t="n">
        <f aca="false">A270-A269</f>
        <v>30</v>
      </c>
      <c r="V269" s="128" t="n">
        <f aca="false">CHOOSE(F$3,A270+24,A269)</f>
        <v>45170</v>
      </c>
      <c r="W269" s="5" t="n">
        <f aca="false">V269-C$3</f>
        <v>7939</v>
      </c>
      <c r="X269" s="124" t="n">
        <f aca="false">VLOOKUP($A269,Table,MATCH(X$4,Curves,0))</f>
        <v>2</v>
      </c>
      <c r="Y269" s="129" t="n">
        <f aca="false">1/(1+CHOOSE(F$3,(X270+($K$3/10000))/2,(X269+($K$3/10000))/2))^(2*W269/365.25)</f>
        <v>8.19871908712125E-014</v>
      </c>
      <c r="Z269" s="5" t="n">
        <f aca="false">IF(AND(mthbeg&lt;=A269,mthend&gt;=A269),1,0)</f>
        <v>0</v>
      </c>
      <c r="AA269" s="5" t="n">
        <f aca="false">U269*Z269</f>
        <v>0</v>
      </c>
      <c r="AC269" s="115" t="n">
        <f aca="false">IF(G262=2,F269*(S269-Q269),F269*(Q269-S269))</f>
        <v>0</v>
      </c>
      <c r="AE269" s="116" t="n">
        <f aca="false">IF($G$3=1,F269*(R269-Q269),F269*(Q269-R269))</f>
        <v>0</v>
      </c>
      <c r="AG269" s="116" t="n">
        <f aca="false">AC269+AE269</f>
        <v>0</v>
      </c>
    </row>
    <row r="270" customFormat="false" ht="12" hidden="false" customHeight="true" outlineLevel="0" collapsed="false">
      <c r="A270" s="120" t="n">
        <f aca="false">EDATE(A269,1)</f>
        <v>45200</v>
      </c>
      <c r="B270" s="121" t="n">
        <v>0</v>
      </c>
      <c r="C270" s="122"/>
      <c r="D270" s="123" t="n">
        <f aca="false">B270+C270</f>
        <v>0</v>
      </c>
      <c r="E270" s="111" t="n">
        <f aca="false">IF(Z270=0,0,IF(AND(Z270=1,$H$3=1),D270*U270,IF($H$3=2,D270,"N/A")))</f>
        <v>0</v>
      </c>
      <c r="F270" s="111" t="n">
        <f aca="false">E270*Y270</f>
        <v>0</v>
      </c>
      <c r="G270" s="124" t="n">
        <f aca="false">VLOOKUP($A270,Table,MATCH(G$4,Curves,0))</f>
        <v>3</v>
      </c>
      <c r="H270" s="125" t="n">
        <f aca="false">G270+$H$7</f>
        <v>3</v>
      </c>
      <c r="I270" s="124" t="n">
        <f aca="false">H270</f>
        <v>3</v>
      </c>
      <c r="J270" s="124" t="n">
        <f aca="false">VLOOKUP($A270,Table,MATCH(J$4,Curves,0))</f>
        <v>4</v>
      </c>
      <c r="K270" s="125" t="n">
        <f aca="false">J270+$K$7</f>
        <v>4</v>
      </c>
      <c r="L270" s="126" t="n">
        <f aca="false">K270</f>
        <v>4</v>
      </c>
      <c r="M270" s="124" t="n">
        <f aca="false">VLOOKUP($A270,Table,MATCH(M$4,Curves,0))</f>
        <v>4</v>
      </c>
      <c r="N270" s="125" t="n">
        <f aca="false">M270+$N$7</f>
        <v>4</v>
      </c>
      <c r="O270" s="126" t="n">
        <f aca="false">IF(B270&gt;0,(1000/B270*0.25)+((B270-1000)/B270*0.12),0)</f>
        <v>0</v>
      </c>
      <c r="P270" s="114"/>
      <c r="Q270" s="126" t="n">
        <f aca="false">M270+J270+G270</f>
        <v>11</v>
      </c>
      <c r="R270" s="126" t="n">
        <f aca="false">N270+K270+H270</f>
        <v>11</v>
      </c>
      <c r="S270" s="126" t="n">
        <f aca="false">O270+L270+I270</f>
        <v>7</v>
      </c>
      <c r="T270" s="127"/>
      <c r="U270" s="5" t="n">
        <f aca="false">A271-A270</f>
        <v>31</v>
      </c>
      <c r="V270" s="128" t="n">
        <f aca="false">CHOOSE(F$3,A271+24,A270)</f>
        <v>45200</v>
      </c>
      <c r="W270" s="5" t="n">
        <f aca="false">V270-C$3</f>
        <v>7969</v>
      </c>
      <c r="X270" s="124" t="n">
        <f aca="false">VLOOKUP($A270,Table,MATCH(X$4,Curves,0))</f>
        <v>2</v>
      </c>
      <c r="Y270" s="129" t="n">
        <f aca="false">1/(1+CHOOSE(F$3,(X271+($K$3/10000))/2,(X270+($K$3/10000))/2))^(2*W270/365.25)</f>
        <v>7.31636719499951E-014</v>
      </c>
      <c r="Z270" s="5" t="n">
        <f aca="false">IF(AND(mthbeg&lt;=A270,mthend&gt;=A270),1,0)</f>
        <v>0</v>
      </c>
      <c r="AA270" s="5" t="n">
        <f aca="false">U270*Z270</f>
        <v>0</v>
      </c>
      <c r="AC270" s="115" t="n">
        <f aca="false">IF(G263=2,F270*(S270-Q270),F270*(Q270-S270))</f>
        <v>0</v>
      </c>
      <c r="AE270" s="116" t="n">
        <f aca="false">IF($G$3=1,F270*(R270-Q270),F270*(Q270-R270))</f>
        <v>0</v>
      </c>
      <c r="AG270" s="116" t="n">
        <f aca="false">AC270+AE270</f>
        <v>0</v>
      </c>
    </row>
    <row r="271" customFormat="false" ht="12" hidden="false" customHeight="true" outlineLevel="0" collapsed="false">
      <c r="A271" s="120" t="n">
        <f aca="false">EDATE(A270,1)</f>
        <v>45231</v>
      </c>
      <c r="B271" s="121" t="n">
        <v>0</v>
      </c>
      <c r="C271" s="122"/>
      <c r="D271" s="123" t="n">
        <f aca="false">B271+C271</f>
        <v>0</v>
      </c>
      <c r="E271" s="111" t="n">
        <f aca="false">IF(Z271=0,0,IF(AND(Z271=1,$H$3=1),D271*U271,IF($H$3=2,D271,"N/A")))</f>
        <v>0</v>
      </c>
      <c r="F271" s="111" t="n">
        <f aca="false">E271*Y271</f>
        <v>0</v>
      </c>
      <c r="G271" s="124" t="n">
        <f aca="false">VLOOKUP($A271,Table,MATCH(G$4,Curves,0))</f>
        <v>3</v>
      </c>
      <c r="H271" s="125" t="n">
        <f aca="false">G271+$H$7</f>
        <v>3</v>
      </c>
      <c r="I271" s="124" t="n">
        <f aca="false">H271</f>
        <v>3</v>
      </c>
      <c r="J271" s="124" t="n">
        <f aca="false">VLOOKUP($A271,Table,MATCH(J$4,Curves,0))</f>
        <v>4</v>
      </c>
      <c r="K271" s="125" t="n">
        <f aca="false">J271+$K$7</f>
        <v>4</v>
      </c>
      <c r="L271" s="126" t="n">
        <f aca="false">K271</f>
        <v>4</v>
      </c>
      <c r="M271" s="124" t="n">
        <f aca="false">VLOOKUP($A271,Table,MATCH(M$4,Curves,0))</f>
        <v>4</v>
      </c>
      <c r="N271" s="125" t="n">
        <f aca="false">M271+$N$7</f>
        <v>4</v>
      </c>
      <c r="O271" s="126" t="n">
        <f aca="false">IF(B271&gt;0,(1000/B271*0.25)+((B271-1000)/B271*0.12),0)</f>
        <v>0</v>
      </c>
      <c r="P271" s="114"/>
      <c r="Q271" s="126" t="n">
        <f aca="false">M271+J271+G271</f>
        <v>11</v>
      </c>
      <c r="R271" s="126" t="n">
        <f aca="false">N271+K271+H271</f>
        <v>11</v>
      </c>
      <c r="S271" s="126" t="n">
        <f aca="false">O271+L271+I271</f>
        <v>7</v>
      </c>
      <c r="T271" s="127"/>
      <c r="U271" s="5" t="n">
        <f aca="false">A272-A271</f>
        <v>30</v>
      </c>
      <c r="V271" s="128" t="n">
        <f aca="false">CHOOSE(F$3,A272+24,A271)</f>
        <v>45231</v>
      </c>
      <c r="W271" s="5" t="n">
        <f aca="false">V271-C$3</f>
        <v>8000</v>
      </c>
      <c r="X271" s="124" t="n">
        <f aca="false">VLOOKUP($A271,Table,MATCH(X$4,Curves,0))</f>
        <v>2</v>
      </c>
      <c r="Y271" s="129" t="n">
        <f aca="false">1/(1+CHOOSE(F$3,(X272+($K$3/10000))/2,(X271+($K$3/10000))/2))^(2*W271/365.25)</f>
        <v>6.50424109057799E-014</v>
      </c>
      <c r="Z271" s="5" t="n">
        <f aca="false">IF(AND(mthbeg&lt;=A271,mthend&gt;=A271),1,0)</f>
        <v>0</v>
      </c>
      <c r="AA271" s="5" t="n">
        <f aca="false">U271*Z271</f>
        <v>0</v>
      </c>
      <c r="AC271" s="115" t="n">
        <f aca="false">IF(G264=2,F271*(S271-Q271),F271*(Q271-S271))</f>
        <v>0</v>
      </c>
      <c r="AE271" s="116" t="n">
        <f aca="false">IF($G$3=1,F271*(R271-Q271),F271*(Q271-R271))</f>
        <v>0</v>
      </c>
      <c r="AG271" s="116" t="n">
        <f aca="false">AC271+AE271</f>
        <v>0</v>
      </c>
    </row>
    <row r="272" customFormat="false" ht="12" hidden="false" customHeight="true" outlineLevel="0" collapsed="false">
      <c r="A272" s="120" t="n">
        <f aca="false">EDATE(A271,1)</f>
        <v>45261</v>
      </c>
      <c r="B272" s="121" t="n">
        <v>0</v>
      </c>
      <c r="C272" s="122"/>
      <c r="D272" s="123" t="n">
        <f aca="false">B272+C272</f>
        <v>0</v>
      </c>
      <c r="E272" s="111" t="n">
        <f aca="false">IF(Z272=0,0,IF(AND(Z272=1,$H$3=1),D272*U272,IF($H$3=2,D272,"N/A")))</f>
        <v>0</v>
      </c>
      <c r="F272" s="111" t="n">
        <f aca="false">E272*Y272</f>
        <v>0</v>
      </c>
      <c r="G272" s="124" t="n">
        <f aca="false">VLOOKUP($A272,Table,MATCH(G$4,Curves,0))</f>
        <v>3</v>
      </c>
      <c r="H272" s="125" t="n">
        <f aca="false">G272+$H$7</f>
        <v>3</v>
      </c>
      <c r="I272" s="124" t="n">
        <f aca="false">H272</f>
        <v>3</v>
      </c>
      <c r="J272" s="124" t="n">
        <f aca="false">VLOOKUP($A272,Table,MATCH(J$4,Curves,0))</f>
        <v>4</v>
      </c>
      <c r="K272" s="125" t="n">
        <f aca="false">J272+$K$7</f>
        <v>4</v>
      </c>
      <c r="L272" s="126" t="n">
        <f aca="false">K272</f>
        <v>4</v>
      </c>
      <c r="M272" s="124" t="n">
        <f aca="false">VLOOKUP($A272,Table,MATCH(M$4,Curves,0))</f>
        <v>4</v>
      </c>
      <c r="N272" s="125" t="n">
        <f aca="false">M272+$N$7</f>
        <v>4</v>
      </c>
      <c r="O272" s="126" t="n">
        <f aca="false">IF(B272&gt;0,(1000/B272*0.25)+((B272-1000)/B272*0.12),0)</f>
        <v>0</v>
      </c>
      <c r="P272" s="114"/>
      <c r="Q272" s="126" t="n">
        <f aca="false">M272+J272+G272</f>
        <v>11</v>
      </c>
      <c r="R272" s="126" t="n">
        <f aca="false">N272+K272+H272</f>
        <v>11</v>
      </c>
      <c r="S272" s="126" t="n">
        <f aca="false">O272+L272+I272</f>
        <v>7</v>
      </c>
      <c r="T272" s="127"/>
      <c r="U272" s="5" t="n">
        <f aca="false">A273-A272</f>
        <v>31</v>
      </c>
      <c r="V272" s="128" t="n">
        <f aca="false">CHOOSE(F$3,A273+24,A272)</f>
        <v>45261</v>
      </c>
      <c r="W272" s="5" t="n">
        <f aca="false">V272-C$3</f>
        <v>8030</v>
      </c>
      <c r="X272" s="124" t="n">
        <f aca="false">VLOOKUP($A272,Table,MATCH(X$4,Curves,0))</f>
        <v>2</v>
      </c>
      <c r="Y272" s="129" t="n">
        <f aca="false">1/(1+CHOOSE(F$3,(X273+($K$3/10000))/2,(X272+($K$3/10000))/2))^(2*W272/365.25)</f>
        <v>5.80425010758377E-014</v>
      </c>
      <c r="Z272" s="5" t="n">
        <f aca="false">IF(AND(mthbeg&lt;=A272,mthend&gt;=A272),1,0)</f>
        <v>0</v>
      </c>
      <c r="AA272" s="5" t="n">
        <f aca="false">U272*Z272</f>
        <v>0</v>
      </c>
      <c r="AC272" s="115" t="n">
        <f aca="false">IF(G265=2,F272*(S272-Q272),F272*(Q272-S272))</f>
        <v>0</v>
      </c>
      <c r="AE272" s="116" t="n">
        <f aca="false">IF($G$3=1,F272*(R272-Q272),F272*(Q272-R272))</f>
        <v>0</v>
      </c>
      <c r="AG272" s="116" t="n">
        <f aca="false">AC272+AE272</f>
        <v>0</v>
      </c>
    </row>
    <row r="273" customFormat="false" ht="12" hidden="false" customHeight="true" outlineLevel="0" collapsed="false">
      <c r="A273" s="120" t="n">
        <f aca="false">EDATE(A272,1)</f>
        <v>45292</v>
      </c>
      <c r="B273" s="121" t="n">
        <v>0</v>
      </c>
      <c r="C273" s="122"/>
      <c r="D273" s="123" t="n">
        <f aca="false">B273+C273</f>
        <v>0</v>
      </c>
      <c r="E273" s="111" t="n">
        <f aca="false">IF(Z273=0,0,IF(AND(Z273=1,$H$3=1),D273*U273,IF($H$3=2,D273,"N/A")))</f>
        <v>0</v>
      </c>
      <c r="F273" s="111" t="n">
        <f aca="false">E273*Y273</f>
        <v>0</v>
      </c>
      <c r="G273" s="124" t="n">
        <f aca="false">VLOOKUP($A273,Table,MATCH(G$4,Curves,0))</f>
        <v>3</v>
      </c>
      <c r="H273" s="125" t="n">
        <f aca="false">G273+$H$7</f>
        <v>3</v>
      </c>
      <c r="I273" s="124" t="n">
        <f aca="false">H273</f>
        <v>3</v>
      </c>
      <c r="J273" s="124" t="n">
        <f aca="false">VLOOKUP($A273,Table,MATCH(J$4,Curves,0))</f>
        <v>4</v>
      </c>
      <c r="K273" s="125" t="n">
        <f aca="false">J273+$K$7</f>
        <v>4</v>
      </c>
      <c r="L273" s="126" t="n">
        <f aca="false">K273</f>
        <v>4</v>
      </c>
      <c r="M273" s="124" t="n">
        <f aca="false">VLOOKUP($A273,Table,MATCH(M$4,Curves,0))</f>
        <v>4</v>
      </c>
      <c r="N273" s="125" t="n">
        <f aca="false">M273+$N$7</f>
        <v>4</v>
      </c>
      <c r="O273" s="126" t="n">
        <f aca="false">IF(B273&gt;0,(1000/B273*0.25)+((B273-1000)/B273*0.12),0)</f>
        <v>0</v>
      </c>
      <c r="P273" s="114"/>
      <c r="Q273" s="126" t="n">
        <f aca="false">M273+J273+G273</f>
        <v>11</v>
      </c>
      <c r="R273" s="126" t="n">
        <f aca="false">N273+K273+H273</f>
        <v>11</v>
      </c>
      <c r="S273" s="126" t="n">
        <f aca="false">O273+L273+I273</f>
        <v>7</v>
      </c>
      <c r="T273" s="127"/>
      <c r="U273" s="5" t="n">
        <f aca="false">A274-A273</f>
        <v>31</v>
      </c>
      <c r="V273" s="128" t="n">
        <f aca="false">CHOOSE(F$3,A274+24,A273)</f>
        <v>45292</v>
      </c>
      <c r="W273" s="5" t="n">
        <f aca="false">V273-C$3</f>
        <v>8061</v>
      </c>
      <c r="X273" s="124" t="n">
        <f aca="false">VLOOKUP($A273,Table,MATCH(X$4,Curves,0))</f>
        <v>2</v>
      </c>
      <c r="Y273" s="129" t="n">
        <f aca="false">1/(1+CHOOSE(F$3,(X274+($K$3/10000))/2,(X273+($K$3/10000))/2))^(2*W273/365.25)</f>
        <v>5.15997093141258E-014</v>
      </c>
      <c r="Z273" s="5" t="n">
        <f aca="false">IF(AND(mthbeg&lt;=A273,mthend&gt;=A273),1,0)</f>
        <v>0</v>
      </c>
      <c r="AA273" s="5" t="n">
        <f aca="false">U273*Z273</f>
        <v>0</v>
      </c>
      <c r="AC273" s="115" t="n">
        <f aca="false">IF(G266=2,F273*(S273-Q273),F273*(Q273-S273))</f>
        <v>0</v>
      </c>
      <c r="AE273" s="116" t="n">
        <f aca="false">IF($G$3=1,F273*(R273-Q273),F273*(Q273-R273))</f>
        <v>0</v>
      </c>
      <c r="AG273" s="116" t="n">
        <f aca="false">AC273+AE273</f>
        <v>0</v>
      </c>
    </row>
    <row r="274" customFormat="false" ht="12" hidden="false" customHeight="true" outlineLevel="0" collapsed="false">
      <c r="A274" s="120" t="n">
        <f aca="false">EDATE(A273,1)</f>
        <v>45323</v>
      </c>
      <c r="B274" s="121" t="n">
        <v>0</v>
      </c>
      <c r="C274" s="122"/>
      <c r="D274" s="123" t="n">
        <f aca="false">B274+C274</f>
        <v>0</v>
      </c>
      <c r="E274" s="111" t="n">
        <f aca="false">IF(Z274=0,0,IF(AND(Z274=1,$H$3=1),D274*U274,IF($H$3=2,D274,"N/A")))</f>
        <v>0</v>
      </c>
      <c r="F274" s="111" t="n">
        <f aca="false">E274*Y274</f>
        <v>0</v>
      </c>
      <c r="G274" s="124" t="n">
        <f aca="false">VLOOKUP($A274,Table,MATCH(G$4,Curves,0))</f>
        <v>3</v>
      </c>
      <c r="H274" s="125" t="n">
        <f aca="false">G274+$H$7</f>
        <v>3</v>
      </c>
      <c r="I274" s="124" t="n">
        <f aca="false">H274</f>
        <v>3</v>
      </c>
      <c r="J274" s="124" t="n">
        <f aca="false">VLOOKUP($A274,Table,MATCH(J$4,Curves,0))</f>
        <v>4</v>
      </c>
      <c r="K274" s="125" t="n">
        <f aca="false">J274+$K$7</f>
        <v>4</v>
      </c>
      <c r="L274" s="126" t="n">
        <f aca="false">K274</f>
        <v>4</v>
      </c>
      <c r="M274" s="124" t="n">
        <f aca="false">VLOOKUP($A274,Table,MATCH(M$4,Curves,0))</f>
        <v>4</v>
      </c>
      <c r="N274" s="125" t="n">
        <f aca="false">M274+$N$7</f>
        <v>4</v>
      </c>
      <c r="O274" s="126" t="n">
        <f aca="false">IF(B274&gt;0,(1000/B274*0.25)+((B274-1000)/B274*0.12),0)</f>
        <v>0</v>
      </c>
      <c r="P274" s="114"/>
      <c r="Q274" s="126" t="n">
        <f aca="false">M274+J274+G274</f>
        <v>11</v>
      </c>
      <c r="R274" s="126" t="n">
        <f aca="false">N274+K274+H274</f>
        <v>11</v>
      </c>
      <c r="S274" s="126" t="n">
        <f aca="false">O274+L274+I274</f>
        <v>7</v>
      </c>
      <c r="T274" s="127"/>
      <c r="U274" s="5" t="n">
        <f aca="false">A275-A274</f>
        <v>29</v>
      </c>
      <c r="V274" s="128" t="n">
        <f aca="false">CHOOSE(F$3,A275+24,A274)</f>
        <v>45323</v>
      </c>
      <c r="W274" s="5" t="n">
        <f aca="false">V274-C$3</f>
        <v>8092</v>
      </c>
      <c r="X274" s="124" t="n">
        <f aca="false">VLOOKUP($A274,Table,MATCH(X$4,Curves,0))</f>
        <v>2</v>
      </c>
      <c r="Y274" s="129" t="n">
        <f aca="false">1/(1+CHOOSE(F$3,(X275+($K$3/10000))/2,(X274+($K$3/10000))/2))^(2*W274/365.25)</f>
        <v>4.58720756678533E-014</v>
      </c>
      <c r="Z274" s="5" t="n">
        <f aca="false">IF(AND(mthbeg&lt;=A274,mthend&gt;=A274),1,0)</f>
        <v>0</v>
      </c>
      <c r="AA274" s="5" t="n">
        <f aca="false">U274*Z274</f>
        <v>0</v>
      </c>
      <c r="AC274" s="115" t="n">
        <f aca="false">IF(G267=2,F274*(S274-Q274),F274*(Q274-S274))</f>
        <v>0</v>
      </c>
      <c r="AE274" s="116" t="n">
        <f aca="false">IF($G$3=1,F274*(R274-Q274),F274*(Q274-R274))</f>
        <v>0</v>
      </c>
      <c r="AG274" s="116" t="n">
        <f aca="false">AC274+AE274</f>
        <v>0</v>
      </c>
    </row>
    <row r="275" customFormat="false" ht="12" hidden="false" customHeight="true" outlineLevel="0" collapsed="false">
      <c r="A275" s="120" t="n">
        <f aca="false">EDATE(A274,1)</f>
        <v>45352</v>
      </c>
      <c r="B275" s="121" t="n">
        <v>0</v>
      </c>
      <c r="C275" s="122"/>
      <c r="D275" s="123" t="n">
        <f aca="false">B275+C275</f>
        <v>0</v>
      </c>
      <c r="E275" s="111" t="n">
        <f aca="false">IF(Z275=0,0,IF(AND(Z275=1,$H$3=1),D275*U275,IF($H$3=2,D275,"N/A")))</f>
        <v>0</v>
      </c>
      <c r="F275" s="111" t="n">
        <f aca="false">E275*Y275</f>
        <v>0</v>
      </c>
      <c r="G275" s="124" t="n">
        <f aca="false">VLOOKUP($A275,Table,MATCH(G$4,Curves,0))</f>
        <v>3</v>
      </c>
      <c r="H275" s="125" t="n">
        <f aca="false">G275+$H$7</f>
        <v>3</v>
      </c>
      <c r="I275" s="124" t="n">
        <f aca="false">H275</f>
        <v>3</v>
      </c>
      <c r="J275" s="124" t="n">
        <f aca="false">VLOOKUP($A275,Table,MATCH(J$4,Curves,0))</f>
        <v>4</v>
      </c>
      <c r="K275" s="125" t="n">
        <f aca="false">J275+$K$7</f>
        <v>4</v>
      </c>
      <c r="L275" s="126" t="n">
        <f aca="false">K275</f>
        <v>4</v>
      </c>
      <c r="M275" s="124" t="n">
        <f aca="false">VLOOKUP($A275,Table,MATCH(M$4,Curves,0))</f>
        <v>4</v>
      </c>
      <c r="N275" s="125" t="n">
        <f aca="false">M275+$N$7</f>
        <v>4</v>
      </c>
      <c r="O275" s="126" t="n">
        <f aca="false">IF(B275&gt;0,(1000/B275*0.25)+((B275-1000)/B275*0.12),0)</f>
        <v>0</v>
      </c>
      <c r="P275" s="114"/>
      <c r="Q275" s="126" t="n">
        <f aca="false">M275+J275+G275</f>
        <v>11</v>
      </c>
      <c r="R275" s="126" t="n">
        <f aca="false">N275+K275+H275</f>
        <v>11</v>
      </c>
      <c r="S275" s="126" t="n">
        <f aca="false">O275+L275+I275</f>
        <v>7</v>
      </c>
      <c r="T275" s="127"/>
      <c r="U275" s="5" t="n">
        <f aca="false">A276-A275</f>
        <v>31</v>
      </c>
      <c r="V275" s="128" t="n">
        <f aca="false">CHOOSE(F$3,A276+24,A275)</f>
        <v>45352</v>
      </c>
      <c r="W275" s="5" t="n">
        <f aca="false">V275-C$3</f>
        <v>8121</v>
      </c>
      <c r="X275" s="124" t="n">
        <f aca="false">VLOOKUP($A275,Table,MATCH(X$4,Curves,0))</f>
        <v>2</v>
      </c>
      <c r="Y275" s="129" t="n">
        <f aca="false">1/(1+CHOOSE(F$3,(X276+($K$3/10000))/2,(X275+($K$3/10000))/2))^(2*W275/365.25)</f>
        <v>4.10909545178908E-014</v>
      </c>
      <c r="Z275" s="5" t="n">
        <f aca="false">IF(AND(mthbeg&lt;=A275,mthend&gt;=A275),1,0)</f>
        <v>0</v>
      </c>
      <c r="AA275" s="5" t="n">
        <f aca="false">U275*Z275</f>
        <v>0</v>
      </c>
      <c r="AC275" s="115" t="n">
        <f aca="false">IF(G268=2,F275*(S275-Q275),F275*(Q275-S275))</f>
        <v>0</v>
      </c>
      <c r="AE275" s="116" t="n">
        <f aca="false">IF($G$3=1,F275*(R275-Q275),F275*(Q275-R275))</f>
        <v>0</v>
      </c>
      <c r="AG275" s="116" t="n">
        <f aca="false">AC275+AE275</f>
        <v>0</v>
      </c>
    </row>
    <row r="276" customFormat="false" ht="12" hidden="false" customHeight="true" outlineLevel="0" collapsed="false">
      <c r="A276" s="120" t="n">
        <f aca="false">EDATE(A275,1)</f>
        <v>45383</v>
      </c>
      <c r="B276" s="121" t="n">
        <v>0</v>
      </c>
      <c r="C276" s="122"/>
      <c r="D276" s="123" t="n">
        <f aca="false">B276+C276</f>
        <v>0</v>
      </c>
      <c r="E276" s="111" t="n">
        <f aca="false">IF(Z276=0,0,IF(AND(Z276=1,$H$3=1),D276*U276,IF($H$3=2,D276,"N/A")))</f>
        <v>0</v>
      </c>
      <c r="F276" s="111" t="n">
        <f aca="false">E276*Y276</f>
        <v>0</v>
      </c>
      <c r="G276" s="124" t="n">
        <f aca="false">VLOOKUP($A276,Table,MATCH(G$4,Curves,0))</f>
        <v>3</v>
      </c>
      <c r="H276" s="125" t="n">
        <f aca="false">G276+$H$7</f>
        <v>3</v>
      </c>
      <c r="I276" s="124" t="n">
        <f aca="false">H276</f>
        <v>3</v>
      </c>
      <c r="J276" s="124" t="n">
        <f aca="false">VLOOKUP($A276,Table,MATCH(J$4,Curves,0))</f>
        <v>4</v>
      </c>
      <c r="K276" s="125" t="n">
        <f aca="false">J276+$K$7</f>
        <v>4</v>
      </c>
      <c r="L276" s="126" t="n">
        <f aca="false">K276</f>
        <v>4</v>
      </c>
      <c r="M276" s="124" t="n">
        <f aca="false">VLOOKUP($A276,Table,MATCH(M$4,Curves,0))</f>
        <v>4</v>
      </c>
      <c r="N276" s="125" t="n">
        <f aca="false">M276+$N$7</f>
        <v>4</v>
      </c>
      <c r="O276" s="126" t="n">
        <f aca="false">IF(B276&gt;0,(1000/B276*0.25)+((B276-1000)/B276*0.12),0)</f>
        <v>0</v>
      </c>
      <c r="P276" s="114"/>
      <c r="Q276" s="126" t="n">
        <f aca="false">M276+J276+G276</f>
        <v>11</v>
      </c>
      <c r="R276" s="126" t="n">
        <f aca="false">N276+K276+H276</f>
        <v>11</v>
      </c>
      <c r="S276" s="126" t="n">
        <f aca="false">O276+L276+I276</f>
        <v>7</v>
      </c>
      <c r="T276" s="127"/>
      <c r="U276" s="5" t="n">
        <f aca="false">A277-A276</f>
        <v>30</v>
      </c>
      <c r="V276" s="128" t="n">
        <f aca="false">CHOOSE(F$3,A277+24,A276)</f>
        <v>45383</v>
      </c>
      <c r="W276" s="5" t="n">
        <f aca="false">V276-C$3</f>
        <v>8152</v>
      </c>
      <c r="X276" s="124" t="n">
        <f aca="false">VLOOKUP($A276,Table,MATCH(X$4,Curves,0))</f>
        <v>2</v>
      </c>
      <c r="Y276" s="129" t="n">
        <f aca="false">1/(1+CHOOSE(F$3,(X277+($K$3/10000))/2,(X276+($K$3/10000))/2))^(2*W276/365.25)</f>
        <v>3.6529806077667E-014</v>
      </c>
      <c r="Z276" s="5" t="n">
        <f aca="false">IF(AND(mthbeg&lt;=A276,mthend&gt;=A276),1,0)</f>
        <v>0</v>
      </c>
      <c r="AA276" s="5" t="n">
        <f aca="false">U276*Z276</f>
        <v>0</v>
      </c>
      <c r="AC276" s="115" t="n">
        <f aca="false">IF(G269=2,F276*(S276-Q276),F276*(Q276-S276))</f>
        <v>0</v>
      </c>
      <c r="AE276" s="116" t="n">
        <f aca="false">IF($G$3=1,F276*(R276-Q276),F276*(Q276-R276))</f>
        <v>0</v>
      </c>
      <c r="AG276" s="116" t="n">
        <f aca="false">AC276+AE276</f>
        <v>0</v>
      </c>
    </row>
    <row r="277" customFormat="false" ht="12" hidden="false" customHeight="true" outlineLevel="0" collapsed="false">
      <c r="A277" s="120" t="n">
        <f aca="false">EDATE(A276,1)</f>
        <v>45413</v>
      </c>
      <c r="B277" s="121" t="n">
        <v>0</v>
      </c>
      <c r="C277" s="122"/>
      <c r="D277" s="123" t="n">
        <f aca="false">B277+C277</f>
        <v>0</v>
      </c>
      <c r="E277" s="111" t="n">
        <f aca="false">IF(Z277=0,0,IF(AND(Z277=1,$H$3=1),D277*U277,IF($H$3=2,D277,"N/A")))</f>
        <v>0</v>
      </c>
      <c r="F277" s="111" t="n">
        <f aca="false">E277*Y277</f>
        <v>0</v>
      </c>
      <c r="G277" s="124" t="n">
        <f aca="false">VLOOKUP($A277,Table,MATCH(G$4,Curves,0))</f>
        <v>3</v>
      </c>
      <c r="H277" s="125" t="n">
        <f aca="false">G277+$H$7</f>
        <v>3</v>
      </c>
      <c r="I277" s="124" t="n">
        <f aca="false">H277</f>
        <v>3</v>
      </c>
      <c r="J277" s="124" t="n">
        <f aca="false">VLOOKUP($A277,Table,MATCH(J$4,Curves,0))</f>
        <v>4</v>
      </c>
      <c r="K277" s="125" t="n">
        <f aca="false">J277+$K$7</f>
        <v>4</v>
      </c>
      <c r="L277" s="126" t="n">
        <f aca="false">K277</f>
        <v>4</v>
      </c>
      <c r="M277" s="124" t="n">
        <f aca="false">VLOOKUP($A277,Table,MATCH(M$4,Curves,0))</f>
        <v>4</v>
      </c>
      <c r="N277" s="125" t="n">
        <f aca="false">M277+$N$7</f>
        <v>4</v>
      </c>
      <c r="O277" s="126" t="n">
        <f aca="false">IF(B277&gt;0,(1000/B277*0.25)+((B277-1000)/B277*0.12),0)</f>
        <v>0</v>
      </c>
      <c r="P277" s="114"/>
      <c r="Q277" s="126" t="n">
        <f aca="false">M277+J277+G277</f>
        <v>11</v>
      </c>
      <c r="R277" s="126" t="n">
        <f aca="false">N277+K277+H277</f>
        <v>11</v>
      </c>
      <c r="S277" s="126" t="n">
        <f aca="false">O277+L277+I277</f>
        <v>7</v>
      </c>
      <c r="T277" s="127"/>
      <c r="U277" s="5" t="n">
        <f aca="false">A278-A277</f>
        <v>31</v>
      </c>
      <c r="V277" s="128" t="n">
        <f aca="false">CHOOSE(F$3,A278+24,A277)</f>
        <v>45413</v>
      </c>
      <c r="W277" s="5" t="n">
        <f aca="false">V277-C$3</f>
        <v>8182</v>
      </c>
      <c r="X277" s="124" t="n">
        <f aca="false">VLOOKUP($A277,Table,MATCH(X$4,Curves,0))</f>
        <v>2</v>
      </c>
      <c r="Y277" s="129" t="n">
        <f aca="false">1/(1+CHOOSE(F$3,(X278+($K$3/10000))/2,(X277+($K$3/10000))/2))^(2*W277/365.25)</f>
        <v>3.25984427550596E-014</v>
      </c>
      <c r="Z277" s="5" t="n">
        <f aca="false">IF(AND(mthbeg&lt;=A277,mthend&gt;=A277),1,0)</f>
        <v>0</v>
      </c>
      <c r="AA277" s="5" t="n">
        <f aca="false">U277*Z277</f>
        <v>0</v>
      </c>
      <c r="AC277" s="115" t="n">
        <f aca="false">IF(G270=2,F277*(S277-Q277),F277*(Q277-S277))</f>
        <v>0</v>
      </c>
      <c r="AE277" s="116" t="n">
        <f aca="false">IF($G$3=1,F277*(R277-Q277),F277*(Q277-R277))</f>
        <v>0</v>
      </c>
      <c r="AG277" s="116" t="n">
        <f aca="false">AC277+AE277</f>
        <v>0</v>
      </c>
    </row>
    <row r="278" customFormat="false" ht="12" hidden="false" customHeight="true" outlineLevel="0" collapsed="false">
      <c r="A278" s="120" t="n">
        <f aca="false">EDATE(A277,1)</f>
        <v>45444</v>
      </c>
      <c r="B278" s="121" t="n">
        <v>0</v>
      </c>
      <c r="C278" s="122"/>
      <c r="D278" s="123" t="n">
        <f aca="false">B278+C278</f>
        <v>0</v>
      </c>
      <c r="E278" s="111" t="n">
        <f aca="false">IF(Z278=0,0,IF(AND(Z278=1,$H$3=1),D278*U278,IF($H$3=2,D278,"N/A")))</f>
        <v>0</v>
      </c>
      <c r="F278" s="111" t="n">
        <f aca="false">E278*Y278</f>
        <v>0</v>
      </c>
      <c r="G278" s="124" t="n">
        <f aca="false">VLOOKUP($A278,Table,MATCH(G$4,Curves,0))</f>
        <v>3</v>
      </c>
      <c r="H278" s="125" t="n">
        <f aca="false">G278+$H$7</f>
        <v>3</v>
      </c>
      <c r="I278" s="124" t="n">
        <f aca="false">H278</f>
        <v>3</v>
      </c>
      <c r="J278" s="124" t="n">
        <f aca="false">VLOOKUP($A278,Table,MATCH(J$4,Curves,0))</f>
        <v>4</v>
      </c>
      <c r="K278" s="125" t="n">
        <f aca="false">J278+$K$7</f>
        <v>4</v>
      </c>
      <c r="L278" s="126" t="n">
        <f aca="false">K278</f>
        <v>4</v>
      </c>
      <c r="M278" s="124" t="n">
        <f aca="false">VLOOKUP($A278,Table,MATCH(M$4,Curves,0))</f>
        <v>4</v>
      </c>
      <c r="N278" s="125" t="n">
        <f aca="false">M278+$N$7</f>
        <v>4</v>
      </c>
      <c r="O278" s="126" t="n">
        <f aca="false">IF(B278&gt;0,(1000/B278*0.25)+((B278-1000)/B278*0.12),0)</f>
        <v>0</v>
      </c>
      <c r="P278" s="114"/>
      <c r="Q278" s="126" t="n">
        <f aca="false">M278+J278+G278</f>
        <v>11</v>
      </c>
      <c r="R278" s="126" t="n">
        <f aca="false">N278+K278+H278</f>
        <v>11</v>
      </c>
      <c r="S278" s="126" t="n">
        <f aca="false">O278+L278+I278</f>
        <v>7</v>
      </c>
      <c r="T278" s="127"/>
      <c r="U278" s="5" t="n">
        <f aca="false">A279-A278</f>
        <v>30</v>
      </c>
      <c r="V278" s="128" t="n">
        <f aca="false">CHOOSE(F$3,A279+24,A278)</f>
        <v>45444</v>
      </c>
      <c r="W278" s="5" t="n">
        <f aca="false">V278-C$3</f>
        <v>8213</v>
      </c>
      <c r="X278" s="124" t="n">
        <f aca="false">VLOOKUP($A278,Table,MATCH(X$4,Curves,0))</f>
        <v>2</v>
      </c>
      <c r="Y278" s="129" t="n">
        <f aca="false">1/(1+CHOOSE(F$3,(X279+($K$3/10000))/2,(X278+($K$3/10000))/2))^(2*W278/365.25)</f>
        <v>2.89799739686695E-014</v>
      </c>
      <c r="Z278" s="5" t="n">
        <f aca="false">IF(AND(mthbeg&lt;=A278,mthend&gt;=A278),1,0)</f>
        <v>0</v>
      </c>
      <c r="AA278" s="5" t="n">
        <f aca="false">U278*Z278</f>
        <v>0</v>
      </c>
      <c r="AC278" s="115" t="n">
        <f aca="false">IF(G271=2,F278*(S278-Q278),F278*(Q278-S278))</f>
        <v>0</v>
      </c>
      <c r="AE278" s="116" t="n">
        <f aca="false">IF($G$3=1,F278*(R278-Q278),F278*(Q278-R278))</f>
        <v>0</v>
      </c>
      <c r="AG278" s="116" t="n">
        <f aca="false">AC278+AE278</f>
        <v>0</v>
      </c>
    </row>
    <row r="279" customFormat="false" ht="12" hidden="false" customHeight="true" outlineLevel="0" collapsed="false">
      <c r="A279" s="120" t="n">
        <f aca="false">EDATE(A278,1)</f>
        <v>45474</v>
      </c>
      <c r="B279" s="121" t="n">
        <v>0</v>
      </c>
      <c r="C279" s="122"/>
      <c r="D279" s="123" t="n">
        <f aca="false">B279+C279</f>
        <v>0</v>
      </c>
      <c r="E279" s="111" t="n">
        <f aca="false">IF(Z279=0,0,IF(AND(Z279=1,$H$3=1),D279*U279,IF($H$3=2,D279,"N/A")))</f>
        <v>0</v>
      </c>
      <c r="F279" s="111" t="n">
        <f aca="false">E279*Y279</f>
        <v>0</v>
      </c>
      <c r="G279" s="124" t="n">
        <f aca="false">VLOOKUP($A279,Table,MATCH(G$4,Curves,0))</f>
        <v>3</v>
      </c>
      <c r="H279" s="125" t="n">
        <f aca="false">G279+$H$7</f>
        <v>3</v>
      </c>
      <c r="I279" s="124" t="n">
        <f aca="false">H279</f>
        <v>3</v>
      </c>
      <c r="J279" s="124" t="n">
        <f aca="false">VLOOKUP($A279,Table,MATCH(J$4,Curves,0))</f>
        <v>4</v>
      </c>
      <c r="K279" s="125" t="n">
        <f aca="false">J279+$K$7</f>
        <v>4</v>
      </c>
      <c r="L279" s="126" t="n">
        <f aca="false">K279</f>
        <v>4</v>
      </c>
      <c r="M279" s="124" t="n">
        <f aca="false">VLOOKUP($A279,Table,MATCH(M$4,Curves,0))</f>
        <v>4</v>
      </c>
      <c r="N279" s="125" t="n">
        <f aca="false">M279+$N$7</f>
        <v>4</v>
      </c>
      <c r="O279" s="126" t="n">
        <f aca="false">IF(B279&gt;0,(1000/B279*0.25)+((B279-1000)/B279*0.12),0)</f>
        <v>0</v>
      </c>
      <c r="P279" s="114"/>
      <c r="Q279" s="126" t="n">
        <f aca="false">M279+J279+G279</f>
        <v>11</v>
      </c>
      <c r="R279" s="126" t="n">
        <f aca="false">N279+K279+H279</f>
        <v>11</v>
      </c>
      <c r="S279" s="126" t="n">
        <f aca="false">O279+L279+I279</f>
        <v>7</v>
      </c>
      <c r="T279" s="127"/>
      <c r="U279" s="5" t="n">
        <f aca="false">A280-A279</f>
        <v>31</v>
      </c>
      <c r="V279" s="128" t="n">
        <f aca="false">CHOOSE(F$3,A280+24,A279)</f>
        <v>45474</v>
      </c>
      <c r="W279" s="5" t="n">
        <f aca="false">V279-C$3</f>
        <v>8243</v>
      </c>
      <c r="X279" s="124" t="n">
        <f aca="false">VLOOKUP($A279,Table,MATCH(X$4,Curves,0))</f>
        <v>2</v>
      </c>
      <c r="Y279" s="129" t="n">
        <f aca="false">1/(1+CHOOSE(F$3,(X280+($K$3/10000))/2,(X279+($K$3/10000))/2))^(2*W279/365.25)</f>
        <v>2.58611288669926E-014</v>
      </c>
      <c r="Z279" s="5" t="n">
        <f aca="false">IF(AND(mthbeg&lt;=A279,mthend&gt;=A279),1,0)</f>
        <v>0</v>
      </c>
      <c r="AA279" s="5" t="n">
        <f aca="false">U279*Z279</f>
        <v>0</v>
      </c>
      <c r="AC279" s="115" t="n">
        <f aca="false">IF(G272=2,F279*(S279-Q279),F279*(Q279-S279))</f>
        <v>0</v>
      </c>
      <c r="AE279" s="116" t="n">
        <f aca="false">IF($G$3=1,F279*(R279-Q279),F279*(Q279-R279))</f>
        <v>0</v>
      </c>
      <c r="AG279" s="116" t="n">
        <f aca="false">AC279+AE279</f>
        <v>0</v>
      </c>
    </row>
    <row r="280" customFormat="false" ht="12" hidden="false" customHeight="true" outlineLevel="0" collapsed="false">
      <c r="A280" s="120" t="n">
        <f aca="false">EDATE(A279,1)</f>
        <v>45505</v>
      </c>
      <c r="B280" s="121" t="n">
        <v>0</v>
      </c>
      <c r="C280" s="122"/>
      <c r="D280" s="123" t="n">
        <f aca="false">B280+C280</f>
        <v>0</v>
      </c>
      <c r="E280" s="111" t="n">
        <f aca="false">IF(Z280=0,0,IF(AND(Z280=1,$H$3=1),D280*U280,IF($H$3=2,D280,"N/A")))</f>
        <v>0</v>
      </c>
      <c r="F280" s="111" t="n">
        <f aca="false">E280*Y280</f>
        <v>0</v>
      </c>
      <c r="G280" s="124" t="n">
        <f aca="false">VLOOKUP($A280,Table,MATCH(G$4,Curves,0))</f>
        <v>3</v>
      </c>
      <c r="H280" s="125" t="n">
        <f aca="false">G280+$H$7</f>
        <v>3</v>
      </c>
      <c r="I280" s="124" t="n">
        <f aca="false">H280</f>
        <v>3</v>
      </c>
      <c r="J280" s="124" t="n">
        <f aca="false">VLOOKUP($A280,Table,MATCH(J$4,Curves,0))</f>
        <v>4</v>
      </c>
      <c r="K280" s="125" t="n">
        <f aca="false">J280+$K$7</f>
        <v>4</v>
      </c>
      <c r="L280" s="126" t="n">
        <f aca="false">K280</f>
        <v>4</v>
      </c>
      <c r="M280" s="124" t="n">
        <f aca="false">VLOOKUP($A280,Table,MATCH(M$4,Curves,0))</f>
        <v>4</v>
      </c>
      <c r="N280" s="125" t="n">
        <f aca="false">M280+$N$7</f>
        <v>4</v>
      </c>
      <c r="O280" s="126" t="n">
        <f aca="false">IF(B280&gt;0,(1000/B280*0.25)+((B280-1000)/B280*0.12),0)</f>
        <v>0</v>
      </c>
      <c r="P280" s="114"/>
      <c r="Q280" s="126" t="n">
        <f aca="false">M280+J280+G280</f>
        <v>11</v>
      </c>
      <c r="R280" s="126" t="n">
        <f aca="false">N280+K280+H280</f>
        <v>11</v>
      </c>
      <c r="S280" s="126" t="n">
        <f aca="false">O280+L280+I280</f>
        <v>7</v>
      </c>
      <c r="T280" s="127"/>
      <c r="U280" s="5" t="n">
        <f aca="false">A281-A280</f>
        <v>31</v>
      </c>
      <c r="V280" s="128" t="n">
        <f aca="false">CHOOSE(F$3,A281+24,A280)</f>
        <v>45505</v>
      </c>
      <c r="W280" s="5" t="n">
        <f aca="false">V280-C$3</f>
        <v>8274</v>
      </c>
      <c r="X280" s="124" t="n">
        <f aca="false">VLOOKUP($A280,Table,MATCH(X$4,Curves,0))</f>
        <v>2</v>
      </c>
      <c r="Y280" s="129" t="n">
        <f aca="false">1/(1+CHOOSE(F$3,(X281+($K$3/10000))/2,(X280+($K$3/10000))/2))^(2*W280/365.25)</f>
        <v>2.29905105282837E-014</v>
      </c>
      <c r="Z280" s="5" t="n">
        <f aca="false">IF(AND(mthbeg&lt;=A280,mthend&gt;=A280),1,0)</f>
        <v>0</v>
      </c>
      <c r="AA280" s="5" t="n">
        <f aca="false">U280*Z280</f>
        <v>0</v>
      </c>
      <c r="AC280" s="115" t="n">
        <f aca="false">IF(G273=2,F280*(S280-Q280),F280*(Q280-S280))</f>
        <v>0</v>
      </c>
      <c r="AE280" s="116" t="n">
        <f aca="false">IF($G$3=1,F280*(R280-Q280),F280*(Q280-R280))</f>
        <v>0</v>
      </c>
      <c r="AG280" s="116" t="n">
        <f aca="false">AC280+AE280</f>
        <v>0</v>
      </c>
    </row>
    <row r="281" customFormat="false" ht="12" hidden="false" customHeight="true" outlineLevel="0" collapsed="false">
      <c r="A281" s="120" t="n">
        <f aca="false">EDATE(A280,1)</f>
        <v>45536</v>
      </c>
      <c r="B281" s="121" t="n">
        <v>0</v>
      </c>
      <c r="C281" s="122"/>
      <c r="D281" s="123" t="n">
        <f aca="false">B281+C281</f>
        <v>0</v>
      </c>
      <c r="E281" s="111" t="n">
        <f aca="false">IF(Z281=0,0,IF(AND(Z281=1,$H$3=1),D281*U281,IF($H$3=2,D281,"N/A")))</f>
        <v>0</v>
      </c>
      <c r="F281" s="111" t="n">
        <f aca="false">E281*Y281</f>
        <v>0</v>
      </c>
      <c r="G281" s="124" t="n">
        <f aca="false">VLOOKUP($A281,Table,MATCH(G$4,Curves,0))</f>
        <v>3</v>
      </c>
      <c r="H281" s="125" t="n">
        <f aca="false">G281+$H$7</f>
        <v>3</v>
      </c>
      <c r="I281" s="124" t="n">
        <f aca="false">H281</f>
        <v>3</v>
      </c>
      <c r="J281" s="124" t="n">
        <f aca="false">VLOOKUP($A281,Table,MATCH(J$4,Curves,0))</f>
        <v>4</v>
      </c>
      <c r="K281" s="125" t="n">
        <f aca="false">J281+$K$7</f>
        <v>4</v>
      </c>
      <c r="L281" s="126" t="n">
        <f aca="false">K281</f>
        <v>4</v>
      </c>
      <c r="M281" s="124" t="n">
        <f aca="false">VLOOKUP($A281,Table,MATCH(M$4,Curves,0))</f>
        <v>4</v>
      </c>
      <c r="N281" s="125" t="n">
        <f aca="false">M281+$N$7</f>
        <v>4</v>
      </c>
      <c r="O281" s="126" t="n">
        <f aca="false">IF(B281&gt;0,(1000/B281*0.25)+((B281-1000)/B281*0.12),0)</f>
        <v>0</v>
      </c>
      <c r="P281" s="114"/>
      <c r="Q281" s="126" t="n">
        <f aca="false">M281+J281+G281</f>
        <v>11</v>
      </c>
      <c r="R281" s="126" t="n">
        <f aca="false">N281+K281+H281</f>
        <v>11</v>
      </c>
      <c r="S281" s="126" t="n">
        <f aca="false">O281+L281+I281</f>
        <v>7</v>
      </c>
      <c r="T281" s="127"/>
      <c r="U281" s="5" t="n">
        <f aca="false">A282-A281</f>
        <v>30</v>
      </c>
      <c r="V281" s="128" t="n">
        <f aca="false">CHOOSE(F$3,A282+24,A281)</f>
        <v>45536</v>
      </c>
      <c r="W281" s="5" t="n">
        <f aca="false">V281-C$3</f>
        <v>8305</v>
      </c>
      <c r="X281" s="124" t="n">
        <f aca="false">VLOOKUP($A281,Table,MATCH(X$4,Curves,0))</f>
        <v>2</v>
      </c>
      <c r="Y281" s="129" t="n">
        <f aca="false">1/(1+CHOOSE(F$3,(X282+($K$3/10000))/2,(X281+($K$3/10000))/2))^(2*W281/365.25)</f>
        <v>2.04385344920402E-014</v>
      </c>
      <c r="Z281" s="5" t="n">
        <f aca="false">IF(AND(mthbeg&lt;=A281,mthend&gt;=A281),1,0)</f>
        <v>0</v>
      </c>
      <c r="AA281" s="5" t="n">
        <f aca="false">U281*Z281</f>
        <v>0</v>
      </c>
      <c r="AC281" s="115" t="n">
        <f aca="false">IF(G274=2,F281*(S281-Q281),F281*(Q281-S281))</f>
        <v>0</v>
      </c>
      <c r="AE281" s="116" t="n">
        <f aca="false">IF($G$3=1,F281*(R281-Q281),F281*(Q281-R281))</f>
        <v>0</v>
      </c>
      <c r="AG281" s="116" t="n">
        <f aca="false">AC281+AE281</f>
        <v>0</v>
      </c>
    </row>
    <row r="282" customFormat="false" ht="12" hidden="false" customHeight="true" outlineLevel="0" collapsed="false">
      <c r="A282" s="120" t="n">
        <f aca="false">EDATE(A281,1)</f>
        <v>45566</v>
      </c>
      <c r="B282" s="121" t="n">
        <v>0</v>
      </c>
      <c r="C282" s="122"/>
      <c r="D282" s="123" t="n">
        <f aca="false">B282+C282</f>
        <v>0</v>
      </c>
      <c r="E282" s="111" t="n">
        <f aca="false">IF(Z282=0,0,IF(AND(Z282=1,$H$3=1),D282*U282,IF($H$3=2,D282,"N/A")))</f>
        <v>0</v>
      </c>
      <c r="F282" s="111" t="n">
        <f aca="false">E282*Y282</f>
        <v>0</v>
      </c>
      <c r="G282" s="124" t="n">
        <f aca="false">VLOOKUP($A282,Table,MATCH(G$4,Curves,0))</f>
        <v>3</v>
      </c>
      <c r="H282" s="125" t="n">
        <f aca="false">G282+$H$7</f>
        <v>3</v>
      </c>
      <c r="I282" s="124" t="n">
        <f aca="false">H282</f>
        <v>3</v>
      </c>
      <c r="J282" s="124" t="n">
        <f aca="false">VLOOKUP($A282,Table,MATCH(J$4,Curves,0))</f>
        <v>4</v>
      </c>
      <c r="K282" s="125" t="n">
        <f aca="false">J282+$K$7</f>
        <v>4</v>
      </c>
      <c r="L282" s="126" t="n">
        <f aca="false">K282</f>
        <v>4</v>
      </c>
      <c r="M282" s="124" t="n">
        <f aca="false">VLOOKUP($A282,Table,MATCH(M$4,Curves,0))</f>
        <v>4</v>
      </c>
      <c r="N282" s="125" t="n">
        <f aca="false">M282+$N$7</f>
        <v>4</v>
      </c>
      <c r="O282" s="126" t="n">
        <f aca="false">IF(B282&gt;0,(1000/B282*0.25)+((B282-1000)/B282*0.12),0)</f>
        <v>0</v>
      </c>
      <c r="P282" s="114"/>
      <c r="Q282" s="126" t="n">
        <f aca="false">M282+J282+G282</f>
        <v>11</v>
      </c>
      <c r="R282" s="126" t="n">
        <f aca="false">N282+K282+H282</f>
        <v>11</v>
      </c>
      <c r="S282" s="126" t="n">
        <f aca="false">O282+L282+I282</f>
        <v>7</v>
      </c>
      <c r="T282" s="127"/>
      <c r="U282" s="5" t="n">
        <f aca="false">A283-A282</f>
        <v>31</v>
      </c>
      <c r="V282" s="128" t="n">
        <f aca="false">CHOOSE(F$3,A283+24,A282)</f>
        <v>45566</v>
      </c>
      <c r="W282" s="5" t="n">
        <f aca="false">V282-C$3</f>
        <v>8335</v>
      </c>
      <c r="X282" s="124" t="n">
        <f aca="false">VLOOKUP($A282,Table,MATCH(X$4,Curves,0))</f>
        <v>2</v>
      </c>
      <c r="Y282" s="129" t="n">
        <f aca="false">1/(1+CHOOSE(F$3,(X283+($K$3/10000))/2,(X282+($K$3/10000))/2))^(2*W282/365.25)</f>
        <v>1.82389250909112E-014</v>
      </c>
      <c r="Z282" s="5" t="n">
        <f aca="false">IF(AND(mthbeg&lt;=A282,mthend&gt;=A282),1,0)</f>
        <v>0</v>
      </c>
      <c r="AA282" s="5" t="n">
        <f aca="false">U282*Z282</f>
        <v>0</v>
      </c>
      <c r="AC282" s="115" t="n">
        <f aca="false">IF(G275=2,F282*(S282-Q282),F282*(Q282-S282))</f>
        <v>0</v>
      </c>
      <c r="AE282" s="116" t="n">
        <f aca="false">IF($G$3=1,F282*(R282-Q282),F282*(Q282-R282))</f>
        <v>0</v>
      </c>
      <c r="AG282" s="116" t="n">
        <f aca="false">AC282+AE282</f>
        <v>0</v>
      </c>
    </row>
    <row r="283" customFormat="false" ht="12" hidden="false" customHeight="true" outlineLevel="0" collapsed="false">
      <c r="A283" s="120" t="n">
        <f aca="false">EDATE(A282,1)</f>
        <v>45597</v>
      </c>
      <c r="B283" s="121" t="n">
        <v>0</v>
      </c>
      <c r="C283" s="122"/>
      <c r="D283" s="123" t="n">
        <f aca="false">B283+C283</f>
        <v>0</v>
      </c>
      <c r="E283" s="111" t="n">
        <f aca="false">IF(Z283=0,0,IF(AND(Z283=1,$H$3=1),D283*U283,IF($H$3=2,D283,"N/A")))</f>
        <v>0</v>
      </c>
      <c r="F283" s="111" t="n">
        <f aca="false">E283*Y283</f>
        <v>0</v>
      </c>
      <c r="G283" s="124" t="n">
        <f aca="false">VLOOKUP($A283,Table,MATCH(G$4,Curves,0))</f>
        <v>3</v>
      </c>
      <c r="H283" s="125" t="n">
        <f aca="false">G283+$H$7</f>
        <v>3</v>
      </c>
      <c r="I283" s="124" t="n">
        <f aca="false">H283</f>
        <v>3</v>
      </c>
      <c r="J283" s="124" t="n">
        <f aca="false">VLOOKUP($A283,Table,MATCH(J$4,Curves,0))</f>
        <v>4</v>
      </c>
      <c r="K283" s="125" t="n">
        <f aca="false">J283+$K$7</f>
        <v>4</v>
      </c>
      <c r="L283" s="126" t="n">
        <f aca="false">K283</f>
        <v>4</v>
      </c>
      <c r="M283" s="124" t="n">
        <f aca="false">VLOOKUP($A283,Table,MATCH(M$4,Curves,0))</f>
        <v>4</v>
      </c>
      <c r="N283" s="125" t="n">
        <f aca="false">M283+$N$7</f>
        <v>4</v>
      </c>
      <c r="O283" s="126" t="n">
        <f aca="false">IF(B283&gt;0,(1000/B283*0.25)+((B283-1000)/B283*0.12),0)</f>
        <v>0</v>
      </c>
      <c r="P283" s="114"/>
      <c r="Q283" s="126" t="n">
        <f aca="false">M283+J283+G283</f>
        <v>11</v>
      </c>
      <c r="R283" s="126" t="n">
        <f aca="false">N283+K283+H283</f>
        <v>11</v>
      </c>
      <c r="S283" s="126" t="n">
        <f aca="false">O283+L283+I283</f>
        <v>7</v>
      </c>
      <c r="T283" s="127"/>
      <c r="U283" s="5" t="n">
        <f aca="false">A284-A283</f>
        <v>30</v>
      </c>
      <c r="V283" s="128" t="n">
        <f aca="false">CHOOSE(F$3,A284+24,A283)</f>
        <v>45597</v>
      </c>
      <c r="W283" s="5" t="n">
        <f aca="false">V283-C$3</f>
        <v>8366</v>
      </c>
      <c r="X283" s="124" t="n">
        <f aca="false">VLOOKUP($A283,Table,MATCH(X$4,Curves,0))</f>
        <v>2</v>
      </c>
      <c r="Y283" s="129" t="n">
        <f aca="false">1/(1+CHOOSE(F$3,(X284+($K$3/10000))/2,(X283+($K$3/10000))/2))^(2*W283/365.25)</f>
        <v>1.62143811077933E-014</v>
      </c>
      <c r="Z283" s="5" t="n">
        <f aca="false">IF(AND(mthbeg&lt;=A283,mthend&gt;=A283),1,0)</f>
        <v>0</v>
      </c>
      <c r="AA283" s="5" t="n">
        <f aca="false">U283*Z283</f>
        <v>0</v>
      </c>
      <c r="AC283" s="115" t="n">
        <f aca="false">IF(G276=2,F283*(S283-Q283),F283*(Q283-S283))</f>
        <v>0</v>
      </c>
      <c r="AE283" s="116" t="n">
        <f aca="false">IF($G$3=1,F283*(R283-Q283),F283*(Q283-R283))</f>
        <v>0</v>
      </c>
      <c r="AG283" s="116" t="n">
        <f aca="false">AC283+AE283</f>
        <v>0</v>
      </c>
    </row>
    <row r="284" customFormat="false" ht="12" hidden="false" customHeight="true" outlineLevel="0" collapsed="false">
      <c r="A284" s="120" t="n">
        <f aca="false">EDATE(A283,1)</f>
        <v>45627</v>
      </c>
      <c r="B284" s="121" t="n">
        <v>0</v>
      </c>
      <c r="C284" s="122"/>
      <c r="D284" s="123" t="n">
        <f aca="false">B284+C284</f>
        <v>0</v>
      </c>
      <c r="E284" s="111" t="n">
        <f aca="false">IF(Z284=0,0,IF(AND(Z284=1,$H$3=1),D284*U284,IF($H$3=2,D284,"N/A")))</f>
        <v>0</v>
      </c>
      <c r="F284" s="111" t="n">
        <f aca="false">E284*Y284</f>
        <v>0</v>
      </c>
      <c r="G284" s="124" t="n">
        <f aca="false">VLOOKUP($A284,Table,MATCH(G$4,Curves,0))</f>
        <v>3</v>
      </c>
      <c r="H284" s="125" t="n">
        <f aca="false">G284+$H$7</f>
        <v>3</v>
      </c>
      <c r="I284" s="124" t="n">
        <f aca="false">H284</f>
        <v>3</v>
      </c>
      <c r="J284" s="124" t="n">
        <f aca="false">VLOOKUP($A284,Table,MATCH(J$4,Curves,0))</f>
        <v>4</v>
      </c>
      <c r="K284" s="125" t="n">
        <f aca="false">J284+$K$7</f>
        <v>4</v>
      </c>
      <c r="L284" s="126" t="n">
        <f aca="false">K284</f>
        <v>4</v>
      </c>
      <c r="M284" s="124" t="n">
        <f aca="false">VLOOKUP($A284,Table,MATCH(M$4,Curves,0))</f>
        <v>4</v>
      </c>
      <c r="N284" s="125" t="n">
        <f aca="false">M284+$N$7</f>
        <v>4</v>
      </c>
      <c r="O284" s="126" t="n">
        <f aca="false">IF(B284&gt;0,(1000/B284*0.25)+((B284-1000)/B284*0.12),0)</f>
        <v>0</v>
      </c>
      <c r="P284" s="114"/>
      <c r="Q284" s="126" t="n">
        <f aca="false">M284+J284+G284</f>
        <v>11</v>
      </c>
      <c r="R284" s="126" t="n">
        <f aca="false">N284+K284+H284</f>
        <v>11</v>
      </c>
      <c r="S284" s="126" t="n">
        <f aca="false">O284+L284+I284</f>
        <v>7</v>
      </c>
      <c r="T284" s="127"/>
      <c r="U284" s="5" t="n">
        <f aca="false">A285-A284</f>
        <v>31</v>
      </c>
      <c r="V284" s="128" t="n">
        <f aca="false">CHOOSE(F$3,A285+24,A284)</f>
        <v>45627</v>
      </c>
      <c r="W284" s="5" t="n">
        <f aca="false">V284-C$3</f>
        <v>8396</v>
      </c>
      <c r="X284" s="124" t="n">
        <f aca="false">VLOOKUP($A284,Table,MATCH(X$4,Curves,0))</f>
        <v>2</v>
      </c>
      <c r="Y284" s="129" t="n">
        <f aca="false">1/(1+CHOOSE(F$3,(X285+($K$3/10000))/2,(X284+($K$3/10000))/2))^(2*W284/365.25)</f>
        <v>1.44693780532896E-014</v>
      </c>
      <c r="Z284" s="5" t="n">
        <f aca="false">IF(AND(mthbeg&lt;=A284,mthend&gt;=A284),1,0)</f>
        <v>0</v>
      </c>
      <c r="AA284" s="5" t="n">
        <f aca="false">U284*Z284</f>
        <v>0</v>
      </c>
      <c r="AC284" s="115" t="n">
        <f aca="false">IF(G277=2,F284*(S284-Q284),F284*(Q284-S284))</f>
        <v>0</v>
      </c>
      <c r="AE284" s="116" t="n">
        <f aca="false">IF($G$3=1,F284*(R284-Q284),F284*(Q284-R284))</f>
        <v>0</v>
      </c>
      <c r="AG284" s="116" t="n">
        <f aca="false">AC284+AE284</f>
        <v>0</v>
      </c>
    </row>
    <row r="285" customFormat="false" ht="12" hidden="false" customHeight="true" outlineLevel="0" collapsed="false">
      <c r="A285" s="120" t="n">
        <f aca="false">EDATE(A284,1)</f>
        <v>45658</v>
      </c>
      <c r="B285" s="121" t="n">
        <v>0</v>
      </c>
      <c r="C285" s="122"/>
      <c r="D285" s="123" t="n">
        <f aca="false">B285+C285</f>
        <v>0</v>
      </c>
      <c r="E285" s="111" t="n">
        <f aca="false">IF(Z285=0,0,IF(AND(Z285=1,$H$3=1),D285*U285,IF($H$3=2,D285,"N/A")))</f>
        <v>0</v>
      </c>
      <c r="F285" s="111" t="n">
        <f aca="false">E285*Y285</f>
        <v>0</v>
      </c>
      <c r="G285" s="124" t="n">
        <f aca="false">VLOOKUP($A285,Table,MATCH(G$4,Curves,0))</f>
        <v>3</v>
      </c>
      <c r="H285" s="125" t="n">
        <f aca="false">G285+$H$7</f>
        <v>3</v>
      </c>
      <c r="I285" s="124" t="n">
        <f aca="false">H285</f>
        <v>3</v>
      </c>
      <c r="J285" s="124" t="n">
        <f aca="false">VLOOKUP($A285,Table,MATCH(J$4,Curves,0))</f>
        <v>4</v>
      </c>
      <c r="K285" s="125" t="n">
        <f aca="false">J285+$K$7</f>
        <v>4</v>
      </c>
      <c r="L285" s="126" t="n">
        <f aca="false">K285</f>
        <v>4</v>
      </c>
      <c r="M285" s="124" t="n">
        <f aca="false">VLOOKUP($A285,Table,MATCH(M$4,Curves,0))</f>
        <v>4</v>
      </c>
      <c r="N285" s="125" t="n">
        <f aca="false">M285+$N$7</f>
        <v>4</v>
      </c>
      <c r="O285" s="126" t="n">
        <f aca="false">IF(B285&gt;0,(1000/B285*0.25)+((B285-1000)/B285*0.12),0)</f>
        <v>0</v>
      </c>
      <c r="P285" s="114"/>
      <c r="Q285" s="126" t="n">
        <f aca="false">M285+J285+G285</f>
        <v>11</v>
      </c>
      <c r="R285" s="126" t="n">
        <f aca="false">N285+K285+H285</f>
        <v>11</v>
      </c>
      <c r="S285" s="126" t="n">
        <f aca="false">O285+L285+I285</f>
        <v>7</v>
      </c>
      <c r="T285" s="127"/>
      <c r="U285" s="5" t="n">
        <f aca="false">A286-A285</f>
        <v>31</v>
      </c>
      <c r="V285" s="128" t="n">
        <f aca="false">CHOOSE(F$3,A286+24,A285)</f>
        <v>45658</v>
      </c>
      <c r="W285" s="5" t="n">
        <f aca="false">V285-C$3</f>
        <v>8427</v>
      </c>
      <c r="X285" s="124" t="n">
        <f aca="false">VLOOKUP($A285,Table,MATCH(X$4,Curves,0))</f>
        <v>2</v>
      </c>
      <c r="Y285" s="129" t="n">
        <f aca="false">1/(1+CHOOSE(F$3,(X286+($K$3/10000))/2,(X285+($K$3/10000))/2))^(2*W285/365.25)</f>
        <v>1.28632586064893E-014</v>
      </c>
      <c r="Z285" s="5" t="n">
        <f aca="false">IF(AND(mthbeg&lt;=A285,mthend&gt;=A285),1,0)</f>
        <v>0</v>
      </c>
      <c r="AA285" s="5" t="n">
        <f aca="false">U285*Z285</f>
        <v>0</v>
      </c>
      <c r="AC285" s="115" t="n">
        <f aca="false">IF(G278=2,F285*(S285-Q285),F285*(Q285-S285))</f>
        <v>0</v>
      </c>
      <c r="AE285" s="116" t="n">
        <f aca="false">IF($G$3=1,F285*(R285-Q285),F285*(Q285-R285))</f>
        <v>0</v>
      </c>
      <c r="AG285" s="116" t="n">
        <f aca="false">AC285+AE285</f>
        <v>0</v>
      </c>
    </row>
    <row r="286" customFormat="false" ht="12" hidden="false" customHeight="true" outlineLevel="0" collapsed="false">
      <c r="A286" s="120" t="n">
        <f aca="false">EDATE(A285,1)</f>
        <v>45689</v>
      </c>
      <c r="B286" s="121" t="n">
        <v>0</v>
      </c>
      <c r="C286" s="122"/>
      <c r="D286" s="123" t="n">
        <f aca="false">B286+C286</f>
        <v>0</v>
      </c>
      <c r="E286" s="111" t="n">
        <f aca="false">IF(Z286=0,0,IF(AND(Z286=1,$H$3=1),D286*U286,IF($H$3=2,D286,"N/A")))</f>
        <v>0</v>
      </c>
      <c r="F286" s="111" t="n">
        <f aca="false">E286*Y286</f>
        <v>0</v>
      </c>
      <c r="G286" s="124" t="n">
        <f aca="false">VLOOKUP($A286,Table,MATCH(G$4,Curves,0))</f>
        <v>3</v>
      </c>
      <c r="H286" s="125" t="n">
        <f aca="false">G286+$H$7</f>
        <v>3</v>
      </c>
      <c r="I286" s="124" t="n">
        <f aca="false">H286</f>
        <v>3</v>
      </c>
      <c r="J286" s="124" t="n">
        <f aca="false">VLOOKUP($A286,Table,MATCH(J$4,Curves,0))</f>
        <v>4</v>
      </c>
      <c r="K286" s="125" t="n">
        <f aca="false">J286+$K$7</f>
        <v>4</v>
      </c>
      <c r="L286" s="126" t="n">
        <f aca="false">K286</f>
        <v>4</v>
      </c>
      <c r="M286" s="124" t="n">
        <f aca="false">VLOOKUP($A286,Table,MATCH(M$4,Curves,0))</f>
        <v>4</v>
      </c>
      <c r="N286" s="125" t="n">
        <f aca="false">M286+$N$7</f>
        <v>4</v>
      </c>
      <c r="O286" s="126" t="n">
        <f aca="false">IF(B286&gt;0,(1000/B286*0.25)+((B286-1000)/B286*0.12),0)</f>
        <v>0</v>
      </c>
      <c r="P286" s="114"/>
      <c r="Q286" s="126" t="n">
        <f aca="false">M286+J286+G286</f>
        <v>11</v>
      </c>
      <c r="R286" s="126" t="n">
        <f aca="false">N286+K286+H286</f>
        <v>11</v>
      </c>
      <c r="S286" s="126" t="n">
        <f aca="false">O286+L286+I286</f>
        <v>7</v>
      </c>
      <c r="T286" s="127"/>
      <c r="U286" s="5" t="n">
        <f aca="false">A287-A286</f>
        <v>28</v>
      </c>
      <c r="V286" s="128" t="n">
        <f aca="false">CHOOSE(F$3,A287+24,A286)</f>
        <v>45689</v>
      </c>
      <c r="W286" s="5" t="n">
        <f aca="false">V286-C$3</f>
        <v>8458</v>
      </c>
      <c r="X286" s="124" t="n">
        <f aca="false">VLOOKUP($A286,Table,MATCH(X$4,Curves,0))</f>
        <v>2</v>
      </c>
      <c r="Y286" s="129" t="n">
        <f aca="false">1/(1+CHOOSE(F$3,(X287+($K$3/10000))/2,(X286+($K$3/10000))/2))^(2*W286/365.25)</f>
        <v>1.14354204699078E-014</v>
      </c>
      <c r="Z286" s="5" t="n">
        <f aca="false">IF(AND(mthbeg&lt;=A286,mthend&gt;=A286),1,0)</f>
        <v>0</v>
      </c>
      <c r="AA286" s="5" t="n">
        <f aca="false">U286*Z286</f>
        <v>0</v>
      </c>
      <c r="AC286" s="115" t="n">
        <f aca="false">IF(G279=2,F286*(S286-Q286),F286*(Q286-S286))</f>
        <v>0</v>
      </c>
      <c r="AE286" s="116" t="n">
        <f aca="false">IF($G$3=1,F286*(R286-Q286),F286*(Q286-R286))</f>
        <v>0</v>
      </c>
      <c r="AG286" s="116" t="n">
        <f aca="false">AC286+AE286</f>
        <v>0</v>
      </c>
    </row>
    <row r="287" customFormat="false" ht="12" hidden="false" customHeight="true" outlineLevel="0" collapsed="false">
      <c r="A287" s="120" t="n">
        <f aca="false">EDATE(A286,1)</f>
        <v>45717</v>
      </c>
      <c r="B287" s="121" t="n">
        <v>0</v>
      </c>
      <c r="C287" s="122"/>
      <c r="D287" s="123" t="n">
        <f aca="false">B287+C287</f>
        <v>0</v>
      </c>
      <c r="E287" s="111" t="n">
        <f aca="false">IF(Z287=0,0,IF(AND(Z287=1,$H$3=1),D287*U287,IF($H$3=2,D287,"N/A")))</f>
        <v>0</v>
      </c>
      <c r="F287" s="111" t="n">
        <f aca="false">E287*Y287</f>
        <v>0</v>
      </c>
      <c r="G287" s="124" t="n">
        <f aca="false">VLOOKUP($A287,Table,MATCH(G$4,Curves,0))</f>
        <v>3</v>
      </c>
      <c r="H287" s="125" t="n">
        <f aca="false">G287+$H$7</f>
        <v>3</v>
      </c>
      <c r="I287" s="124" t="n">
        <f aca="false">H287</f>
        <v>3</v>
      </c>
      <c r="J287" s="124" t="n">
        <f aca="false">VLOOKUP($A287,Table,MATCH(J$4,Curves,0))</f>
        <v>4</v>
      </c>
      <c r="K287" s="125" t="n">
        <f aca="false">J287+$K$7</f>
        <v>4</v>
      </c>
      <c r="L287" s="126" t="n">
        <f aca="false">K287</f>
        <v>4</v>
      </c>
      <c r="M287" s="124" t="n">
        <f aca="false">VLOOKUP($A287,Table,MATCH(M$4,Curves,0))</f>
        <v>4</v>
      </c>
      <c r="N287" s="125" t="n">
        <f aca="false">M287+$N$7</f>
        <v>4</v>
      </c>
      <c r="O287" s="126" t="n">
        <f aca="false">IF(B287&gt;0,(1000/B287*0.25)+((B287-1000)/B287*0.12),0)</f>
        <v>0</v>
      </c>
      <c r="P287" s="114"/>
      <c r="Q287" s="126" t="n">
        <f aca="false">M287+J287+G287</f>
        <v>11</v>
      </c>
      <c r="R287" s="126" t="n">
        <f aca="false">N287+K287+H287</f>
        <v>11</v>
      </c>
      <c r="S287" s="126" t="n">
        <f aca="false">O287+L287+I287</f>
        <v>7</v>
      </c>
      <c r="T287" s="127"/>
      <c r="U287" s="5" t="n">
        <f aca="false">A288-A287</f>
        <v>31</v>
      </c>
      <c r="V287" s="128" t="n">
        <f aca="false">CHOOSE(F$3,A288+24,A287)</f>
        <v>45717</v>
      </c>
      <c r="W287" s="5" t="n">
        <f aca="false">V287-C$3</f>
        <v>8486</v>
      </c>
      <c r="X287" s="124" t="n">
        <f aca="false">VLOOKUP($A287,Table,MATCH(X$4,Curves,0))</f>
        <v>2</v>
      </c>
      <c r="Y287" s="129" t="n">
        <f aca="false">1/(1+CHOOSE(F$3,(X288+($K$3/10000))/2,(X287+($K$3/10000))/2))^(2*W287/365.25)</f>
        <v>1.02824907158502E-014</v>
      </c>
      <c r="Z287" s="5" t="n">
        <f aca="false">IF(AND(mthbeg&lt;=A287,mthend&gt;=A287),1,0)</f>
        <v>0</v>
      </c>
      <c r="AA287" s="5" t="n">
        <f aca="false">U287*Z287</f>
        <v>0</v>
      </c>
      <c r="AC287" s="115" t="n">
        <f aca="false">IF(G280=2,F287*(S287-Q287),F287*(Q287-S287))</f>
        <v>0</v>
      </c>
      <c r="AE287" s="116" t="n">
        <f aca="false">IF($G$3=1,F287*(R287-Q287),F287*(Q287-R287))</f>
        <v>0</v>
      </c>
      <c r="AG287" s="116" t="n">
        <f aca="false">AC287+AE287</f>
        <v>0</v>
      </c>
    </row>
    <row r="288" customFormat="false" ht="12" hidden="false" customHeight="true" outlineLevel="0" collapsed="false">
      <c r="A288" s="120" t="n">
        <f aca="false">EDATE(A287,1)</f>
        <v>45748</v>
      </c>
      <c r="B288" s="121" t="n">
        <v>0</v>
      </c>
      <c r="C288" s="122"/>
      <c r="D288" s="123" t="n">
        <f aca="false">B288+C288</f>
        <v>0</v>
      </c>
      <c r="E288" s="111" t="n">
        <f aca="false">IF(Z288=0,0,IF(AND(Z288=1,$H$3=1),D288*U288,IF($H$3=2,D288,"N/A")))</f>
        <v>0</v>
      </c>
      <c r="F288" s="111" t="n">
        <f aca="false">E288*Y288</f>
        <v>0</v>
      </c>
      <c r="G288" s="124" t="n">
        <f aca="false">VLOOKUP($A288,Table,MATCH(G$4,Curves,0))</f>
        <v>3</v>
      </c>
      <c r="H288" s="125" t="n">
        <f aca="false">G288+$H$7</f>
        <v>3</v>
      </c>
      <c r="I288" s="124" t="n">
        <f aca="false">H288</f>
        <v>3</v>
      </c>
      <c r="J288" s="124" t="n">
        <f aca="false">VLOOKUP($A288,Table,MATCH(J$4,Curves,0))</f>
        <v>4</v>
      </c>
      <c r="K288" s="125" t="n">
        <f aca="false">J288+$K$7</f>
        <v>4</v>
      </c>
      <c r="L288" s="126" t="n">
        <f aca="false">K288</f>
        <v>4</v>
      </c>
      <c r="M288" s="124" t="n">
        <f aca="false">VLOOKUP($A288,Table,MATCH(M$4,Curves,0))</f>
        <v>4</v>
      </c>
      <c r="N288" s="125" t="n">
        <f aca="false">M288+$N$7</f>
        <v>4</v>
      </c>
      <c r="O288" s="126" t="n">
        <f aca="false">IF(B288&gt;0,(1000/B288*0.25)+((B288-1000)/B288*0.12),0)</f>
        <v>0</v>
      </c>
      <c r="P288" s="114"/>
      <c r="Q288" s="126" t="n">
        <f aca="false">M288+J288+G288</f>
        <v>11</v>
      </c>
      <c r="R288" s="126" t="n">
        <f aca="false">N288+K288+H288</f>
        <v>11</v>
      </c>
      <c r="S288" s="126" t="n">
        <f aca="false">O288+L288+I288</f>
        <v>7</v>
      </c>
      <c r="T288" s="127"/>
      <c r="U288" s="5" t="n">
        <f aca="false">A289-A288</f>
        <v>30</v>
      </c>
      <c r="V288" s="128" t="n">
        <f aca="false">CHOOSE(F$3,A289+24,A288)</f>
        <v>45748</v>
      </c>
      <c r="W288" s="5" t="n">
        <f aca="false">V288-C$3</f>
        <v>8517</v>
      </c>
      <c r="X288" s="124" t="n">
        <f aca="false">VLOOKUP($A288,Table,MATCH(X$4,Curves,0))</f>
        <v>2</v>
      </c>
      <c r="Y288" s="129" t="n">
        <f aca="false">1/(1+CHOOSE(F$3,(X289+($K$3/10000))/2,(X288+($K$3/10000))/2))^(2*W288/365.25)</f>
        <v>9.14112111174924E-015</v>
      </c>
      <c r="Z288" s="5" t="n">
        <f aca="false">IF(AND(mthbeg&lt;=A288,mthend&gt;=A288),1,0)</f>
        <v>0</v>
      </c>
      <c r="AA288" s="5" t="n">
        <f aca="false">U288*Z288</f>
        <v>0</v>
      </c>
      <c r="AC288" s="115" t="n">
        <f aca="false">IF(G281=2,F288*(S288-Q288),F288*(Q288-S288))</f>
        <v>0</v>
      </c>
      <c r="AE288" s="116" t="n">
        <f aca="false">IF($G$3=1,F288*(R288-Q288),F288*(Q288-R288))</f>
        <v>0</v>
      </c>
      <c r="AG288" s="116" t="n">
        <f aca="false">AC288+AE288</f>
        <v>0</v>
      </c>
    </row>
    <row r="289" customFormat="false" ht="12" hidden="false" customHeight="true" outlineLevel="0" collapsed="false">
      <c r="A289" s="120" t="n">
        <f aca="false">EDATE(A288,1)</f>
        <v>45778</v>
      </c>
      <c r="B289" s="121" t="n">
        <v>0</v>
      </c>
      <c r="C289" s="122"/>
      <c r="D289" s="123" t="n">
        <f aca="false">B289+C289</f>
        <v>0</v>
      </c>
      <c r="E289" s="111" t="n">
        <f aca="false">IF(Z289=0,0,IF(AND(Z289=1,$H$3=1),D289*U289,IF($H$3=2,D289,"N/A")))</f>
        <v>0</v>
      </c>
      <c r="F289" s="111" t="n">
        <f aca="false">E289*Y289</f>
        <v>0</v>
      </c>
      <c r="G289" s="124" t="n">
        <f aca="false">VLOOKUP($A289,Table,MATCH(G$4,Curves,0))</f>
        <v>3</v>
      </c>
      <c r="H289" s="125" t="n">
        <f aca="false">G289+$H$7</f>
        <v>3</v>
      </c>
      <c r="I289" s="124" t="n">
        <f aca="false">H289</f>
        <v>3</v>
      </c>
      <c r="J289" s="124" t="n">
        <f aca="false">VLOOKUP($A289,Table,MATCH(J$4,Curves,0))</f>
        <v>4</v>
      </c>
      <c r="K289" s="125" t="n">
        <f aca="false">J289+$K$7</f>
        <v>4</v>
      </c>
      <c r="L289" s="126" t="n">
        <f aca="false">K289</f>
        <v>4</v>
      </c>
      <c r="M289" s="124" t="n">
        <f aca="false">VLOOKUP($A289,Table,MATCH(M$4,Curves,0))</f>
        <v>4</v>
      </c>
      <c r="N289" s="125" t="n">
        <f aca="false">M289+$N$7</f>
        <v>4</v>
      </c>
      <c r="O289" s="126" t="n">
        <f aca="false">IF(B289&gt;0,(1000/B289*0.25)+((B289-1000)/B289*0.12),0)</f>
        <v>0</v>
      </c>
      <c r="P289" s="114"/>
      <c r="Q289" s="126" t="n">
        <f aca="false">M289+J289+G289</f>
        <v>11</v>
      </c>
      <c r="R289" s="126" t="n">
        <f aca="false">N289+K289+H289</f>
        <v>11</v>
      </c>
      <c r="S289" s="126" t="n">
        <f aca="false">O289+L289+I289</f>
        <v>7</v>
      </c>
      <c r="T289" s="127"/>
      <c r="U289" s="5" t="n">
        <f aca="false">A290-A289</f>
        <v>31</v>
      </c>
      <c r="V289" s="128" t="n">
        <f aca="false">CHOOSE(F$3,A290+24,A289)</f>
        <v>45778</v>
      </c>
      <c r="W289" s="5" t="n">
        <f aca="false">V289-C$3</f>
        <v>8547</v>
      </c>
      <c r="X289" s="124" t="n">
        <f aca="false">VLOOKUP($A289,Table,MATCH(X$4,Curves,0))</f>
        <v>2</v>
      </c>
      <c r="Y289" s="129" t="n">
        <f aca="false">1/(1+CHOOSE(F$3,(X290+($K$3/10000))/2,(X289+($K$3/10000))/2))^(2*W289/365.25)</f>
        <v>8.15734725349671E-015</v>
      </c>
      <c r="Z289" s="5" t="n">
        <f aca="false">IF(AND(mthbeg&lt;=A289,mthend&gt;=A289),1,0)</f>
        <v>0</v>
      </c>
      <c r="AA289" s="5" t="n">
        <f aca="false">U289*Z289</f>
        <v>0</v>
      </c>
      <c r="AC289" s="115" t="n">
        <f aca="false">IF(G282=2,F289*(S289-Q289),F289*(Q289-S289))</f>
        <v>0</v>
      </c>
      <c r="AE289" s="116" t="n">
        <f aca="false">IF($G$3=1,F289*(R289-Q289),F289*(Q289-R289))</f>
        <v>0</v>
      </c>
      <c r="AG289" s="116" t="n">
        <f aca="false">AC289+AE289</f>
        <v>0</v>
      </c>
    </row>
    <row r="290" customFormat="false" ht="12" hidden="false" customHeight="true" outlineLevel="0" collapsed="false">
      <c r="A290" s="120" t="n">
        <f aca="false">EDATE(A289,1)</f>
        <v>45809</v>
      </c>
      <c r="B290" s="121" t="n">
        <v>0</v>
      </c>
      <c r="C290" s="122"/>
      <c r="D290" s="123" t="n">
        <f aca="false">B290+C290</f>
        <v>0</v>
      </c>
      <c r="E290" s="111" t="n">
        <f aca="false">IF(Z290=0,0,IF(AND(Z290=1,$H$3=1),D290*U290,IF($H$3=2,D290,"N/A")))</f>
        <v>0</v>
      </c>
      <c r="F290" s="111" t="n">
        <f aca="false">E290*Y290</f>
        <v>0</v>
      </c>
      <c r="G290" s="124" t="n">
        <f aca="false">VLOOKUP($A290,Table,MATCH(G$4,Curves,0))</f>
        <v>3</v>
      </c>
      <c r="H290" s="125" t="n">
        <f aca="false">G290+$H$7</f>
        <v>3</v>
      </c>
      <c r="I290" s="124" t="n">
        <f aca="false">H290</f>
        <v>3</v>
      </c>
      <c r="J290" s="124" t="n">
        <f aca="false">VLOOKUP($A290,Table,MATCH(J$4,Curves,0))</f>
        <v>4</v>
      </c>
      <c r="K290" s="125" t="n">
        <f aca="false">J290+$K$7</f>
        <v>4</v>
      </c>
      <c r="L290" s="126" t="n">
        <f aca="false">K290</f>
        <v>4</v>
      </c>
      <c r="M290" s="124" t="n">
        <f aca="false">VLOOKUP($A290,Table,MATCH(M$4,Curves,0))</f>
        <v>4</v>
      </c>
      <c r="N290" s="125" t="n">
        <f aca="false">M290+$N$7</f>
        <v>4</v>
      </c>
      <c r="O290" s="126" t="n">
        <f aca="false">IF(B290&gt;0,(1000/B290*0.25)+((B290-1000)/B290*0.12),0)</f>
        <v>0</v>
      </c>
      <c r="P290" s="114"/>
      <c r="Q290" s="126" t="n">
        <f aca="false">M290+J290+G290</f>
        <v>11</v>
      </c>
      <c r="R290" s="126" t="n">
        <f aca="false">N290+K290+H290</f>
        <v>11</v>
      </c>
      <c r="S290" s="126" t="n">
        <f aca="false">O290+L290+I290</f>
        <v>7</v>
      </c>
      <c r="T290" s="127"/>
      <c r="U290" s="5" t="n">
        <f aca="false">A291-A290</f>
        <v>30</v>
      </c>
      <c r="V290" s="128" t="n">
        <f aca="false">CHOOSE(F$3,A291+24,A290)</f>
        <v>45809</v>
      </c>
      <c r="W290" s="5" t="n">
        <f aca="false">V290-C$3</f>
        <v>8578</v>
      </c>
      <c r="X290" s="124" t="n">
        <f aca="false">VLOOKUP($A290,Table,MATCH(X$4,Curves,0))</f>
        <v>2</v>
      </c>
      <c r="Y290" s="129" t="n">
        <f aca="false">1/(1+CHOOSE(F$3,(X291+($K$3/10000))/2,(X290+($K$3/10000))/2))^(2*W290/365.25)</f>
        <v>7.25187128833142E-015</v>
      </c>
      <c r="Z290" s="5" t="n">
        <f aca="false">IF(AND(mthbeg&lt;=A290,mthend&gt;=A290),1,0)</f>
        <v>0</v>
      </c>
      <c r="AA290" s="5" t="n">
        <f aca="false">U290*Z290</f>
        <v>0</v>
      </c>
      <c r="AC290" s="115" t="n">
        <f aca="false">IF(G283=2,F290*(S290-Q290),F290*(Q290-S290))</f>
        <v>0</v>
      </c>
      <c r="AE290" s="116" t="n">
        <f aca="false">IF($G$3=1,F290*(R290-Q290),F290*(Q290-R290))</f>
        <v>0</v>
      </c>
      <c r="AG290" s="116" t="n">
        <f aca="false">AC290+AE290</f>
        <v>0</v>
      </c>
    </row>
    <row r="291" customFormat="false" ht="12" hidden="false" customHeight="true" outlineLevel="0" collapsed="false">
      <c r="A291" s="120" t="n">
        <f aca="false">EDATE(A290,1)</f>
        <v>45839</v>
      </c>
      <c r="B291" s="121" t="n">
        <v>0</v>
      </c>
      <c r="C291" s="122"/>
      <c r="D291" s="123" t="n">
        <f aca="false">B291+C291</f>
        <v>0</v>
      </c>
      <c r="E291" s="111" t="n">
        <f aca="false">IF(Z291=0,0,IF(AND(Z291=1,$H$3=1),D291*U291,IF($H$3=2,D291,"N/A")))</f>
        <v>0</v>
      </c>
      <c r="F291" s="111" t="n">
        <f aca="false">E291*Y291</f>
        <v>0</v>
      </c>
      <c r="G291" s="124" t="n">
        <f aca="false">VLOOKUP($A291,Table,MATCH(G$4,Curves,0))</f>
        <v>3</v>
      </c>
      <c r="H291" s="125" t="n">
        <f aca="false">G291+$H$7</f>
        <v>3</v>
      </c>
      <c r="I291" s="124" t="n">
        <f aca="false">H291</f>
        <v>3</v>
      </c>
      <c r="J291" s="124" t="n">
        <f aca="false">VLOOKUP($A291,Table,MATCH(J$4,Curves,0))</f>
        <v>4</v>
      </c>
      <c r="K291" s="125" t="n">
        <f aca="false">J291+$K$7</f>
        <v>4</v>
      </c>
      <c r="L291" s="126" t="n">
        <f aca="false">K291</f>
        <v>4</v>
      </c>
      <c r="M291" s="124" t="n">
        <f aca="false">VLOOKUP($A291,Table,MATCH(M$4,Curves,0))</f>
        <v>4</v>
      </c>
      <c r="N291" s="125" t="n">
        <f aca="false">M291+$N$7</f>
        <v>4</v>
      </c>
      <c r="O291" s="126" t="n">
        <f aca="false">IF(B291&gt;0,(1000/B291*0.25)+((B291-1000)/B291*0.12),0)</f>
        <v>0</v>
      </c>
      <c r="P291" s="114"/>
      <c r="Q291" s="126" t="n">
        <f aca="false">M291+J291+G291</f>
        <v>11</v>
      </c>
      <c r="R291" s="126" t="n">
        <f aca="false">N291+K291+H291</f>
        <v>11</v>
      </c>
      <c r="S291" s="126" t="n">
        <f aca="false">O291+L291+I291</f>
        <v>7</v>
      </c>
      <c r="T291" s="127"/>
      <c r="U291" s="5" t="n">
        <f aca="false">A292-A291</f>
        <v>31</v>
      </c>
      <c r="V291" s="128" t="n">
        <f aca="false">CHOOSE(F$3,A292+24,A291)</f>
        <v>45839</v>
      </c>
      <c r="W291" s="5" t="n">
        <f aca="false">V291-C$3</f>
        <v>8608</v>
      </c>
      <c r="X291" s="124" t="n">
        <f aca="false">VLOOKUP($A291,Table,MATCH(X$4,Curves,0))</f>
        <v>2</v>
      </c>
      <c r="Y291" s="129" t="n">
        <f aca="false">1/(1+CHOOSE(F$3,(X292+($K$3/10000))/2,(X291+($K$3/10000))/2))^(2*W291/365.25)</f>
        <v>6.47141981967044E-015</v>
      </c>
      <c r="Z291" s="5" t="n">
        <f aca="false">IF(AND(mthbeg&lt;=A291,mthend&gt;=A291),1,0)</f>
        <v>0</v>
      </c>
      <c r="AA291" s="5" t="n">
        <f aca="false">U291*Z291</f>
        <v>0</v>
      </c>
      <c r="AC291" s="115" t="n">
        <f aca="false">IF(G284=2,F291*(S291-Q291),F291*(Q291-S291))</f>
        <v>0</v>
      </c>
      <c r="AE291" s="116" t="n">
        <f aca="false">IF($G$3=1,F291*(R291-Q291),F291*(Q291-R291))</f>
        <v>0</v>
      </c>
      <c r="AG291" s="116" t="n">
        <f aca="false">AC291+AE291</f>
        <v>0</v>
      </c>
    </row>
    <row r="292" customFormat="false" ht="12" hidden="false" customHeight="true" outlineLevel="0" collapsed="false">
      <c r="A292" s="120" t="n">
        <f aca="false">EDATE(A291,1)</f>
        <v>45870</v>
      </c>
      <c r="B292" s="121" t="n">
        <v>0</v>
      </c>
      <c r="C292" s="122"/>
      <c r="D292" s="123" t="n">
        <f aca="false">B292+C292</f>
        <v>0</v>
      </c>
      <c r="E292" s="111" t="n">
        <f aca="false">IF(Z292=0,0,IF(AND(Z292=1,$H$3=1),D292*U292,IF($H$3=2,D292,"N/A")))</f>
        <v>0</v>
      </c>
      <c r="F292" s="111" t="n">
        <f aca="false">E292*Y292</f>
        <v>0</v>
      </c>
      <c r="G292" s="124" t="n">
        <f aca="false">VLOOKUP($A292,Table,MATCH(G$4,Curves,0))</f>
        <v>3</v>
      </c>
      <c r="H292" s="125" t="n">
        <f aca="false">G292+$H$7</f>
        <v>3</v>
      </c>
      <c r="I292" s="124" t="n">
        <f aca="false">H292</f>
        <v>3</v>
      </c>
      <c r="J292" s="124" t="n">
        <f aca="false">VLOOKUP($A292,Table,MATCH(J$4,Curves,0))</f>
        <v>4</v>
      </c>
      <c r="K292" s="125" t="n">
        <f aca="false">J292+$K$7</f>
        <v>4</v>
      </c>
      <c r="L292" s="126" t="n">
        <f aca="false">K292</f>
        <v>4</v>
      </c>
      <c r="M292" s="124" t="n">
        <f aca="false">VLOOKUP($A292,Table,MATCH(M$4,Curves,0))</f>
        <v>4</v>
      </c>
      <c r="N292" s="125" t="n">
        <f aca="false">M292+$N$7</f>
        <v>4</v>
      </c>
      <c r="O292" s="126" t="n">
        <f aca="false">IF(B292&gt;0,(1000/B292*0.25)+((B292-1000)/B292*0.12),0)</f>
        <v>0</v>
      </c>
      <c r="P292" s="114"/>
      <c r="Q292" s="126" t="n">
        <f aca="false">M292+J292+G292</f>
        <v>11</v>
      </c>
      <c r="R292" s="126" t="n">
        <f aca="false">N292+K292+H292</f>
        <v>11</v>
      </c>
      <c r="S292" s="126" t="n">
        <f aca="false">O292+L292+I292</f>
        <v>7</v>
      </c>
      <c r="T292" s="127"/>
      <c r="U292" s="5" t="n">
        <f aca="false">A293-A292</f>
        <v>31</v>
      </c>
      <c r="V292" s="128" t="n">
        <f aca="false">CHOOSE(F$3,A293+24,A292)</f>
        <v>45870</v>
      </c>
      <c r="W292" s="5" t="n">
        <f aca="false">V292-C$3</f>
        <v>8639</v>
      </c>
      <c r="X292" s="124" t="n">
        <f aca="false">VLOOKUP($A292,Table,MATCH(X$4,Curves,0))</f>
        <v>2</v>
      </c>
      <c r="Y292" s="129" t="n">
        <f aca="false">1/(1+CHOOSE(F$3,(X293+($K$3/10000))/2,(X292+($K$3/10000))/2))^(2*W292/365.25)</f>
        <v>5.7530839532288E-015</v>
      </c>
      <c r="Z292" s="5" t="n">
        <f aca="false">IF(AND(mthbeg&lt;=A292,mthend&gt;=A292),1,0)</f>
        <v>0</v>
      </c>
      <c r="AA292" s="5" t="n">
        <f aca="false">U292*Z292</f>
        <v>0</v>
      </c>
      <c r="AC292" s="115" t="n">
        <f aca="false">IF(G285=2,F292*(S292-Q292),F292*(Q292-S292))</f>
        <v>0</v>
      </c>
      <c r="AE292" s="116" t="n">
        <f aca="false">IF($G$3=1,F292*(R292-Q292),F292*(Q292-R292))</f>
        <v>0</v>
      </c>
      <c r="AG292" s="116" t="n">
        <f aca="false">AC292+AE292</f>
        <v>0</v>
      </c>
    </row>
    <row r="293" customFormat="false" ht="12" hidden="false" customHeight="true" outlineLevel="0" collapsed="false">
      <c r="A293" s="120" t="n">
        <f aca="false">EDATE(A292,1)</f>
        <v>45901</v>
      </c>
      <c r="B293" s="121" t="n">
        <v>0</v>
      </c>
      <c r="C293" s="122"/>
      <c r="D293" s="123" t="n">
        <f aca="false">B293+C293</f>
        <v>0</v>
      </c>
      <c r="E293" s="111" t="n">
        <f aca="false">IF(Z293=0,0,IF(AND(Z293=1,$H$3=1),D293*U293,IF($H$3=2,D293,"N/A")))</f>
        <v>0</v>
      </c>
      <c r="F293" s="111" t="n">
        <f aca="false">E293*Y293</f>
        <v>0</v>
      </c>
      <c r="G293" s="124" t="n">
        <f aca="false">VLOOKUP($A293,Table,MATCH(G$4,Curves,0))</f>
        <v>3</v>
      </c>
      <c r="H293" s="125" t="n">
        <f aca="false">G293+$H$7</f>
        <v>3</v>
      </c>
      <c r="I293" s="124" t="n">
        <f aca="false">H293</f>
        <v>3</v>
      </c>
      <c r="J293" s="124" t="n">
        <f aca="false">VLOOKUP($A293,Table,MATCH(J$4,Curves,0))</f>
        <v>4</v>
      </c>
      <c r="K293" s="125" t="n">
        <f aca="false">J293+$K$7</f>
        <v>4</v>
      </c>
      <c r="L293" s="126" t="n">
        <f aca="false">K293</f>
        <v>4</v>
      </c>
      <c r="M293" s="124" t="n">
        <f aca="false">VLOOKUP($A293,Table,MATCH(M$4,Curves,0))</f>
        <v>4</v>
      </c>
      <c r="N293" s="125" t="n">
        <f aca="false">M293+$N$7</f>
        <v>4</v>
      </c>
      <c r="O293" s="126" t="n">
        <f aca="false">IF(B293&gt;0,(1000/B293*0.25)+((B293-1000)/B293*0.12),0)</f>
        <v>0</v>
      </c>
      <c r="P293" s="114"/>
      <c r="Q293" s="126" t="n">
        <f aca="false">M293+J293+G293</f>
        <v>11</v>
      </c>
      <c r="R293" s="126" t="n">
        <f aca="false">N293+K293+H293</f>
        <v>11</v>
      </c>
      <c r="S293" s="126" t="n">
        <f aca="false">O293+L293+I293</f>
        <v>7</v>
      </c>
      <c r="T293" s="127"/>
      <c r="U293" s="5" t="n">
        <f aca="false">A294-A293</f>
        <v>30</v>
      </c>
      <c r="V293" s="128" t="n">
        <f aca="false">CHOOSE(F$3,A294+24,A293)</f>
        <v>45901</v>
      </c>
      <c r="W293" s="5" t="n">
        <f aca="false">V293-C$3</f>
        <v>8670</v>
      </c>
      <c r="X293" s="124" t="n">
        <f aca="false">VLOOKUP($A293,Table,MATCH(X$4,Curves,0))</f>
        <v>2</v>
      </c>
      <c r="Y293" s="129" t="n">
        <f aca="false">1/(1+CHOOSE(F$3,(X294+($K$3/10000))/2,(X293+($K$3/10000))/2))^(2*W293/365.25)</f>
        <v>5.11448428554961E-015</v>
      </c>
      <c r="Z293" s="5" t="n">
        <f aca="false">IF(AND(mthbeg&lt;=A293,mthend&gt;=A293),1,0)</f>
        <v>0</v>
      </c>
      <c r="AA293" s="5" t="n">
        <f aca="false">U293*Z293</f>
        <v>0</v>
      </c>
      <c r="AC293" s="115" t="n">
        <f aca="false">IF(G286=2,F293*(S293-Q293),F293*(Q293-S293))</f>
        <v>0</v>
      </c>
      <c r="AE293" s="116" t="n">
        <f aca="false">IF($G$3=1,F293*(R293-Q293),F293*(Q293-R293))</f>
        <v>0</v>
      </c>
      <c r="AG293" s="116" t="n">
        <f aca="false">AC293+AE293</f>
        <v>0</v>
      </c>
    </row>
    <row r="294" customFormat="false" ht="12" hidden="false" customHeight="true" outlineLevel="0" collapsed="false">
      <c r="A294" s="120" t="n">
        <f aca="false">EDATE(A293,1)</f>
        <v>45931</v>
      </c>
      <c r="B294" s="121" t="n">
        <v>0</v>
      </c>
      <c r="C294" s="122"/>
      <c r="D294" s="123" t="n">
        <f aca="false">B294+C294</f>
        <v>0</v>
      </c>
      <c r="E294" s="111" t="n">
        <f aca="false">IF(Z294=0,0,IF(AND(Z294=1,$H$3=1),D294*U294,IF($H$3=2,D294,"N/A")))</f>
        <v>0</v>
      </c>
      <c r="F294" s="111" t="n">
        <f aca="false">E294*Y294</f>
        <v>0</v>
      </c>
      <c r="G294" s="124" t="n">
        <f aca="false">VLOOKUP($A294,Table,MATCH(G$4,Curves,0))</f>
        <v>3</v>
      </c>
      <c r="H294" s="125" t="n">
        <f aca="false">G294+$H$7</f>
        <v>3</v>
      </c>
      <c r="I294" s="124" t="n">
        <f aca="false">H294</f>
        <v>3</v>
      </c>
      <c r="J294" s="124" t="n">
        <f aca="false">VLOOKUP($A294,Table,MATCH(J$4,Curves,0))</f>
        <v>4</v>
      </c>
      <c r="K294" s="125" t="n">
        <f aca="false">J294+$K$7</f>
        <v>4</v>
      </c>
      <c r="L294" s="126" t="n">
        <f aca="false">K294</f>
        <v>4</v>
      </c>
      <c r="M294" s="124" t="n">
        <f aca="false">VLOOKUP($A294,Table,MATCH(M$4,Curves,0))</f>
        <v>4</v>
      </c>
      <c r="N294" s="125" t="n">
        <f aca="false">M294+$N$7</f>
        <v>4</v>
      </c>
      <c r="O294" s="126" t="n">
        <f aca="false">IF(B294&gt;0,(1000/B294*0.25)+((B294-1000)/B294*0.12),0)</f>
        <v>0</v>
      </c>
      <c r="P294" s="114"/>
      <c r="Q294" s="126" t="n">
        <f aca="false">M294+J294+G294</f>
        <v>11</v>
      </c>
      <c r="R294" s="126" t="n">
        <f aca="false">N294+K294+H294</f>
        <v>11</v>
      </c>
      <c r="S294" s="126" t="n">
        <f aca="false">O294+L294+I294</f>
        <v>7</v>
      </c>
      <c r="T294" s="127"/>
      <c r="U294" s="5" t="n">
        <f aca="false">A295-A294</f>
        <v>31</v>
      </c>
      <c r="V294" s="128" t="n">
        <f aca="false">CHOOSE(F$3,A295+24,A294)</f>
        <v>45931</v>
      </c>
      <c r="W294" s="5" t="n">
        <f aca="false">V294-C$3</f>
        <v>8700</v>
      </c>
      <c r="X294" s="124" t="n">
        <f aca="false">VLOOKUP($A294,Table,MATCH(X$4,Curves,0))</f>
        <v>2</v>
      </c>
      <c r="Y294" s="129" t="n">
        <f aca="false">1/(1+CHOOSE(F$3,(X295+($K$3/10000))/2,(X294+($K$3/10000))/2))^(2*W294/365.25)</f>
        <v>4.56405990356653E-015</v>
      </c>
      <c r="Z294" s="5" t="n">
        <f aca="false">IF(AND(mthbeg&lt;=A294,mthend&gt;=A294),1,0)</f>
        <v>0</v>
      </c>
      <c r="AA294" s="5" t="n">
        <f aca="false">U294*Z294</f>
        <v>0</v>
      </c>
      <c r="AC294" s="115" t="n">
        <f aca="false">IF(G287=2,F294*(S294-Q294),F294*(Q294-S294))</f>
        <v>0</v>
      </c>
      <c r="AE294" s="116" t="n">
        <f aca="false">IF($G$3=1,F294*(R294-Q294),F294*(Q294-R294))</f>
        <v>0</v>
      </c>
      <c r="AG294" s="116" t="n">
        <f aca="false">AC294+AE294</f>
        <v>0</v>
      </c>
    </row>
    <row r="295" customFormat="false" ht="12" hidden="false" customHeight="true" outlineLevel="0" collapsed="false">
      <c r="A295" s="120" t="n">
        <f aca="false">EDATE(A294,1)</f>
        <v>45962</v>
      </c>
      <c r="B295" s="121" t="n">
        <v>0</v>
      </c>
      <c r="C295" s="122"/>
      <c r="D295" s="123" t="n">
        <f aca="false">B295+C295</f>
        <v>0</v>
      </c>
      <c r="E295" s="111" t="n">
        <f aca="false">IF(Z295=0,0,IF(AND(Z295=1,$H$3=1),D295*U295,IF($H$3=2,D295,"N/A")))</f>
        <v>0</v>
      </c>
      <c r="F295" s="111" t="n">
        <f aca="false">E295*Y295</f>
        <v>0</v>
      </c>
      <c r="G295" s="124" t="n">
        <f aca="false">VLOOKUP($A295,Table,MATCH(G$4,Curves,0))</f>
        <v>3</v>
      </c>
      <c r="H295" s="125" t="n">
        <f aca="false">G295+$H$7</f>
        <v>3</v>
      </c>
      <c r="I295" s="124" t="n">
        <f aca="false">H295</f>
        <v>3</v>
      </c>
      <c r="J295" s="124" t="n">
        <f aca="false">VLOOKUP($A295,Table,MATCH(J$4,Curves,0))</f>
        <v>4</v>
      </c>
      <c r="K295" s="125" t="n">
        <f aca="false">J295+$K$7</f>
        <v>4</v>
      </c>
      <c r="L295" s="126" t="n">
        <f aca="false">K295</f>
        <v>4</v>
      </c>
      <c r="M295" s="124" t="n">
        <f aca="false">VLOOKUP($A295,Table,MATCH(M$4,Curves,0))</f>
        <v>4</v>
      </c>
      <c r="N295" s="125" t="n">
        <f aca="false">M295+$N$7</f>
        <v>4</v>
      </c>
      <c r="O295" s="126" t="n">
        <f aca="false">IF(B295&gt;0,(1000/B295*0.25)+((B295-1000)/B295*0.12),0)</f>
        <v>0</v>
      </c>
      <c r="P295" s="114"/>
      <c r="Q295" s="126" t="n">
        <f aca="false">M295+J295+G295</f>
        <v>11</v>
      </c>
      <c r="R295" s="126" t="n">
        <f aca="false">N295+K295+H295</f>
        <v>11</v>
      </c>
      <c r="S295" s="126" t="n">
        <f aca="false">O295+L295+I295</f>
        <v>7</v>
      </c>
      <c r="T295" s="127"/>
      <c r="U295" s="5" t="n">
        <f aca="false">A296-A295</f>
        <v>30</v>
      </c>
      <c r="V295" s="128" t="n">
        <f aca="false">CHOOSE(F$3,A296+24,A295)</f>
        <v>45962</v>
      </c>
      <c r="W295" s="5" t="n">
        <f aca="false">V295-C$3</f>
        <v>8731</v>
      </c>
      <c r="X295" s="124" t="n">
        <f aca="false">VLOOKUP($A295,Table,MATCH(X$4,Curves,0))</f>
        <v>2</v>
      </c>
      <c r="Y295" s="129" t="n">
        <f aca="false">1/(1+CHOOSE(F$3,(X296+($K$3/10000))/2,(X295+($K$3/10000))/2))^(2*W295/365.25)</f>
        <v>4.05744342423464E-015</v>
      </c>
      <c r="Z295" s="5" t="n">
        <f aca="false">IF(AND(mthbeg&lt;=A295,mthend&gt;=A295),1,0)</f>
        <v>0</v>
      </c>
      <c r="AA295" s="5" t="n">
        <f aca="false">U295*Z295</f>
        <v>0</v>
      </c>
      <c r="AC295" s="115" t="n">
        <f aca="false">IF(G288=2,F295*(S295-Q295),F295*(Q295-S295))</f>
        <v>0</v>
      </c>
      <c r="AE295" s="116" t="n">
        <f aca="false">IF($G$3=1,F295*(R295-Q295),F295*(Q295-R295))</f>
        <v>0</v>
      </c>
      <c r="AG295" s="116" t="n">
        <f aca="false">AC295+AE295</f>
        <v>0</v>
      </c>
    </row>
    <row r="296" customFormat="false" ht="12" hidden="false" customHeight="true" outlineLevel="0" collapsed="false">
      <c r="A296" s="120" t="n">
        <f aca="false">EDATE(A295,1)</f>
        <v>45992</v>
      </c>
      <c r="B296" s="121" t="n">
        <v>0</v>
      </c>
      <c r="C296" s="122"/>
      <c r="D296" s="123" t="n">
        <f aca="false">B296+C296</f>
        <v>0</v>
      </c>
      <c r="E296" s="111" t="n">
        <f aca="false">IF(Z296=0,0,IF(AND(Z296=1,$H$3=1),D296*U296,IF($H$3=2,D296,"N/A")))</f>
        <v>0</v>
      </c>
      <c r="F296" s="111" t="n">
        <f aca="false">E296*Y296</f>
        <v>0</v>
      </c>
      <c r="G296" s="124" t="n">
        <f aca="false">VLOOKUP($A296,Table,MATCH(G$4,Curves,0))</f>
        <v>3</v>
      </c>
      <c r="H296" s="125" t="n">
        <f aca="false">G296+$H$7</f>
        <v>3</v>
      </c>
      <c r="I296" s="124" t="n">
        <f aca="false">H296</f>
        <v>3</v>
      </c>
      <c r="J296" s="124" t="n">
        <f aca="false">VLOOKUP($A296,Table,MATCH(J$4,Curves,0))</f>
        <v>4</v>
      </c>
      <c r="K296" s="125" t="n">
        <f aca="false">J296+$K$7</f>
        <v>4</v>
      </c>
      <c r="L296" s="126" t="n">
        <f aca="false">K296</f>
        <v>4</v>
      </c>
      <c r="M296" s="124" t="n">
        <f aca="false">VLOOKUP($A296,Table,MATCH(M$4,Curves,0))</f>
        <v>4</v>
      </c>
      <c r="N296" s="125" t="n">
        <f aca="false">M296+$N$7</f>
        <v>4</v>
      </c>
      <c r="O296" s="126" t="n">
        <f aca="false">IF(B296&gt;0,(1000/B296*0.25)+((B296-1000)/B296*0.12),0)</f>
        <v>0</v>
      </c>
      <c r="P296" s="114"/>
      <c r="Q296" s="126" t="n">
        <f aca="false">M296+J296+G296</f>
        <v>11</v>
      </c>
      <c r="R296" s="126" t="n">
        <f aca="false">N296+K296+H296</f>
        <v>11</v>
      </c>
      <c r="S296" s="126" t="n">
        <f aca="false">O296+L296+I296</f>
        <v>7</v>
      </c>
      <c r="T296" s="127"/>
      <c r="U296" s="5" t="n">
        <f aca="false">A297-A296</f>
        <v>31</v>
      </c>
      <c r="V296" s="128" t="n">
        <f aca="false">CHOOSE(F$3,A297+24,A296)</f>
        <v>45992</v>
      </c>
      <c r="W296" s="5" t="n">
        <f aca="false">V296-C$3</f>
        <v>8761</v>
      </c>
      <c r="X296" s="124" t="n">
        <f aca="false">VLOOKUP($A296,Table,MATCH(X$4,Curves,0))</f>
        <v>2</v>
      </c>
      <c r="Y296" s="129" t="n">
        <f aca="false">1/(1+CHOOSE(F$3,(X297+($K$3/10000))/2,(X296+($K$3/10000))/2))^(2*W296/365.25)</f>
        <v>3.62077852030178E-015</v>
      </c>
      <c r="Z296" s="5" t="n">
        <f aca="false">IF(AND(mthbeg&lt;=A296,mthend&gt;=A296),1,0)</f>
        <v>0</v>
      </c>
      <c r="AA296" s="5" t="n">
        <f aca="false">U296*Z296</f>
        <v>0</v>
      </c>
      <c r="AC296" s="115" t="n">
        <f aca="false">IF(G289=2,F296*(S296-Q296),F296*(Q296-S296))</f>
        <v>0</v>
      </c>
      <c r="AE296" s="116" t="n">
        <f aca="false">IF($G$3=1,F296*(R296-Q296),F296*(Q296-R296))</f>
        <v>0</v>
      </c>
      <c r="AG296" s="116" t="n">
        <f aca="false">AC296+AE296</f>
        <v>0</v>
      </c>
    </row>
    <row r="297" customFormat="false" ht="12" hidden="false" customHeight="true" outlineLevel="0" collapsed="false">
      <c r="A297" s="120" t="n">
        <f aca="false">EDATE(A296,1)</f>
        <v>46023</v>
      </c>
      <c r="B297" s="121" t="n">
        <v>0</v>
      </c>
      <c r="C297" s="122"/>
      <c r="D297" s="123" t="n">
        <f aca="false">B297+C297</f>
        <v>0</v>
      </c>
      <c r="E297" s="111" t="n">
        <f aca="false">IF(Z297=0,0,IF(AND(Z297=1,$H$3=1),D297*U297,IF($H$3=2,D297,"N/A")))</f>
        <v>0</v>
      </c>
      <c r="F297" s="111" t="n">
        <f aca="false">E297*Y297</f>
        <v>0</v>
      </c>
      <c r="G297" s="124" t="n">
        <f aca="false">VLOOKUP($A297,Table,MATCH(G$4,Curves,0))</f>
        <v>3</v>
      </c>
      <c r="H297" s="125" t="n">
        <f aca="false">G297+$H$7</f>
        <v>3</v>
      </c>
      <c r="I297" s="124" t="n">
        <f aca="false">H297</f>
        <v>3</v>
      </c>
      <c r="J297" s="124" t="n">
        <f aca="false">VLOOKUP($A297,Table,MATCH(J$4,Curves,0))</f>
        <v>4</v>
      </c>
      <c r="K297" s="125" t="n">
        <f aca="false">J297+$K$7</f>
        <v>4</v>
      </c>
      <c r="L297" s="126" t="n">
        <f aca="false">K297</f>
        <v>4</v>
      </c>
      <c r="M297" s="124" t="n">
        <f aca="false">VLOOKUP($A297,Table,MATCH(M$4,Curves,0))</f>
        <v>4</v>
      </c>
      <c r="N297" s="125" t="n">
        <f aca="false">M297+$N$7</f>
        <v>4</v>
      </c>
      <c r="O297" s="126" t="n">
        <f aca="false">IF(B297&gt;0,(1000/B297*0.25)+((B297-1000)/B297*0.12),0)</f>
        <v>0</v>
      </c>
      <c r="P297" s="114"/>
      <c r="Q297" s="126" t="n">
        <f aca="false">M297+J297+G297</f>
        <v>11</v>
      </c>
      <c r="R297" s="126" t="n">
        <f aca="false">N297+K297+H297</f>
        <v>11</v>
      </c>
      <c r="S297" s="126" t="n">
        <f aca="false">O297+L297+I297</f>
        <v>7</v>
      </c>
      <c r="T297" s="127"/>
      <c r="U297" s="5" t="n">
        <f aca="false">A298-A297</f>
        <v>31</v>
      </c>
      <c r="V297" s="128" t="n">
        <f aca="false">CHOOSE(F$3,A298+24,A297)</f>
        <v>46023</v>
      </c>
      <c r="W297" s="5" t="n">
        <f aca="false">V297-C$3</f>
        <v>8792</v>
      </c>
      <c r="X297" s="124" t="n">
        <f aca="false">VLOOKUP($A297,Table,MATCH(X$4,Curves,0))</f>
        <v>2</v>
      </c>
      <c r="Y297" s="129" t="n">
        <f aca="false">1/(1+CHOOSE(F$3,(X298+($K$3/10000))/2,(X297+($K$3/10000))/2))^(2*W297/365.25)</f>
        <v>3.21886747944047E-015</v>
      </c>
      <c r="Z297" s="5" t="n">
        <f aca="false">IF(AND(mthbeg&lt;=A297,mthend&gt;=A297),1,0)</f>
        <v>0</v>
      </c>
      <c r="AA297" s="5" t="n">
        <f aca="false">U297*Z297</f>
        <v>0</v>
      </c>
      <c r="AC297" s="115" t="n">
        <f aca="false">IF(G290=2,F297*(S297-Q297),F297*(Q297-S297))</f>
        <v>0</v>
      </c>
      <c r="AE297" s="116" t="n">
        <f aca="false">IF($G$3=1,F297*(R297-Q297),F297*(Q297-R297))</f>
        <v>0</v>
      </c>
      <c r="AG297" s="116" t="n">
        <f aca="false">AC297+AE297</f>
        <v>0</v>
      </c>
    </row>
    <row r="298" customFormat="false" ht="12" hidden="false" customHeight="true" outlineLevel="0" collapsed="false">
      <c r="A298" s="120" t="n">
        <f aca="false">EDATE(A297,1)</f>
        <v>46054</v>
      </c>
      <c r="B298" s="121" t="n">
        <v>0</v>
      </c>
      <c r="C298" s="122"/>
      <c r="D298" s="123" t="n">
        <f aca="false">B298+C298</f>
        <v>0</v>
      </c>
      <c r="E298" s="111" t="n">
        <f aca="false">IF(Z298=0,0,IF(AND(Z298=1,$H$3=1),D298*U298,IF($H$3=2,D298,"N/A")))</f>
        <v>0</v>
      </c>
      <c r="F298" s="111" t="n">
        <f aca="false">E298*Y298</f>
        <v>0</v>
      </c>
      <c r="G298" s="124" t="n">
        <f aca="false">VLOOKUP($A298,Table,MATCH(G$4,Curves,0))</f>
        <v>3</v>
      </c>
      <c r="H298" s="125" t="n">
        <f aca="false">G298+$H$7</f>
        <v>3</v>
      </c>
      <c r="I298" s="124" t="n">
        <f aca="false">H298</f>
        <v>3</v>
      </c>
      <c r="J298" s="124" t="n">
        <f aca="false">VLOOKUP($A298,Table,MATCH(J$4,Curves,0))</f>
        <v>4</v>
      </c>
      <c r="K298" s="125" t="n">
        <f aca="false">J298+$K$7</f>
        <v>4</v>
      </c>
      <c r="L298" s="126" t="n">
        <f aca="false">K298</f>
        <v>4</v>
      </c>
      <c r="M298" s="124" t="n">
        <f aca="false">VLOOKUP($A298,Table,MATCH(M$4,Curves,0))</f>
        <v>4</v>
      </c>
      <c r="N298" s="125" t="n">
        <f aca="false">M298+$N$7</f>
        <v>4</v>
      </c>
      <c r="O298" s="126" t="n">
        <f aca="false">IF(B298&gt;0,(1000/B298*0.25)+((B298-1000)/B298*0.12),0)</f>
        <v>0</v>
      </c>
      <c r="P298" s="114"/>
      <c r="Q298" s="126" t="n">
        <f aca="false">M298+J298+G298</f>
        <v>11</v>
      </c>
      <c r="R298" s="126" t="n">
        <f aca="false">N298+K298+H298</f>
        <v>11</v>
      </c>
      <c r="S298" s="126" t="n">
        <f aca="false">O298+L298+I298</f>
        <v>7</v>
      </c>
      <c r="T298" s="127"/>
      <c r="U298" s="5" t="n">
        <f aca="false">A299-A298</f>
        <v>28</v>
      </c>
      <c r="V298" s="128" t="n">
        <f aca="false">CHOOSE(F$3,A299+24,A298)</f>
        <v>46054</v>
      </c>
      <c r="W298" s="5" t="n">
        <f aca="false">V298-C$3</f>
        <v>8823</v>
      </c>
      <c r="X298" s="124" t="n">
        <f aca="false">VLOOKUP($A298,Table,MATCH(X$4,Curves,0))</f>
        <v>2</v>
      </c>
      <c r="Y298" s="129" t="n">
        <f aca="false">1/(1+CHOOSE(F$3,(X299+($K$3/10000))/2,(X298+($K$3/10000))/2))^(2*W298/365.25)</f>
        <v>2.86156907750764E-015</v>
      </c>
      <c r="Z298" s="5" t="n">
        <f aca="false">IF(AND(mthbeg&lt;=A298,mthend&gt;=A298),1,0)</f>
        <v>0</v>
      </c>
      <c r="AA298" s="5" t="n">
        <f aca="false">U298*Z298</f>
        <v>0</v>
      </c>
      <c r="AC298" s="115" t="n">
        <f aca="false">IF(G291=2,F298*(S298-Q298),F298*(Q298-S298))</f>
        <v>0</v>
      </c>
      <c r="AE298" s="116" t="n">
        <f aca="false">IF($G$3=1,F298*(R298-Q298),F298*(Q298-R298))</f>
        <v>0</v>
      </c>
      <c r="AG298" s="116" t="n">
        <f aca="false">AC298+AE298</f>
        <v>0</v>
      </c>
    </row>
    <row r="299" customFormat="false" ht="12" hidden="false" customHeight="true" outlineLevel="0" collapsed="false">
      <c r="A299" s="120" t="n">
        <f aca="false">EDATE(A298,1)</f>
        <v>46082</v>
      </c>
      <c r="B299" s="121" t="n">
        <v>0</v>
      </c>
      <c r="C299" s="122"/>
      <c r="D299" s="123" t="n">
        <f aca="false">B299+C299</f>
        <v>0</v>
      </c>
      <c r="E299" s="111" t="n">
        <f aca="false">IF(Z299=0,0,IF(AND(Z299=1,$H$3=1),D299*U299,IF($H$3=2,D299,"N/A")))</f>
        <v>0</v>
      </c>
      <c r="F299" s="111" t="n">
        <f aca="false">E299*Y299</f>
        <v>0</v>
      </c>
      <c r="G299" s="124" t="n">
        <f aca="false">VLOOKUP($A299,Table,MATCH(G$4,Curves,0))</f>
        <v>3</v>
      </c>
      <c r="H299" s="125" t="n">
        <f aca="false">G299+$H$7</f>
        <v>3</v>
      </c>
      <c r="I299" s="124" t="n">
        <f aca="false">H299</f>
        <v>3</v>
      </c>
      <c r="J299" s="124" t="n">
        <f aca="false">VLOOKUP($A299,Table,MATCH(J$4,Curves,0))</f>
        <v>4</v>
      </c>
      <c r="K299" s="125" t="n">
        <f aca="false">J299+$K$7</f>
        <v>4</v>
      </c>
      <c r="L299" s="126" t="n">
        <f aca="false">K299</f>
        <v>4</v>
      </c>
      <c r="M299" s="124" t="n">
        <f aca="false">VLOOKUP($A299,Table,MATCH(M$4,Curves,0))</f>
        <v>4</v>
      </c>
      <c r="N299" s="125" t="n">
        <f aca="false">M299+$N$7</f>
        <v>4</v>
      </c>
      <c r="O299" s="126" t="n">
        <f aca="false">IF(B299&gt;0,(1000/B299*0.25)+((B299-1000)/B299*0.12),0)</f>
        <v>0</v>
      </c>
      <c r="P299" s="114"/>
      <c r="Q299" s="126" t="n">
        <f aca="false">M299+J299+G299</f>
        <v>11</v>
      </c>
      <c r="R299" s="126" t="n">
        <f aca="false">N299+K299+H299</f>
        <v>11</v>
      </c>
      <c r="S299" s="126" t="n">
        <f aca="false">O299+L299+I299</f>
        <v>7</v>
      </c>
      <c r="T299" s="127"/>
      <c r="U299" s="5" t="n">
        <f aca="false">A300-A299</f>
        <v>31</v>
      </c>
      <c r="V299" s="128" t="n">
        <f aca="false">CHOOSE(F$3,A300+24,A299)</f>
        <v>46082</v>
      </c>
      <c r="W299" s="5" t="n">
        <f aca="false">V299-C$3</f>
        <v>8851</v>
      </c>
      <c r="X299" s="124" t="n">
        <f aca="false">VLOOKUP($A299,Table,MATCH(X$4,Curves,0))</f>
        <v>2</v>
      </c>
      <c r="Y299" s="129" t="n">
        <f aca="false">1/(1+CHOOSE(F$3,(X300+($K$3/10000))/2,(X299+($K$3/10000))/2))^(2*W299/365.25)</f>
        <v>2.57306301501248E-015</v>
      </c>
      <c r="Z299" s="5" t="n">
        <f aca="false">IF(AND(mthbeg&lt;=A299,mthend&gt;=A299),1,0)</f>
        <v>0</v>
      </c>
      <c r="AA299" s="5" t="n">
        <f aca="false">U299*Z299</f>
        <v>0</v>
      </c>
      <c r="AC299" s="115" t="n">
        <f aca="false">IF(G292=2,F299*(S299-Q299),F299*(Q299-S299))</f>
        <v>0</v>
      </c>
      <c r="AE299" s="116" t="n">
        <f aca="false">IF($G$3=1,F299*(R299-Q299),F299*(Q299-R299))</f>
        <v>0</v>
      </c>
      <c r="AG299" s="116" t="n">
        <f aca="false">AC299+AE299</f>
        <v>0</v>
      </c>
    </row>
    <row r="300" customFormat="false" ht="12" hidden="false" customHeight="true" outlineLevel="0" collapsed="false">
      <c r="A300" s="120" t="n">
        <f aca="false">EDATE(A299,1)</f>
        <v>46113</v>
      </c>
      <c r="B300" s="121" t="n">
        <v>0</v>
      </c>
      <c r="C300" s="122"/>
      <c r="D300" s="123" t="n">
        <f aca="false">B300+C300</f>
        <v>0</v>
      </c>
      <c r="E300" s="111" t="n">
        <f aca="false">IF(Z300=0,0,IF(AND(Z300=1,$H$3=1),D300*U300,IF($H$3=2,D300,"N/A")))</f>
        <v>0</v>
      </c>
      <c r="F300" s="111" t="n">
        <f aca="false">E300*Y300</f>
        <v>0</v>
      </c>
      <c r="G300" s="124" t="n">
        <f aca="false">VLOOKUP($A300,Table,MATCH(G$4,Curves,0))</f>
        <v>3</v>
      </c>
      <c r="H300" s="125" t="n">
        <f aca="false">G300+$H$7</f>
        <v>3</v>
      </c>
      <c r="I300" s="124" t="n">
        <f aca="false">H300</f>
        <v>3</v>
      </c>
      <c r="J300" s="124" t="n">
        <f aca="false">VLOOKUP($A300,Table,MATCH(J$4,Curves,0))</f>
        <v>4</v>
      </c>
      <c r="K300" s="125" t="n">
        <f aca="false">J300+$K$7</f>
        <v>4</v>
      </c>
      <c r="L300" s="126" t="n">
        <f aca="false">K300</f>
        <v>4</v>
      </c>
      <c r="M300" s="124" t="n">
        <f aca="false">VLOOKUP($A300,Table,MATCH(M$4,Curves,0))</f>
        <v>4</v>
      </c>
      <c r="N300" s="125" t="n">
        <f aca="false">M300+$N$7</f>
        <v>4</v>
      </c>
      <c r="O300" s="126" t="n">
        <f aca="false">IF(B300&gt;0,(1000/B300*0.25)+((B300-1000)/B300*0.12),0)</f>
        <v>0</v>
      </c>
      <c r="P300" s="114"/>
      <c r="Q300" s="126" t="n">
        <f aca="false">M300+J300+G300</f>
        <v>11</v>
      </c>
      <c r="R300" s="126" t="n">
        <f aca="false">N300+K300+H300</f>
        <v>11</v>
      </c>
      <c r="S300" s="126" t="n">
        <f aca="false">O300+L300+I300</f>
        <v>7</v>
      </c>
      <c r="T300" s="127"/>
      <c r="U300" s="5" t="n">
        <f aca="false">A301-A300</f>
        <v>30</v>
      </c>
      <c r="V300" s="128" t="n">
        <f aca="false">CHOOSE(F$3,A301+24,A300)</f>
        <v>46113</v>
      </c>
      <c r="W300" s="5" t="n">
        <f aca="false">V300-C$3</f>
        <v>8882</v>
      </c>
      <c r="X300" s="124" t="n">
        <f aca="false">VLOOKUP($A300,Table,MATCH(X$4,Curves,0))</f>
        <v>2</v>
      </c>
      <c r="Y300" s="129" t="n">
        <f aca="false">1/(1+CHOOSE(F$3,(X301+($K$3/10000))/2,(X300+($K$3/10000))/2))^(2*W300/365.25)</f>
        <v>2.28744973356847E-015</v>
      </c>
      <c r="Z300" s="5" t="n">
        <f aca="false">IF(AND(mthbeg&lt;=A300,mthend&gt;=A300),1,0)</f>
        <v>0</v>
      </c>
      <c r="AA300" s="5" t="n">
        <f aca="false">U300*Z300</f>
        <v>0</v>
      </c>
      <c r="AC300" s="115" t="n">
        <f aca="false">IF(G293=2,F300*(S300-Q300),F300*(Q300-S300))</f>
        <v>0</v>
      </c>
      <c r="AE300" s="116" t="n">
        <f aca="false">IF($G$3=1,F300*(R300-Q300),F300*(Q300-R300))</f>
        <v>0</v>
      </c>
      <c r="AG300" s="116" t="n">
        <f aca="false">AC300+AE300</f>
        <v>0</v>
      </c>
    </row>
    <row r="301" customFormat="false" ht="12" hidden="false" customHeight="true" outlineLevel="0" collapsed="false">
      <c r="A301" s="120" t="n">
        <f aca="false">EDATE(A300,1)</f>
        <v>46143</v>
      </c>
      <c r="B301" s="121" t="n">
        <v>0</v>
      </c>
      <c r="C301" s="122"/>
      <c r="D301" s="123" t="n">
        <f aca="false">B301+C301</f>
        <v>0</v>
      </c>
      <c r="E301" s="111" t="n">
        <f aca="false">IF(Z301=0,0,IF(AND(Z301=1,$H$3=1),D301*U301,IF($H$3=2,D301,"N/A")))</f>
        <v>0</v>
      </c>
      <c r="F301" s="111" t="n">
        <f aca="false">E301*Y301</f>
        <v>0</v>
      </c>
      <c r="G301" s="124" t="n">
        <f aca="false">VLOOKUP($A301,Table,MATCH(G$4,Curves,0))</f>
        <v>3</v>
      </c>
      <c r="H301" s="125" t="n">
        <f aca="false">G301+$H$7</f>
        <v>3</v>
      </c>
      <c r="I301" s="124" t="n">
        <f aca="false">H301</f>
        <v>3</v>
      </c>
      <c r="J301" s="124" t="n">
        <f aca="false">VLOOKUP($A301,Table,MATCH(J$4,Curves,0))</f>
        <v>4</v>
      </c>
      <c r="K301" s="125" t="n">
        <f aca="false">J301+$K$7</f>
        <v>4</v>
      </c>
      <c r="L301" s="126" t="n">
        <f aca="false">K301</f>
        <v>4</v>
      </c>
      <c r="M301" s="124" t="n">
        <f aca="false">VLOOKUP($A301,Table,MATCH(M$4,Curves,0))</f>
        <v>4</v>
      </c>
      <c r="N301" s="125" t="n">
        <f aca="false">M301+$N$7</f>
        <v>4</v>
      </c>
      <c r="O301" s="126" t="n">
        <f aca="false">IF(B301&gt;0,(1000/B301*0.25)+((B301-1000)/B301*0.12),0)</f>
        <v>0</v>
      </c>
      <c r="P301" s="114"/>
      <c r="Q301" s="126" t="n">
        <f aca="false">M301+J301+G301</f>
        <v>11</v>
      </c>
      <c r="R301" s="126" t="n">
        <f aca="false">N301+K301+H301</f>
        <v>11</v>
      </c>
      <c r="S301" s="126" t="n">
        <f aca="false">O301+L301+I301</f>
        <v>7</v>
      </c>
      <c r="T301" s="127"/>
      <c r="U301" s="5" t="n">
        <f aca="false">A302-A301</f>
        <v>31</v>
      </c>
      <c r="V301" s="128" t="n">
        <f aca="false">CHOOSE(F$3,A302+24,A301)</f>
        <v>46143</v>
      </c>
      <c r="W301" s="5" t="n">
        <f aca="false">V301-C$3</f>
        <v>8912</v>
      </c>
      <c r="X301" s="124" t="n">
        <f aca="false">VLOOKUP($A301,Table,MATCH(X$4,Curves,0))</f>
        <v>2</v>
      </c>
      <c r="Y301" s="129" t="n">
        <f aca="false">1/(1+CHOOSE(F$3,(X302+($K$3/10000))/2,(X301+($K$3/10000))/2))^(2*W301/365.25)</f>
        <v>2.0412727906704E-015</v>
      </c>
      <c r="Z301" s="5" t="n">
        <f aca="false">IF(AND(mthbeg&lt;=A301,mthend&gt;=A301),1,0)</f>
        <v>0</v>
      </c>
      <c r="AA301" s="5" t="n">
        <f aca="false">U301*Z301</f>
        <v>0</v>
      </c>
      <c r="AC301" s="115" t="n">
        <f aca="false">IF(G294=2,F301*(S301-Q301),F301*(Q301-S301))</f>
        <v>0</v>
      </c>
      <c r="AE301" s="116" t="n">
        <f aca="false">IF($G$3=1,F301*(R301-Q301),F301*(Q301-R301))</f>
        <v>0</v>
      </c>
      <c r="AG301" s="116" t="n">
        <f aca="false">AC301+AE301</f>
        <v>0</v>
      </c>
    </row>
    <row r="302" customFormat="false" ht="12" hidden="false" customHeight="true" outlineLevel="0" collapsed="false">
      <c r="A302" s="120" t="n">
        <f aca="false">EDATE(A301,1)</f>
        <v>46174</v>
      </c>
      <c r="B302" s="121" t="n">
        <v>0</v>
      </c>
      <c r="C302" s="122"/>
      <c r="D302" s="123" t="n">
        <f aca="false">B302+C302</f>
        <v>0</v>
      </c>
      <c r="E302" s="111" t="n">
        <f aca="false">IF(Z302=0,0,IF(AND(Z302=1,$H$3=1),D302*U302,IF($H$3=2,D302,"N/A")))</f>
        <v>0</v>
      </c>
      <c r="F302" s="111" t="n">
        <f aca="false">E302*Y302</f>
        <v>0</v>
      </c>
      <c r="G302" s="124" t="n">
        <f aca="false">VLOOKUP($A302,Table,MATCH(G$4,Curves,0))</f>
        <v>3</v>
      </c>
      <c r="H302" s="125" t="n">
        <f aca="false">G302+$H$7</f>
        <v>3</v>
      </c>
      <c r="I302" s="124" t="n">
        <f aca="false">H302</f>
        <v>3</v>
      </c>
      <c r="J302" s="124" t="n">
        <f aca="false">VLOOKUP($A302,Table,MATCH(J$4,Curves,0))</f>
        <v>4</v>
      </c>
      <c r="K302" s="125" t="n">
        <f aca="false">J302+$K$7</f>
        <v>4</v>
      </c>
      <c r="L302" s="126" t="n">
        <f aca="false">K302</f>
        <v>4</v>
      </c>
      <c r="M302" s="124" t="n">
        <f aca="false">VLOOKUP($A302,Table,MATCH(M$4,Curves,0))</f>
        <v>4</v>
      </c>
      <c r="N302" s="125" t="n">
        <f aca="false">M302+$N$7</f>
        <v>4</v>
      </c>
      <c r="O302" s="126" t="n">
        <f aca="false">IF(B302&gt;0,(1000/B302*0.25)+((B302-1000)/B302*0.12),0)</f>
        <v>0</v>
      </c>
      <c r="P302" s="114"/>
      <c r="Q302" s="126" t="n">
        <f aca="false">M302+J302+G302</f>
        <v>11</v>
      </c>
      <c r="R302" s="126" t="n">
        <f aca="false">N302+K302+H302</f>
        <v>11</v>
      </c>
      <c r="S302" s="126" t="n">
        <f aca="false">O302+L302+I302</f>
        <v>7</v>
      </c>
      <c r="T302" s="127"/>
      <c r="U302" s="5" t="n">
        <f aca="false">A303-A302</f>
        <v>30</v>
      </c>
      <c r="V302" s="128" t="n">
        <f aca="false">CHOOSE(F$3,A303+24,A302)</f>
        <v>46174</v>
      </c>
      <c r="W302" s="5" t="n">
        <f aca="false">V302-C$3</f>
        <v>8943</v>
      </c>
      <c r="X302" s="124" t="n">
        <f aca="false">VLOOKUP($A302,Table,MATCH(X$4,Curves,0))</f>
        <v>2</v>
      </c>
      <c r="Y302" s="129" t="n">
        <f aca="false">1/(1+CHOOSE(F$3,(X303+($K$3/10000))/2,(X302+($K$3/10000))/2))^(2*W302/365.25)</f>
        <v>1.81468890342622E-015</v>
      </c>
      <c r="Z302" s="5" t="n">
        <f aca="false">IF(AND(mthbeg&lt;=A302,mthend&gt;=A302),1,0)</f>
        <v>0</v>
      </c>
      <c r="AA302" s="5" t="n">
        <f aca="false">U302*Z302</f>
        <v>0</v>
      </c>
      <c r="AC302" s="115" t="n">
        <f aca="false">IF(G295=2,F302*(S302-Q302),F302*(Q302-S302))</f>
        <v>0</v>
      </c>
      <c r="AE302" s="116" t="n">
        <f aca="false">IF($G$3=1,F302*(R302-Q302),F302*(Q302-R302))</f>
        <v>0</v>
      </c>
      <c r="AG302" s="116" t="n">
        <f aca="false">AC302+AE302</f>
        <v>0</v>
      </c>
    </row>
    <row r="303" customFormat="false" ht="12" hidden="false" customHeight="true" outlineLevel="0" collapsed="false">
      <c r="A303" s="120" t="n">
        <f aca="false">EDATE(A302,1)</f>
        <v>46204</v>
      </c>
      <c r="B303" s="121" t="n">
        <v>0</v>
      </c>
      <c r="C303" s="122"/>
      <c r="D303" s="123" t="n">
        <f aca="false">B303+C303</f>
        <v>0</v>
      </c>
      <c r="E303" s="111" t="n">
        <f aca="false">IF(Z303=0,0,IF(AND(Z303=1,$H$3=1),D303*U303,IF($H$3=2,D303,"N/A")))</f>
        <v>0</v>
      </c>
      <c r="F303" s="111" t="n">
        <f aca="false">E303*Y303</f>
        <v>0</v>
      </c>
      <c r="G303" s="124" t="n">
        <f aca="false">VLOOKUP($A303,Table,MATCH(G$4,Curves,0))</f>
        <v>3</v>
      </c>
      <c r="H303" s="125" t="n">
        <f aca="false">G303+$H$7</f>
        <v>3</v>
      </c>
      <c r="I303" s="124" t="n">
        <f aca="false">H303</f>
        <v>3</v>
      </c>
      <c r="J303" s="124" t="n">
        <f aca="false">VLOOKUP($A303,Table,MATCH(J$4,Curves,0))</f>
        <v>4</v>
      </c>
      <c r="K303" s="125" t="n">
        <f aca="false">J303+$K$7</f>
        <v>4</v>
      </c>
      <c r="L303" s="126" t="n">
        <f aca="false">K303</f>
        <v>4</v>
      </c>
      <c r="M303" s="124" t="n">
        <f aca="false">VLOOKUP($A303,Table,MATCH(M$4,Curves,0))</f>
        <v>4</v>
      </c>
      <c r="N303" s="125" t="n">
        <f aca="false">M303+$N$7</f>
        <v>4</v>
      </c>
      <c r="O303" s="126" t="n">
        <f aca="false">IF(B303&gt;0,(1000/B303*0.25)+((B303-1000)/B303*0.12),0)</f>
        <v>0</v>
      </c>
      <c r="P303" s="114"/>
      <c r="Q303" s="126" t="n">
        <f aca="false">M303+J303+G303</f>
        <v>11</v>
      </c>
      <c r="R303" s="126" t="n">
        <f aca="false">N303+K303+H303</f>
        <v>11</v>
      </c>
      <c r="S303" s="126" t="n">
        <f aca="false">O303+L303+I303</f>
        <v>7</v>
      </c>
      <c r="T303" s="127"/>
      <c r="U303" s="5" t="n">
        <f aca="false">A304-A303</f>
        <v>31</v>
      </c>
      <c r="V303" s="128" t="n">
        <f aca="false">CHOOSE(F$3,A304+24,A303)</f>
        <v>46204</v>
      </c>
      <c r="W303" s="5" t="n">
        <f aca="false">V303-C$3</f>
        <v>8973</v>
      </c>
      <c r="X303" s="124" t="n">
        <f aca="false">VLOOKUP($A303,Table,MATCH(X$4,Curves,0))</f>
        <v>2</v>
      </c>
      <c r="Y303" s="129" t="n">
        <f aca="false">1/(1+CHOOSE(F$3,(X304+($K$3/10000))/2,(X303+($K$3/10000))/2))^(2*W303/365.25)</f>
        <v>1.61939081228103E-015</v>
      </c>
      <c r="Z303" s="5" t="n">
        <f aca="false">IF(AND(mthbeg&lt;=A303,mthend&gt;=A303),1,0)</f>
        <v>0</v>
      </c>
      <c r="AA303" s="5" t="n">
        <f aca="false">U303*Z303</f>
        <v>0</v>
      </c>
      <c r="AC303" s="115" t="n">
        <f aca="false">IF(G296=2,F303*(S303-Q303),F303*(Q303-S303))</f>
        <v>0</v>
      </c>
      <c r="AE303" s="116" t="n">
        <f aca="false">IF($G$3=1,F303*(R303-Q303),F303*(Q303-R303))</f>
        <v>0</v>
      </c>
      <c r="AG303" s="116" t="n">
        <f aca="false">AC303+AE303</f>
        <v>0</v>
      </c>
    </row>
    <row r="304" customFormat="false" ht="12" hidden="false" customHeight="true" outlineLevel="0" collapsed="false">
      <c r="A304" s="120" t="n">
        <f aca="false">EDATE(A303,1)</f>
        <v>46235</v>
      </c>
      <c r="B304" s="121" t="n">
        <v>0</v>
      </c>
      <c r="C304" s="122"/>
      <c r="D304" s="123" t="n">
        <f aca="false">B304+C304</f>
        <v>0</v>
      </c>
      <c r="E304" s="111" t="n">
        <f aca="false">IF(Z304=0,0,IF(AND(Z304=1,$H$3=1),D304*U304,IF($H$3=2,D304,"N/A")))</f>
        <v>0</v>
      </c>
      <c r="F304" s="111" t="n">
        <f aca="false">E304*Y304</f>
        <v>0</v>
      </c>
      <c r="G304" s="124" t="n">
        <f aca="false">VLOOKUP($A304,Table,MATCH(G$4,Curves,0))</f>
        <v>3</v>
      </c>
      <c r="H304" s="125" t="n">
        <f aca="false">G304+$H$7</f>
        <v>3</v>
      </c>
      <c r="I304" s="124" t="n">
        <f aca="false">H304</f>
        <v>3</v>
      </c>
      <c r="J304" s="124" t="n">
        <f aca="false">VLOOKUP($A304,Table,MATCH(J$4,Curves,0))</f>
        <v>4</v>
      </c>
      <c r="K304" s="125" t="n">
        <f aca="false">J304+$K$7</f>
        <v>4</v>
      </c>
      <c r="L304" s="126" t="n">
        <f aca="false">K304</f>
        <v>4</v>
      </c>
      <c r="M304" s="124" t="n">
        <f aca="false">VLOOKUP($A304,Table,MATCH(M$4,Curves,0))</f>
        <v>4</v>
      </c>
      <c r="N304" s="125" t="n">
        <f aca="false">M304+$N$7</f>
        <v>4</v>
      </c>
      <c r="O304" s="126" t="n">
        <f aca="false">IF(B304&gt;0,(1000/B304*0.25)+((B304-1000)/B304*0.12),0)</f>
        <v>0</v>
      </c>
      <c r="P304" s="114"/>
      <c r="Q304" s="126" t="n">
        <f aca="false">M304+J304+G304</f>
        <v>11</v>
      </c>
      <c r="R304" s="126" t="n">
        <f aca="false">N304+K304+H304</f>
        <v>11</v>
      </c>
      <c r="S304" s="126" t="n">
        <f aca="false">O304+L304+I304</f>
        <v>7</v>
      </c>
      <c r="T304" s="127"/>
      <c r="U304" s="5" t="n">
        <f aca="false">A305-A304</f>
        <v>31</v>
      </c>
      <c r="V304" s="128" t="n">
        <f aca="false">CHOOSE(F$3,A305+24,A304)</f>
        <v>46235</v>
      </c>
      <c r="W304" s="5" t="n">
        <f aca="false">V304-C$3</f>
        <v>9004</v>
      </c>
      <c r="X304" s="124" t="n">
        <f aca="false">VLOOKUP($A304,Table,MATCH(X$4,Curves,0))</f>
        <v>2</v>
      </c>
      <c r="Y304" s="129" t="n">
        <f aca="false">1/(1+CHOOSE(F$3,(X305+($K$3/10000))/2,(X304+($K$3/10000))/2))^(2*W304/365.25)</f>
        <v>1.43963636354141E-015</v>
      </c>
      <c r="Z304" s="5" t="n">
        <f aca="false">IF(AND(mthbeg&lt;=A304,mthend&gt;=A304),1,0)</f>
        <v>0</v>
      </c>
      <c r="AA304" s="5" t="n">
        <f aca="false">U304*Z304</f>
        <v>0</v>
      </c>
      <c r="AC304" s="115" t="n">
        <f aca="false">IF(G297=2,F304*(S304-Q304),F304*(Q304-S304))</f>
        <v>0</v>
      </c>
      <c r="AE304" s="116" t="n">
        <f aca="false">IF($G$3=1,F304*(R304-Q304),F304*(Q304-R304))</f>
        <v>0</v>
      </c>
      <c r="AG304" s="116" t="n">
        <f aca="false">AC304+AE304</f>
        <v>0</v>
      </c>
    </row>
    <row r="305" customFormat="false" ht="12" hidden="false" customHeight="true" outlineLevel="0" collapsed="false">
      <c r="A305" s="120" t="n">
        <f aca="false">EDATE(A304,1)</f>
        <v>46266</v>
      </c>
      <c r="B305" s="121" t="n">
        <v>0</v>
      </c>
      <c r="C305" s="122"/>
      <c r="D305" s="123" t="n">
        <f aca="false">B305+C305</f>
        <v>0</v>
      </c>
      <c r="E305" s="111" t="n">
        <f aca="false">IF(Z305=0,0,IF(AND(Z305=1,$H$3=1),D305*U305,IF($H$3=2,D305,"N/A")))</f>
        <v>0</v>
      </c>
      <c r="F305" s="111" t="n">
        <f aca="false">E305*Y305</f>
        <v>0</v>
      </c>
      <c r="G305" s="124" t="n">
        <f aca="false">VLOOKUP($A305,Table,MATCH(G$4,Curves,0))</f>
        <v>3</v>
      </c>
      <c r="H305" s="125" t="n">
        <f aca="false">G305+$H$7</f>
        <v>3</v>
      </c>
      <c r="I305" s="124" t="n">
        <f aca="false">H305</f>
        <v>3</v>
      </c>
      <c r="J305" s="124" t="n">
        <f aca="false">VLOOKUP($A305,Table,MATCH(J$4,Curves,0))</f>
        <v>4</v>
      </c>
      <c r="K305" s="125" t="n">
        <f aca="false">J305+$K$7</f>
        <v>4</v>
      </c>
      <c r="L305" s="126" t="n">
        <f aca="false">K305</f>
        <v>4</v>
      </c>
      <c r="M305" s="124" t="n">
        <f aca="false">VLOOKUP($A305,Table,MATCH(M$4,Curves,0))</f>
        <v>4</v>
      </c>
      <c r="N305" s="125" t="n">
        <f aca="false">M305+$N$7</f>
        <v>4</v>
      </c>
      <c r="O305" s="126" t="n">
        <f aca="false">IF(B305&gt;0,(1000/B305*0.25)+((B305-1000)/B305*0.12),0)</f>
        <v>0</v>
      </c>
      <c r="P305" s="114"/>
      <c r="Q305" s="126" t="n">
        <f aca="false">M305+J305+G305</f>
        <v>11</v>
      </c>
      <c r="R305" s="126" t="n">
        <f aca="false">N305+K305+H305</f>
        <v>11</v>
      </c>
      <c r="S305" s="126" t="n">
        <f aca="false">O305+L305+I305</f>
        <v>7</v>
      </c>
      <c r="T305" s="127"/>
      <c r="U305" s="5" t="n">
        <f aca="false">A306-A305</f>
        <v>30</v>
      </c>
      <c r="V305" s="128" t="n">
        <f aca="false">CHOOSE(F$3,A306+24,A305)</f>
        <v>46266</v>
      </c>
      <c r="W305" s="5" t="n">
        <f aca="false">V305-C$3</f>
        <v>9035</v>
      </c>
      <c r="X305" s="124" t="n">
        <f aca="false">VLOOKUP($A305,Table,MATCH(X$4,Curves,0))</f>
        <v>2</v>
      </c>
      <c r="Y305" s="129" t="n">
        <f aca="false">1/(1+CHOOSE(F$3,(X306+($K$3/10000))/2,(X305+($K$3/10000))/2))^(2*W305/365.25)</f>
        <v>1.27983488822651E-015</v>
      </c>
      <c r="Z305" s="5" t="n">
        <f aca="false">IF(AND(mthbeg&lt;=A305,mthend&gt;=A305),1,0)</f>
        <v>0</v>
      </c>
      <c r="AA305" s="5" t="n">
        <f aca="false">U305*Z305</f>
        <v>0</v>
      </c>
      <c r="AC305" s="115" t="n">
        <f aca="false">IF(G298=2,F305*(S305-Q305),F305*(Q305-S305))</f>
        <v>0</v>
      </c>
      <c r="AE305" s="116" t="n">
        <f aca="false">IF($G$3=1,F305*(R305-Q305),F305*(Q305-R305))</f>
        <v>0</v>
      </c>
      <c r="AG305" s="116" t="n">
        <f aca="false">AC305+AE305</f>
        <v>0</v>
      </c>
    </row>
    <row r="306" customFormat="false" ht="12" hidden="false" customHeight="true" outlineLevel="0" collapsed="false">
      <c r="A306" s="120" t="n">
        <f aca="false">EDATE(A305,1)</f>
        <v>46296</v>
      </c>
      <c r="B306" s="121" t="n">
        <v>0</v>
      </c>
      <c r="C306" s="122"/>
      <c r="D306" s="123" t="n">
        <f aca="false">B306+C306</f>
        <v>0</v>
      </c>
      <c r="E306" s="111" t="n">
        <f aca="false">IF(Z306=0,0,IF(AND(Z306=1,$H$3=1),D306*U306,IF($H$3=2,D306,"N/A")))</f>
        <v>0</v>
      </c>
      <c r="F306" s="111" t="n">
        <f aca="false">E306*Y306</f>
        <v>0</v>
      </c>
      <c r="G306" s="124" t="n">
        <f aca="false">VLOOKUP($A306,Table,MATCH(G$4,Curves,0))</f>
        <v>3</v>
      </c>
      <c r="H306" s="125" t="n">
        <f aca="false">G306+$H$7</f>
        <v>3</v>
      </c>
      <c r="I306" s="124" t="n">
        <f aca="false">H306</f>
        <v>3</v>
      </c>
      <c r="J306" s="124" t="n">
        <f aca="false">VLOOKUP($A306,Table,MATCH(J$4,Curves,0))</f>
        <v>4</v>
      </c>
      <c r="K306" s="125" t="n">
        <f aca="false">J306+$K$7</f>
        <v>4</v>
      </c>
      <c r="L306" s="126" t="n">
        <f aca="false">K306</f>
        <v>4</v>
      </c>
      <c r="M306" s="124" t="n">
        <f aca="false">VLOOKUP($A306,Table,MATCH(M$4,Curves,0))</f>
        <v>4</v>
      </c>
      <c r="N306" s="125" t="n">
        <f aca="false">M306+$N$7</f>
        <v>4</v>
      </c>
      <c r="O306" s="126" t="n">
        <f aca="false">IF(B306&gt;0,(1000/B306*0.25)+((B306-1000)/B306*0.12),0)</f>
        <v>0</v>
      </c>
      <c r="P306" s="114"/>
      <c r="Q306" s="126" t="n">
        <f aca="false">M306+J306+G306</f>
        <v>11</v>
      </c>
      <c r="R306" s="126" t="n">
        <f aca="false">N306+K306+H306</f>
        <v>11</v>
      </c>
      <c r="S306" s="126" t="n">
        <f aca="false">O306+L306+I306</f>
        <v>7</v>
      </c>
      <c r="T306" s="127"/>
      <c r="U306" s="5" t="n">
        <f aca="false">A307-A306</f>
        <v>31</v>
      </c>
      <c r="V306" s="128" t="n">
        <f aca="false">CHOOSE(F$3,A307+24,A306)</f>
        <v>46296</v>
      </c>
      <c r="W306" s="5" t="n">
        <f aca="false">V306-C$3</f>
        <v>9065</v>
      </c>
      <c r="X306" s="124" t="n">
        <f aca="false">VLOOKUP($A306,Table,MATCH(X$4,Curves,0))</f>
        <v>2</v>
      </c>
      <c r="Y306" s="129" t="n">
        <f aca="false">1/(1+CHOOSE(F$3,(X307+($K$3/10000))/2,(X306+($K$3/10000))/2))^(2*W306/365.25)</f>
        <v>1.14209816091212E-015</v>
      </c>
      <c r="Z306" s="5" t="n">
        <f aca="false">IF(AND(mthbeg&lt;=A306,mthend&gt;=A306),1,0)</f>
        <v>0</v>
      </c>
      <c r="AA306" s="5" t="n">
        <f aca="false">U306*Z306</f>
        <v>0</v>
      </c>
      <c r="AC306" s="115" t="n">
        <f aca="false">IF(G299=2,F306*(S306-Q306),F306*(Q306-S306))</f>
        <v>0</v>
      </c>
      <c r="AE306" s="116" t="n">
        <f aca="false">IF($G$3=1,F306*(R306-Q306),F306*(Q306-R306))</f>
        <v>0</v>
      </c>
      <c r="AG306" s="116" t="n">
        <f aca="false">AC306+AE306</f>
        <v>0</v>
      </c>
    </row>
    <row r="307" customFormat="false" ht="12" hidden="false" customHeight="true" outlineLevel="0" collapsed="false">
      <c r="A307" s="120" t="n">
        <f aca="false">EDATE(A306,1)</f>
        <v>46327</v>
      </c>
      <c r="B307" s="121" t="n">
        <v>0</v>
      </c>
      <c r="C307" s="122"/>
      <c r="D307" s="123" t="n">
        <f aca="false">B307+C307</f>
        <v>0</v>
      </c>
      <c r="E307" s="111" t="n">
        <f aca="false">IF(Z307=0,0,IF(AND(Z307=1,$H$3=1),D307*U307,IF($H$3=2,D307,"N/A")))</f>
        <v>0</v>
      </c>
      <c r="F307" s="111" t="n">
        <f aca="false">E307*Y307</f>
        <v>0</v>
      </c>
      <c r="G307" s="124" t="n">
        <f aca="false">VLOOKUP($A307,Table,MATCH(G$4,Curves,0))</f>
        <v>3</v>
      </c>
      <c r="H307" s="125" t="n">
        <f aca="false">G307+$H$7</f>
        <v>3</v>
      </c>
      <c r="I307" s="124" t="n">
        <f aca="false">H307</f>
        <v>3</v>
      </c>
      <c r="J307" s="124" t="n">
        <f aca="false">VLOOKUP($A307,Table,MATCH(J$4,Curves,0))</f>
        <v>4</v>
      </c>
      <c r="K307" s="125" t="n">
        <f aca="false">J307+$K$7</f>
        <v>4</v>
      </c>
      <c r="L307" s="126" t="n">
        <f aca="false">K307</f>
        <v>4</v>
      </c>
      <c r="M307" s="124" t="n">
        <f aca="false">VLOOKUP($A307,Table,MATCH(M$4,Curves,0))</f>
        <v>4</v>
      </c>
      <c r="N307" s="125" t="n">
        <f aca="false">M307+$N$7</f>
        <v>4</v>
      </c>
      <c r="O307" s="126" t="n">
        <f aca="false">IF(B307&gt;0,(1000/B307*0.25)+((B307-1000)/B307*0.12),0)</f>
        <v>0</v>
      </c>
      <c r="P307" s="114"/>
      <c r="Q307" s="126" t="n">
        <f aca="false">M307+J307+G307</f>
        <v>11</v>
      </c>
      <c r="R307" s="126" t="n">
        <f aca="false">N307+K307+H307</f>
        <v>11</v>
      </c>
      <c r="S307" s="126" t="n">
        <f aca="false">O307+L307+I307</f>
        <v>7</v>
      </c>
      <c r="T307" s="127"/>
      <c r="U307" s="5" t="n">
        <f aca="false">A308-A307</f>
        <v>30</v>
      </c>
      <c r="V307" s="128" t="n">
        <f aca="false">CHOOSE(F$3,A308+24,A307)</f>
        <v>46327</v>
      </c>
      <c r="W307" s="5" t="n">
        <f aca="false">V307-C$3</f>
        <v>9096</v>
      </c>
      <c r="X307" s="124" t="n">
        <f aca="false">VLOOKUP($A307,Table,MATCH(X$4,Curves,0))</f>
        <v>2</v>
      </c>
      <c r="Y307" s="129" t="n">
        <f aca="false">1/(1+CHOOSE(F$3,(X308+($K$3/10000))/2,(X307+($K$3/10000))/2))^(2*W307/365.25)</f>
        <v>1.01532380615824E-015</v>
      </c>
      <c r="Z307" s="5" t="n">
        <f aca="false">IF(AND(mthbeg&lt;=A307,mthend&gt;=A307),1,0)</f>
        <v>0</v>
      </c>
      <c r="AA307" s="5" t="n">
        <f aca="false">U307*Z307</f>
        <v>0</v>
      </c>
      <c r="AC307" s="115" t="n">
        <f aca="false">IF(G300=2,F307*(S307-Q307),F307*(Q307-S307))</f>
        <v>0</v>
      </c>
      <c r="AE307" s="116" t="n">
        <f aca="false">IF($G$3=1,F307*(R307-Q307),F307*(Q307-R307))</f>
        <v>0</v>
      </c>
      <c r="AG307" s="116" t="n">
        <f aca="false">AC307+AE307</f>
        <v>0</v>
      </c>
    </row>
    <row r="308" customFormat="false" ht="12" hidden="false" customHeight="true" outlineLevel="0" collapsed="false">
      <c r="A308" s="120" t="n">
        <f aca="false">EDATE(A307,1)</f>
        <v>46357</v>
      </c>
      <c r="B308" s="121" t="n">
        <v>0</v>
      </c>
      <c r="C308" s="122"/>
      <c r="D308" s="123" t="n">
        <f aca="false">B308+C308</f>
        <v>0</v>
      </c>
      <c r="E308" s="111" t="n">
        <f aca="false">IF(Z308=0,0,IF(AND(Z308=1,$H$3=1),D308*U308,IF($H$3=2,D308,"N/A")))</f>
        <v>0</v>
      </c>
      <c r="F308" s="111" t="n">
        <f aca="false">E308*Y308</f>
        <v>0</v>
      </c>
      <c r="G308" s="124" t="n">
        <f aca="false">VLOOKUP($A308,Table,MATCH(G$4,Curves,0))</f>
        <v>3</v>
      </c>
      <c r="H308" s="125" t="n">
        <f aca="false">G308+$H$7</f>
        <v>3</v>
      </c>
      <c r="I308" s="124" t="n">
        <f aca="false">H308</f>
        <v>3</v>
      </c>
      <c r="J308" s="124" t="n">
        <f aca="false">VLOOKUP($A308,Table,MATCH(J$4,Curves,0))</f>
        <v>4</v>
      </c>
      <c r="K308" s="125" t="n">
        <f aca="false">J308+$K$7</f>
        <v>4</v>
      </c>
      <c r="L308" s="126" t="n">
        <f aca="false">K308</f>
        <v>4</v>
      </c>
      <c r="M308" s="124" t="n">
        <f aca="false">VLOOKUP($A308,Table,MATCH(M$4,Curves,0))</f>
        <v>4</v>
      </c>
      <c r="N308" s="125" t="n">
        <f aca="false">M308+$N$7</f>
        <v>4</v>
      </c>
      <c r="O308" s="126" t="n">
        <f aca="false">IF(B308&gt;0,(1000/B308*0.25)+((B308-1000)/B308*0.12),0)</f>
        <v>0</v>
      </c>
      <c r="P308" s="114"/>
      <c r="Q308" s="126" t="n">
        <f aca="false">M308+J308+G308</f>
        <v>11</v>
      </c>
      <c r="R308" s="126" t="n">
        <f aca="false">N308+K308+H308</f>
        <v>11</v>
      </c>
      <c r="S308" s="126" t="n">
        <f aca="false">O308+L308+I308</f>
        <v>7</v>
      </c>
      <c r="T308" s="127"/>
      <c r="U308" s="5" t="n">
        <f aca="false">A309-A308</f>
        <v>31</v>
      </c>
      <c r="V308" s="128" t="n">
        <f aca="false">CHOOSE(F$3,A309+24,A308)</f>
        <v>46357</v>
      </c>
      <c r="W308" s="5" t="n">
        <f aca="false">V308-C$3</f>
        <v>9126</v>
      </c>
      <c r="X308" s="124" t="n">
        <f aca="false">VLOOKUP($A308,Table,MATCH(X$4,Curves,0))</f>
        <v>2</v>
      </c>
      <c r="Y308" s="129" t="n">
        <f aca="false">1/(1+CHOOSE(F$3,(X309+($K$3/10000))/2,(X308+($K$3/10000))/2))^(2*W308/365.25)</f>
        <v>9.06053946810674E-016</v>
      </c>
      <c r="Z308" s="5" t="n">
        <f aca="false">IF(AND(mthbeg&lt;=A308,mthend&gt;=A308),1,0)</f>
        <v>0</v>
      </c>
      <c r="AA308" s="5" t="n">
        <f aca="false">U308*Z308</f>
        <v>0</v>
      </c>
      <c r="AC308" s="115" t="n">
        <f aca="false">IF(G301=2,F308*(S308-Q308),F308*(Q308-S308))</f>
        <v>0</v>
      </c>
      <c r="AE308" s="116" t="n">
        <f aca="false">IF($G$3=1,F308*(R308-Q308),F308*(Q308-R308))</f>
        <v>0</v>
      </c>
      <c r="AG308" s="116" t="n">
        <f aca="false">AC308+AE308</f>
        <v>0</v>
      </c>
    </row>
    <row r="309" customFormat="false" ht="12" hidden="false" customHeight="true" outlineLevel="0" collapsed="false">
      <c r="A309" s="120" t="n">
        <f aca="false">EDATE(A308,1)</f>
        <v>46388</v>
      </c>
      <c r="B309" s="121" t="n">
        <v>0</v>
      </c>
      <c r="C309" s="122"/>
      <c r="D309" s="123" t="n">
        <f aca="false">B309+C309</f>
        <v>0</v>
      </c>
      <c r="E309" s="111" t="n">
        <f aca="false">IF(Z309=0,0,IF(AND(Z309=1,$H$3=1),D309*U309,IF($H$3=2,D309,"N/A")))</f>
        <v>0</v>
      </c>
      <c r="F309" s="111" t="n">
        <f aca="false">E309*Y309</f>
        <v>0</v>
      </c>
      <c r="G309" s="124" t="n">
        <f aca="false">VLOOKUP($A309,Table,MATCH(G$4,Curves,0))</f>
        <v>3</v>
      </c>
      <c r="H309" s="125" t="n">
        <f aca="false">G309+$H$7</f>
        <v>3</v>
      </c>
      <c r="I309" s="124" t="n">
        <f aca="false">H309</f>
        <v>3</v>
      </c>
      <c r="J309" s="124" t="n">
        <f aca="false">VLOOKUP($A309,Table,MATCH(J$4,Curves,0))</f>
        <v>4</v>
      </c>
      <c r="K309" s="125" t="n">
        <f aca="false">J309+$K$7</f>
        <v>4</v>
      </c>
      <c r="L309" s="126" t="n">
        <f aca="false">K309</f>
        <v>4</v>
      </c>
      <c r="M309" s="124" t="n">
        <f aca="false">VLOOKUP($A309,Table,MATCH(M$4,Curves,0))</f>
        <v>4</v>
      </c>
      <c r="N309" s="125" t="n">
        <f aca="false">M309+$N$7</f>
        <v>4</v>
      </c>
      <c r="O309" s="126" t="n">
        <f aca="false">IF(B309&gt;0,(1000/B309*0.25)+((B309-1000)/B309*0.12),0)</f>
        <v>0</v>
      </c>
      <c r="P309" s="114"/>
      <c r="Q309" s="126" t="n">
        <f aca="false">M309+J309+G309</f>
        <v>11</v>
      </c>
      <c r="R309" s="126" t="n">
        <f aca="false">N309+K309+H309</f>
        <v>11</v>
      </c>
      <c r="S309" s="126" t="n">
        <f aca="false">O309+L309+I309</f>
        <v>7</v>
      </c>
      <c r="T309" s="127"/>
      <c r="U309" s="5" t="n">
        <f aca="false">A310-A309</f>
        <v>31</v>
      </c>
      <c r="V309" s="128" t="n">
        <f aca="false">CHOOSE(F$3,A310+24,A309)</f>
        <v>46388</v>
      </c>
      <c r="W309" s="5" t="n">
        <f aca="false">V309-C$3</f>
        <v>9157</v>
      </c>
      <c r="X309" s="124" t="n">
        <f aca="false">VLOOKUP($A309,Table,MATCH(X$4,Curves,0))</f>
        <v>2</v>
      </c>
      <c r="Y309" s="129" t="n">
        <f aca="false">1/(1+CHOOSE(F$3,(X310+($K$3/10000))/2,(X309+($K$3/10000))/2))^(2*W309/365.25)</f>
        <v>8.05480801340063E-016</v>
      </c>
      <c r="Z309" s="5" t="n">
        <f aca="false">IF(AND(mthbeg&lt;=A309,mthend&gt;=A309),1,0)</f>
        <v>0</v>
      </c>
      <c r="AA309" s="5" t="n">
        <f aca="false">U309*Z309</f>
        <v>0</v>
      </c>
      <c r="AC309" s="115" t="n">
        <f aca="false">IF(G302=2,F309*(S309-Q309),F309*(Q309-S309))</f>
        <v>0</v>
      </c>
      <c r="AE309" s="116" t="n">
        <f aca="false">IF($G$3=1,F309*(R309-Q309),F309*(Q309-R309))</f>
        <v>0</v>
      </c>
      <c r="AG309" s="116" t="n">
        <f aca="false">AC309+AE309</f>
        <v>0</v>
      </c>
    </row>
    <row r="310" customFormat="false" ht="12" hidden="false" customHeight="true" outlineLevel="0" collapsed="false">
      <c r="A310" s="120" t="n">
        <f aca="false">EDATE(A309,1)</f>
        <v>46419</v>
      </c>
      <c r="B310" s="121" t="n">
        <v>0</v>
      </c>
      <c r="C310" s="122"/>
      <c r="D310" s="123" t="n">
        <f aca="false">B310+C310</f>
        <v>0</v>
      </c>
      <c r="E310" s="111" t="n">
        <f aca="false">IF(Z310=0,0,IF(AND(Z310=1,$H$3=1),D310*U310,IF($H$3=2,D310,"N/A")))</f>
        <v>0</v>
      </c>
      <c r="F310" s="111" t="n">
        <f aca="false">E310*Y310</f>
        <v>0</v>
      </c>
      <c r="G310" s="124" t="n">
        <f aca="false">VLOOKUP($A310,Table,MATCH(G$4,Curves,0))</f>
        <v>3</v>
      </c>
      <c r="H310" s="125" t="n">
        <f aca="false">G310+$H$7</f>
        <v>3</v>
      </c>
      <c r="I310" s="124" t="n">
        <f aca="false">H310</f>
        <v>3</v>
      </c>
      <c r="J310" s="124" t="n">
        <f aca="false">VLOOKUP($A310,Table,MATCH(J$4,Curves,0))</f>
        <v>4</v>
      </c>
      <c r="K310" s="125" t="n">
        <f aca="false">J310+$K$7</f>
        <v>4</v>
      </c>
      <c r="L310" s="126" t="n">
        <f aca="false">K310</f>
        <v>4</v>
      </c>
      <c r="M310" s="124" t="n">
        <f aca="false">VLOOKUP($A310,Table,MATCH(M$4,Curves,0))</f>
        <v>4</v>
      </c>
      <c r="N310" s="125" t="n">
        <f aca="false">M310+$N$7</f>
        <v>4</v>
      </c>
      <c r="O310" s="126" t="n">
        <f aca="false">IF(B310&gt;0,(1000/B310*0.25)+((B310-1000)/B310*0.12),0)</f>
        <v>0</v>
      </c>
      <c r="P310" s="114"/>
      <c r="Q310" s="126" t="n">
        <f aca="false">M310+J310+G310</f>
        <v>11</v>
      </c>
      <c r="R310" s="126" t="n">
        <f aca="false">N310+K310+H310</f>
        <v>11</v>
      </c>
      <c r="S310" s="126" t="n">
        <f aca="false">O310+L310+I310</f>
        <v>7</v>
      </c>
      <c r="T310" s="127"/>
      <c r="U310" s="5" t="n">
        <f aca="false">A311-A310</f>
        <v>28</v>
      </c>
      <c r="V310" s="128" t="n">
        <f aca="false">CHOOSE(F$3,A311+24,A310)</f>
        <v>46419</v>
      </c>
      <c r="W310" s="5" t="n">
        <f aca="false">V310-C$3</f>
        <v>9188</v>
      </c>
      <c r="X310" s="124" t="n">
        <f aca="false">VLOOKUP($A310,Table,MATCH(X$4,Curves,0))</f>
        <v>2</v>
      </c>
      <c r="Y310" s="129" t="n">
        <f aca="false">1/(1+CHOOSE(F$3,(X311+($K$3/10000))/2,(X310+($K$3/10000))/2))^(2*W310/365.25)</f>
        <v>7.16071403486751E-016</v>
      </c>
      <c r="Z310" s="5" t="n">
        <f aca="false">IF(AND(mthbeg&lt;=A310,mthend&gt;=A310),1,0)</f>
        <v>0</v>
      </c>
      <c r="AA310" s="5" t="n">
        <f aca="false">U310*Z310</f>
        <v>0</v>
      </c>
      <c r="AC310" s="115" t="n">
        <f aca="false">IF(G303=2,F310*(S310-Q310),F310*(Q310-S310))</f>
        <v>0</v>
      </c>
      <c r="AE310" s="116" t="n">
        <f aca="false">IF($G$3=1,F310*(R310-Q310),F310*(Q310-R310))</f>
        <v>0</v>
      </c>
      <c r="AG310" s="116" t="n">
        <f aca="false">AC310+AE310</f>
        <v>0</v>
      </c>
    </row>
    <row r="311" customFormat="false" ht="12" hidden="false" customHeight="true" outlineLevel="0" collapsed="false">
      <c r="A311" s="120" t="n">
        <f aca="false">EDATE(A310,1)</f>
        <v>46447</v>
      </c>
      <c r="B311" s="121" t="n">
        <v>0</v>
      </c>
      <c r="C311" s="122"/>
      <c r="D311" s="123" t="n">
        <f aca="false">B311+C311</f>
        <v>0</v>
      </c>
      <c r="E311" s="111" t="n">
        <f aca="false">IF(Z311=0,0,IF(AND(Z311=1,$H$3=1),D311*U311,IF($H$3=2,D311,"N/A")))</f>
        <v>0</v>
      </c>
      <c r="F311" s="111" t="n">
        <f aca="false">E311*Y311</f>
        <v>0</v>
      </c>
      <c r="G311" s="124" t="n">
        <f aca="false">VLOOKUP($A311,Table,MATCH(G$4,Curves,0))</f>
        <v>3</v>
      </c>
      <c r="H311" s="125" t="n">
        <f aca="false">G311+$H$7</f>
        <v>3</v>
      </c>
      <c r="I311" s="124" t="n">
        <f aca="false">H311</f>
        <v>3</v>
      </c>
      <c r="J311" s="124" t="n">
        <f aca="false">VLOOKUP($A311,Table,MATCH(J$4,Curves,0))</f>
        <v>4</v>
      </c>
      <c r="K311" s="125" t="n">
        <f aca="false">J311+$K$7</f>
        <v>4</v>
      </c>
      <c r="L311" s="126" t="n">
        <f aca="false">K311</f>
        <v>4</v>
      </c>
      <c r="M311" s="124" t="n">
        <f aca="false">VLOOKUP($A311,Table,MATCH(M$4,Curves,0))</f>
        <v>4</v>
      </c>
      <c r="N311" s="125" t="n">
        <f aca="false">M311+$N$7</f>
        <v>4</v>
      </c>
      <c r="O311" s="126" t="n">
        <f aca="false">IF(B311&gt;0,(1000/B311*0.25)+((B311-1000)/B311*0.12),0)</f>
        <v>0</v>
      </c>
      <c r="P311" s="114"/>
      <c r="Q311" s="126" t="n">
        <f aca="false">M311+J311+G311</f>
        <v>11</v>
      </c>
      <c r="R311" s="126" t="n">
        <f aca="false">N311+K311+H311</f>
        <v>11</v>
      </c>
      <c r="S311" s="126" t="n">
        <f aca="false">O311+L311+I311</f>
        <v>7</v>
      </c>
      <c r="T311" s="127"/>
      <c r="U311" s="5" t="n">
        <f aca="false">A312-A311</f>
        <v>31</v>
      </c>
      <c r="V311" s="128" t="n">
        <f aca="false">CHOOSE(F$3,A312+24,A311)</f>
        <v>46447</v>
      </c>
      <c r="W311" s="5" t="n">
        <f aca="false">V311-C$3</f>
        <v>9216</v>
      </c>
      <c r="X311" s="124" t="n">
        <f aca="false">VLOOKUP($A311,Table,MATCH(X$4,Curves,0))</f>
        <v>2</v>
      </c>
      <c r="Y311" s="129" t="n">
        <f aca="false">1/(1+CHOOSE(F$3,(X312+($K$3/10000))/2,(X311+($K$3/10000))/2))^(2*W311/365.25)</f>
        <v>6.43876416928787E-016</v>
      </c>
      <c r="Z311" s="5" t="n">
        <f aca="false">IF(AND(mthbeg&lt;=A311,mthend&gt;=A311),1,0)</f>
        <v>0</v>
      </c>
      <c r="AA311" s="5" t="n">
        <f aca="false">U311*Z311</f>
        <v>0</v>
      </c>
      <c r="AC311" s="115" t="n">
        <f aca="false">IF(G304=2,F311*(S311-Q311),F311*(Q311-S311))</f>
        <v>0</v>
      </c>
      <c r="AE311" s="116" t="n">
        <f aca="false">IF($G$3=1,F311*(R311-Q311),F311*(Q311-R311))</f>
        <v>0</v>
      </c>
      <c r="AG311" s="116" t="n">
        <f aca="false">AC311+AE311</f>
        <v>0</v>
      </c>
    </row>
    <row r="312" customFormat="false" ht="12" hidden="false" customHeight="true" outlineLevel="0" collapsed="false">
      <c r="A312" s="120" t="n">
        <f aca="false">EDATE(A311,1)</f>
        <v>46478</v>
      </c>
      <c r="B312" s="121" t="n">
        <v>0</v>
      </c>
      <c r="C312" s="122"/>
      <c r="D312" s="123" t="n">
        <f aca="false">B312+C312</f>
        <v>0</v>
      </c>
      <c r="E312" s="111" t="n">
        <f aca="false">IF(Z312=0,0,IF(AND(Z312=1,$H$3=1),D312*U312,IF($H$3=2,D312,"N/A")))</f>
        <v>0</v>
      </c>
      <c r="F312" s="111" t="n">
        <f aca="false">E312*Y312</f>
        <v>0</v>
      </c>
      <c r="G312" s="124" t="n">
        <f aca="false">VLOOKUP($A312,Table,MATCH(G$4,Curves,0))</f>
        <v>3</v>
      </c>
      <c r="H312" s="125" t="n">
        <f aca="false">G312+$H$7</f>
        <v>3</v>
      </c>
      <c r="I312" s="124" t="n">
        <f aca="false">H312</f>
        <v>3</v>
      </c>
      <c r="J312" s="124" t="n">
        <f aca="false">VLOOKUP($A312,Table,MATCH(J$4,Curves,0))</f>
        <v>4</v>
      </c>
      <c r="K312" s="125" t="n">
        <f aca="false">J312+$K$7</f>
        <v>4</v>
      </c>
      <c r="L312" s="126" t="n">
        <f aca="false">K312</f>
        <v>4</v>
      </c>
      <c r="M312" s="124" t="n">
        <f aca="false">VLOOKUP($A312,Table,MATCH(M$4,Curves,0))</f>
        <v>4</v>
      </c>
      <c r="N312" s="125" t="n">
        <f aca="false">M312+$N$7</f>
        <v>4</v>
      </c>
      <c r="O312" s="126" t="n">
        <f aca="false">IF(B312&gt;0,(1000/B312*0.25)+((B312-1000)/B312*0.12),0)</f>
        <v>0</v>
      </c>
      <c r="P312" s="114"/>
      <c r="Q312" s="126" t="n">
        <f aca="false">M312+J312+G312</f>
        <v>11</v>
      </c>
      <c r="R312" s="126" t="n">
        <f aca="false">N312+K312+H312</f>
        <v>11</v>
      </c>
      <c r="S312" s="126" t="n">
        <f aca="false">O312+L312+I312</f>
        <v>7</v>
      </c>
      <c r="T312" s="127"/>
      <c r="U312" s="5" t="n">
        <f aca="false">A313-A312</f>
        <v>30</v>
      </c>
      <c r="V312" s="128" t="n">
        <f aca="false">CHOOSE(F$3,A313+24,A312)</f>
        <v>46478</v>
      </c>
      <c r="W312" s="5" t="n">
        <f aca="false">V312-C$3</f>
        <v>9247</v>
      </c>
      <c r="X312" s="124" t="n">
        <f aca="false">VLOOKUP($A312,Table,MATCH(X$4,Curves,0))</f>
        <v>2</v>
      </c>
      <c r="Y312" s="129" t="n">
        <f aca="false">1/(1+CHOOSE(F$3,(X313+($K$3/10000))/2,(X312+($K$3/10000))/2))^(2*W312/365.25)</f>
        <v>5.72405312175235E-016</v>
      </c>
      <c r="Z312" s="5" t="n">
        <f aca="false">IF(AND(mthbeg&lt;=A312,mthend&gt;=A312),1,0)</f>
        <v>0</v>
      </c>
      <c r="AA312" s="5" t="n">
        <f aca="false">U312*Z312</f>
        <v>0</v>
      </c>
      <c r="AC312" s="115" t="n">
        <f aca="false">IF(G305=2,F312*(S312-Q312),F312*(Q312-S312))</f>
        <v>0</v>
      </c>
      <c r="AE312" s="116" t="n">
        <f aca="false">IF($G$3=1,F312*(R312-Q312),F312*(Q312-R312))</f>
        <v>0</v>
      </c>
      <c r="AG312" s="116" t="n">
        <f aca="false">AC312+AE312</f>
        <v>0</v>
      </c>
    </row>
    <row r="313" customFormat="false" ht="12" hidden="false" customHeight="true" outlineLevel="0" collapsed="false">
      <c r="A313" s="120" t="n">
        <f aca="false">EDATE(A312,1)</f>
        <v>46508</v>
      </c>
      <c r="B313" s="121" t="n">
        <v>0</v>
      </c>
      <c r="C313" s="122"/>
      <c r="D313" s="123" t="n">
        <f aca="false">B313+C313</f>
        <v>0</v>
      </c>
      <c r="E313" s="111" t="n">
        <f aca="false">IF(Z313=0,0,IF(AND(Z313=1,$H$3=1),D313*U313,IF($H$3=2,D313,"N/A")))</f>
        <v>0</v>
      </c>
      <c r="F313" s="111" t="n">
        <f aca="false">E313*Y313</f>
        <v>0</v>
      </c>
      <c r="G313" s="124" t="n">
        <f aca="false">VLOOKUP($A313,Table,MATCH(G$4,Curves,0))</f>
        <v>3</v>
      </c>
      <c r="H313" s="125" t="n">
        <f aca="false">G313+$H$7</f>
        <v>3</v>
      </c>
      <c r="I313" s="124" t="n">
        <f aca="false">H313</f>
        <v>3</v>
      </c>
      <c r="J313" s="124" t="n">
        <f aca="false">VLOOKUP($A313,Table,MATCH(J$4,Curves,0))</f>
        <v>4</v>
      </c>
      <c r="K313" s="125" t="n">
        <f aca="false">J313+$K$7</f>
        <v>4</v>
      </c>
      <c r="L313" s="126" t="n">
        <f aca="false">K313</f>
        <v>4</v>
      </c>
      <c r="M313" s="124" t="n">
        <f aca="false">VLOOKUP($A313,Table,MATCH(M$4,Curves,0))</f>
        <v>4</v>
      </c>
      <c r="N313" s="125" t="n">
        <f aca="false">M313+$N$7</f>
        <v>4</v>
      </c>
      <c r="O313" s="126" t="n">
        <f aca="false">IF(B313&gt;0,(1000/B313*0.25)+((B313-1000)/B313*0.12),0)</f>
        <v>0</v>
      </c>
      <c r="P313" s="114"/>
      <c r="Q313" s="126" t="n">
        <f aca="false">M313+J313+G313</f>
        <v>11</v>
      </c>
      <c r="R313" s="126" t="n">
        <f aca="false">N313+K313+H313</f>
        <v>11</v>
      </c>
      <c r="S313" s="126" t="n">
        <f aca="false">O313+L313+I313</f>
        <v>7</v>
      </c>
      <c r="T313" s="127"/>
      <c r="U313" s="5" t="n">
        <f aca="false">A314-A313</f>
        <v>31</v>
      </c>
      <c r="V313" s="128" t="n">
        <f aca="false">CHOOSE(F$3,A314+24,A313)</f>
        <v>46508</v>
      </c>
      <c r="W313" s="5" t="n">
        <f aca="false">V313-C$3</f>
        <v>9277</v>
      </c>
      <c r="X313" s="124" t="n">
        <f aca="false">VLOOKUP($A313,Table,MATCH(X$4,Curves,0))</f>
        <v>2</v>
      </c>
      <c r="Y313" s="129" t="n">
        <f aca="false">1/(1+CHOOSE(F$3,(X314+($K$3/10000))/2,(X313+($K$3/10000))/2))^(2*W313/365.25)</f>
        <v>5.10802651455743E-016</v>
      </c>
      <c r="Z313" s="5" t="n">
        <f aca="false">IF(AND(mthbeg&lt;=A313,mthend&gt;=A313),1,0)</f>
        <v>0</v>
      </c>
      <c r="AA313" s="5" t="n">
        <f aca="false">U313*Z313</f>
        <v>0</v>
      </c>
      <c r="AC313" s="115" t="n">
        <f aca="false">IF(G306=2,F313*(S313-Q313),F313*(Q313-S313))</f>
        <v>0</v>
      </c>
      <c r="AE313" s="116" t="n">
        <f aca="false">IF($G$3=1,F313*(R313-Q313),F313*(Q313-R313))</f>
        <v>0</v>
      </c>
      <c r="AG313" s="116" t="n">
        <f aca="false">AC313+AE313</f>
        <v>0</v>
      </c>
    </row>
    <row r="314" customFormat="false" ht="12" hidden="false" customHeight="true" outlineLevel="0" collapsed="false">
      <c r="A314" s="120" t="n">
        <f aca="false">EDATE(A313,1)</f>
        <v>46539</v>
      </c>
      <c r="B314" s="121" t="n">
        <v>0</v>
      </c>
      <c r="C314" s="122"/>
      <c r="D314" s="123" t="n">
        <f aca="false">B314+C314</f>
        <v>0</v>
      </c>
      <c r="E314" s="111" t="n">
        <f aca="false">IF(Z314=0,0,IF(AND(Z314=1,$H$3=1),D314*U314,IF($H$3=2,D314,"N/A")))</f>
        <v>0</v>
      </c>
      <c r="F314" s="111" t="n">
        <f aca="false">E314*Y314</f>
        <v>0</v>
      </c>
      <c r="G314" s="124" t="n">
        <f aca="false">VLOOKUP($A314,Table,MATCH(G$4,Curves,0))</f>
        <v>3</v>
      </c>
      <c r="H314" s="125" t="n">
        <f aca="false">G314+$H$7</f>
        <v>3</v>
      </c>
      <c r="I314" s="124" t="n">
        <f aca="false">H314</f>
        <v>3</v>
      </c>
      <c r="J314" s="124" t="n">
        <f aca="false">VLOOKUP($A314,Table,MATCH(J$4,Curves,0))</f>
        <v>4</v>
      </c>
      <c r="K314" s="125" t="n">
        <f aca="false">J314+$K$7</f>
        <v>4</v>
      </c>
      <c r="L314" s="126" t="n">
        <f aca="false">K314</f>
        <v>4</v>
      </c>
      <c r="M314" s="124" t="n">
        <f aca="false">VLOOKUP($A314,Table,MATCH(M$4,Curves,0))</f>
        <v>4</v>
      </c>
      <c r="N314" s="125" t="n">
        <f aca="false">M314+$N$7</f>
        <v>4</v>
      </c>
      <c r="O314" s="126" t="n">
        <f aca="false">IF(B314&gt;0,(1000/B314*0.25)+((B314-1000)/B314*0.12),0)</f>
        <v>0</v>
      </c>
      <c r="P314" s="114"/>
      <c r="Q314" s="126" t="n">
        <f aca="false">M314+J314+G314</f>
        <v>11</v>
      </c>
      <c r="R314" s="126" t="n">
        <f aca="false">N314+K314+H314</f>
        <v>11</v>
      </c>
      <c r="S314" s="126" t="n">
        <f aca="false">O314+L314+I314</f>
        <v>7</v>
      </c>
      <c r="T314" s="127"/>
      <c r="U314" s="5" t="n">
        <f aca="false">A315-A314</f>
        <v>30</v>
      </c>
      <c r="V314" s="128" t="n">
        <f aca="false">CHOOSE(F$3,A315+24,A314)</f>
        <v>46539</v>
      </c>
      <c r="W314" s="5" t="n">
        <f aca="false">V314-C$3</f>
        <v>9308</v>
      </c>
      <c r="X314" s="124" t="n">
        <f aca="false">VLOOKUP($A314,Table,MATCH(X$4,Curves,0))</f>
        <v>2</v>
      </c>
      <c r="Y314" s="129" t="n">
        <f aca="false">1/(1+CHOOSE(F$3,(X315+($K$3/10000))/2,(X314+($K$3/10000))/2))^(2*W314/365.25)</f>
        <v>4.54102904655382E-016</v>
      </c>
      <c r="Z314" s="5" t="n">
        <f aca="false">IF(AND(mthbeg&lt;=A314,mthend&gt;=A314),1,0)</f>
        <v>0</v>
      </c>
      <c r="AA314" s="5" t="n">
        <f aca="false">U314*Z314</f>
        <v>0</v>
      </c>
      <c r="AC314" s="115" t="n">
        <f aca="false">IF(G307=2,F314*(S314-Q314),F314*(Q314-S314))</f>
        <v>0</v>
      </c>
      <c r="AE314" s="116" t="n">
        <f aca="false">IF($G$3=1,F314*(R314-Q314),F314*(Q314-R314))</f>
        <v>0</v>
      </c>
      <c r="AG314" s="116" t="n">
        <f aca="false">AC314+AE314</f>
        <v>0</v>
      </c>
    </row>
    <row r="315" customFormat="false" ht="12" hidden="false" customHeight="true" outlineLevel="0" collapsed="false">
      <c r="A315" s="120" t="n">
        <f aca="false">EDATE(A314,1)</f>
        <v>46569</v>
      </c>
      <c r="B315" s="121" t="n">
        <v>0</v>
      </c>
      <c r="C315" s="122"/>
      <c r="D315" s="123" t="n">
        <f aca="false">B315+C315</f>
        <v>0</v>
      </c>
      <c r="E315" s="111" t="n">
        <f aca="false">IF(Z315=0,0,IF(AND(Z315=1,$H$3=1),D315*U315,IF($H$3=2,D315,"N/A")))</f>
        <v>0</v>
      </c>
      <c r="F315" s="111" t="n">
        <f aca="false">E315*Y315</f>
        <v>0</v>
      </c>
      <c r="G315" s="124" t="n">
        <f aca="false">VLOOKUP($A315,Table,MATCH(G$4,Curves,0))</f>
        <v>3</v>
      </c>
      <c r="H315" s="125" t="n">
        <f aca="false">G315+$H$7</f>
        <v>3</v>
      </c>
      <c r="I315" s="124" t="n">
        <f aca="false">H315</f>
        <v>3</v>
      </c>
      <c r="J315" s="124" t="n">
        <f aca="false">VLOOKUP($A315,Table,MATCH(J$4,Curves,0))</f>
        <v>4</v>
      </c>
      <c r="K315" s="125" t="n">
        <f aca="false">J315+$K$7</f>
        <v>4</v>
      </c>
      <c r="L315" s="126" t="n">
        <f aca="false">K315</f>
        <v>4</v>
      </c>
      <c r="M315" s="124" t="n">
        <f aca="false">VLOOKUP($A315,Table,MATCH(M$4,Curves,0))</f>
        <v>4</v>
      </c>
      <c r="N315" s="125" t="n">
        <f aca="false">M315+$N$7</f>
        <v>4</v>
      </c>
      <c r="O315" s="126" t="n">
        <f aca="false">IF(B315&gt;0,(1000/B315*0.25)+((B315-1000)/B315*0.12),0)</f>
        <v>0</v>
      </c>
      <c r="P315" s="114"/>
      <c r="Q315" s="126" t="n">
        <f aca="false">M315+J315+G315</f>
        <v>11</v>
      </c>
      <c r="R315" s="126" t="n">
        <f aca="false">N315+K315+H315</f>
        <v>11</v>
      </c>
      <c r="S315" s="126" t="n">
        <f aca="false">O315+L315+I315</f>
        <v>7</v>
      </c>
      <c r="T315" s="127"/>
      <c r="U315" s="5" t="n">
        <f aca="false">A316-A315</f>
        <v>31</v>
      </c>
      <c r="V315" s="128" t="n">
        <f aca="false">CHOOSE(F$3,A316+24,A315)</f>
        <v>46569</v>
      </c>
      <c r="W315" s="5" t="n">
        <f aca="false">V315-C$3</f>
        <v>9338</v>
      </c>
      <c r="X315" s="124" t="n">
        <f aca="false">VLOOKUP($A315,Table,MATCH(X$4,Curves,0))</f>
        <v>2</v>
      </c>
      <c r="Y315" s="129" t="n">
        <f aca="false">1/(1+CHOOSE(F$3,(X316+($K$3/10000))/2,(X315+($K$3/10000))/2))^(2*W315/365.25)</f>
        <v>4.05232031915025E-016</v>
      </c>
      <c r="Z315" s="5" t="n">
        <f aca="false">IF(AND(mthbeg&lt;=A315,mthend&gt;=A315),1,0)</f>
        <v>0</v>
      </c>
      <c r="AA315" s="5" t="n">
        <f aca="false">U315*Z315</f>
        <v>0</v>
      </c>
      <c r="AC315" s="115" t="n">
        <f aca="false">IF(G308=2,F315*(S315-Q315),F315*(Q315-S315))</f>
        <v>0</v>
      </c>
      <c r="AE315" s="116" t="n">
        <f aca="false">IF($G$3=1,F315*(R315-Q315),F315*(Q315-R315))</f>
        <v>0</v>
      </c>
      <c r="AG315" s="116" t="n">
        <f aca="false">AC315+AE315</f>
        <v>0</v>
      </c>
    </row>
    <row r="316" customFormat="false" ht="12" hidden="false" customHeight="true" outlineLevel="0" collapsed="false">
      <c r="A316" s="120" t="n">
        <f aca="false">EDATE(A315,1)</f>
        <v>46600</v>
      </c>
      <c r="B316" s="121" t="n">
        <v>0</v>
      </c>
      <c r="C316" s="122"/>
      <c r="D316" s="123" t="n">
        <f aca="false">B316+C316</f>
        <v>0</v>
      </c>
      <c r="E316" s="111" t="n">
        <f aca="false">IF(Z316=0,0,IF(AND(Z316=1,$H$3=1),D316*U316,IF($H$3=2,D316,"N/A")))</f>
        <v>0</v>
      </c>
      <c r="F316" s="111" t="n">
        <f aca="false">E316*Y316</f>
        <v>0</v>
      </c>
      <c r="G316" s="124" t="n">
        <f aca="false">VLOOKUP($A316,Table,MATCH(G$4,Curves,0))</f>
        <v>3</v>
      </c>
      <c r="H316" s="125" t="n">
        <f aca="false">G316+$H$7</f>
        <v>3</v>
      </c>
      <c r="I316" s="124" t="n">
        <f aca="false">H316</f>
        <v>3</v>
      </c>
      <c r="J316" s="124" t="n">
        <f aca="false">VLOOKUP($A316,Table,MATCH(J$4,Curves,0))</f>
        <v>4</v>
      </c>
      <c r="K316" s="125" t="n">
        <f aca="false">J316+$K$7</f>
        <v>4</v>
      </c>
      <c r="L316" s="126" t="n">
        <f aca="false">K316</f>
        <v>4</v>
      </c>
      <c r="M316" s="124" t="n">
        <f aca="false">VLOOKUP($A316,Table,MATCH(M$4,Curves,0))</f>
        <v>4</v>
      </c>
      <c r="N316" s="125" t="n">
        <f aca="false">M316+$N$7</f>
        <v>4</v>
      </c>
      <c r="O316" s="126" t="n">
        <f aca="false">IF(B316&gt;0,(1000/B316*0.25)+((B316-1000)/B316*0.12),0)</f>
        <v>0</v>
      </c>
      <c r="P316" s="114"/>
      <c r="Q316" s="126" t="n">
        <f aca="false">M316+J316+G316</f>
        <v>11</v>
      </c>
      <c r="R316" s="126" t="n">
        <f aca="false">N316+K316+H316</f>
        <v>11</v>
      </c>
      <c r="S316" s="126" t="n">
        <f aca="false">O316+L316+I316</f>
        <v>7</v>
      </c>
      <c r="T316" s="127"/>
      <c r="U316" s="5" t="n">
        <f aca="false">A317-A316</f>
        <v>31</v>
      </c>
      <c r="V316" s="128" t="n">
        <f aca="false">CHOOSE(F$3,A317+24,A316)</f>
        <v>46600</v>
      </c>
      <c r="W316" s="5" t="n">
        <f aca="false">V316-C$3</f>
        <v>9369</v>
      </c>
      <c r="X316" s="124" t="n">
        <f aca="false">VLOOKUP($A316,Table,MATCH(X$4,Curves,0))</f>
        <v>2</v>
      </c>
      <c r="Y316" s="129" t="n">
        <f aca="false">1/(1+CHOOSE(F$3,(X317+($K$3/10000))/2,(X316+($K$3/10000))/2))^(2*W316/365.25)</f>
        <v>3.60250758737417E-016</v>
      </c>
      <c r="Z316" s="5" t="n">
        <f aca="false">IF(AND(mthbeg&lt;=A316,mthend&gt;=A316),1,0)</f>
        <v>0</v>
      </c>
      <c r="AA316" s="5" t="n">
        <f aca="false">U316*Z316</f>
        <v>0</v>
      </c>
      <c r="AC316" s="115" t="n">
        <f aca="false">IF(G309=2,F316*(S316-Q316),F316*(Q316-S316))</f>
        <v>0</v>
      </c>
      <c r="AE316" s="116" t="n">
        <f aca="false">IF($G$3=1,F316*(R316-Q316),F316*(Q316-R316))</f>
        <v>0</v>
      </c>
      <c r="AG316" s="116" t="n">
        <f aca="false">AC316+AE316</f>
        <v>0</v>
      </c>
    </row>
    <row r="317" customFormat="false" ht="12" hidden="false" customHeight="true" outlineLevel="0" collapsed="false">
      <c r="A317" s="120" t="n">
        <f aca="false">EDATE(A316,1)</f>
        <v>46631</v>
      </c>
      <c r="B317" s="121" t="n">
        <v>0</v>
      </c>
      <c r="C317" s="122"/>
      <c r="D317" s="123" t="n">
        <f aca="false">B317+C317</f>
        <v>0</v>
      </c>
      <c r="E317" s="111" t="n">
        <f aca="false">IF(Z317=0,0,IF(AND(Z317=1,$H$3=1),D317*U317,IF($H$3=2,D317,"N/A")))</f>
        <v>0</v>
      </c>
      <c r="F317" s="111" t="n">
        <f aca="false">E317*Y317</f>
        <v>0</v>
      </c>
      <c r="G317" s="124" t="n">
        <f aca="false">VLOOKUP($A317,Table,MATCH(G$4,Curves,0))</f>
        <v>3</v>
      </c>
      <c r="H317" s="125" t="n">
        <f aca="false">G317+$H$7</f>
        <v>3</v>
      </c>
      <c r="I317" s="124" t="n">
        <f aca="false">H317</f>
        <v>3</v>
      </c>
      <c r="J317" s="124" t="n">
        <f aca="false">VLOOKUP($A317,Table,MATCH(J$4,Curves,0))</f>
        <v>4</v>
      </c>
      <c r="K317" s="125" t="n">
        <f aca="false">J317+$K$7</f>
        <v>4</v>
      </c>
      <c r="L317" s="126" t="n">
        <f aca="false">K317</f>
        <v>4</v>
      </c>
      <c r="M317" s="124" t="n">
        <f aca="false">VLOOKUP($A317,Table,MATCH(M$4,Curves,0))</f>
        <v>4</v>
      </c>
      <c r="N317" s="125" t="n">
        <f aca="false">M317+$N$7</f>
        <v>4</v>
      </c>
      <c r="O317" s="126" t="n">
        <f aca="false">IF(B317&gt;0,(1000/B317*0.25)+((B317-1000)/B317*0.12),0)</f>
        <v>0</v>
      </c>
      <c r="P317" s="114"/>
      <c r="Q317" s="126" t="n">
        <f aca="false">M317+J317+G317</f>
        <v>11</v>
      </c>
      <c r="R317" s="126" t="n">
        <f aca="false">N317+K317+H317</f>
        <v>11</v>
      </c>
      <c r="S317" s="126" t="n">
        <f aca="false">O317+L317+I317</f>
        <v>7</v>
      </c>
      <c r="T317" s="127"/>
      <c r="U317" s="5" t="n">
        <f aca="false">A318-A317</f>
        <v>30</v>
      </c>
      <c r="V317" s="128" t="n">
        <f aca="false">CHOOSE(F$3,A318+24,A317)</f>
        <v>46631</v>
      </c>
      <c r="W317" s="5" t="n">
        <f aca="false">V317-C$3</f>
        <v>9400</v>
      </c>
      <c r="X317" s="124" t="n">
        <f aca="false">VLOOKUP($A317,Table,MATCH(X$4,Curves,0))</f>
        <v>2</v>
      </c>
      <c r="Y317" s="129" t="n">
        <f aca="false">1/(1+CHOOSE(F$3,(X318+($K$3/10000))/2,(X317+($K$3/10000))/2))^(2*W317/365.25)</f>
        <v>3.20262464340674E-016</v>
      </c>
      <c r="Z317" s="5" t="n">
        <f aca="false">IF(AND(mthbeg&lt;=A317,mthend&gt;=A317),1,0)</f>
        <v>0</v>
      </c>
      <c r="AA317" s="5" t="n">
        <f aca="false">U317*Z317</f>
        <v>0</v>
      </c>
      <c r="AC317" s="115" t="n">
        <f aca="false">IF(G310=2,F317*(S317-Q317),F317*(Q317-S317))</f>
        <v>0</v>
      </c>
      <c r="AE317" s="116" t="n">
        <f aca="false">IF($G$3=1,F317*(R317-Q317),F317*(Q317-R317))</f>
        <v>0</v>
      </c>
      <c r="AG317" s="116" t="n">
        <f aca="false">AC317+AE317</f>
        <v>0</v>
      </c>
    </row>
    <row r="318" customFormat="false" ht="12" hidden="false" customHeight="true" outlineLevel="0" collapsed="false">
      <c r="A318" s="120" t="n">
        <f aca="false">EDATE(A317,1)</f>
        <v>46661</v>
      </c>
      <c r="B318" s="121" t="n">
        <v>0</v>
      </c>
      <c r="C318" s="122"/>
      <c r="D318" s="123" t="n">
        <f aca="false">B318+C318</f>
        <v>0</v>
      </c>
      <c r="E318" s="111" t="n">
        <f aca="false">IF(Z318=0,0,IF(AND(Z318=1,$H$3=1),D318*U318,IF($H$3=2,D318,"N/A")))</f>
        <v>0</v>
      </c>
      <c r="F318" s="111" t="n">
        <f aca="false">E318*Y318</f>
        <v>0</v>
      </c>
      <c r="G318" s="124" t="n">
        <f aca="false">VLOOKUP($A318,Table,MATCH(G$4,Curves,0))</f>
        <v>3</v>
      </c>
      <c r="H318" s="125" t="n">
        <f aca="false">G318+$H$7</f>
        <v>3</v>
      </c>
      <c r="I318" s="124" t="n">
        <f aca="false">H318</f>
        <v>3</v>
      </c>
      <c r="J318" s="124" t="n">
        <f aca="false">VLOOKUP($A318,Table,MATCH(J$4,Curves,0))</f>
        <v>4</v>
      </c>
      <c r="K318" s="125" t="n">
        <f aca="false">J318+$K$7</f>
        <v>4</v>
      </c>
      <c r="L318" s="126" t="n">
        <f aca="false">K318</f>
        <v>4</v>
      </c>
      <c r="M318" s="124" t="n">
        <f aca="false">VLOOKUP($A318,Table,MATCH(M$4,Curves,0))</f>
        <v>4</v>
      </c>
      <c r="N318" s="125" t="n">
        <f aca="false">M318+$N$7</f>
        <v>4</v>
      </c>
      <c r="O318" s="126" t="n">
        <f aca="false">IF(B318&gt;0,(1000/B318*0.25)+((B318-1000)/B318*0.12),0)</f>
        <v>0</v>
      </c>
      <c r="P318" s="114"/>
      <c r="Q318" s="126" t="n">
        <f aca="false">M318+J318+G318</f>
        <v>11</v>
      </c>
      <c r="R318" s="126" t="n">
        <f aca="false">N318+K318+H318</f>
        <v>11</v>
      </c>
      <c r="S318" s="126" t="n">
        <f aca="false">O318+L318+I318</f>
        <v>7</v>
      </c>
      <c r="T318" s="127"/>
      <c r="U318" s="5" t="n">
        <f aca="false">A319-A318</f>
        <v>31</v>
      </c>
      <c r="V318" s="128" t="n">
        <f aca="false">CHOOSE(F$3,A319+24,A318)</f>
        <v>46661</v>
      </c>
      <c r="W318" s="5" t="n">
        <f aca="false">V318-C$3</f>
        <v>9430</v>
      </c>
      <c r="X318" s="124" t="n">
        <f aca="false">VLOOKUP($A318,Table,MATCH(X$4,Curves,0))</f>
        <v>2</v>
      </c>
      <c r="Y318" s="129" t="n">
        <f aca="false">1/(1+CHOOSE(F$3,(X319+($K$3/10000))/2,(X318+($K$3/10000))/2))^(2*W318/365.25)</f>
        <v>2.85795593554668E-016</v>
      </c>
      <c r="Z318" s="5" t="n">
        <f aca="false">IF(AND(mthbeg&lt;=A318,mthend&gt;=A318),1,0)</f>
        <v>0</v>
      </c>
      <c r="AA318" s="5" t="n">
        <f aca="false">U318*Z318</f>
        <v>0</v>
      </c>
      <c r="AC318" s="115" t="n">
        <f aca="false">IF(G311=2,F318*(S318-Q318),F318*(Q318-S318))</f>
        <v>0</v>
      </c>
      <c r="AE318" s="116" t="n">
        <f aca="false">IF($G$3=1,F318*(R318-Q318),F318*(Q318-R318))</f>
        <v>0</v>
      </c>
      <c r="AG318" s="116" t="n">
        <f aca="false">AC318+AE318</f>
        <v>0</v>
      </c>
    </row>
    <row r="319" customFormat="false" ht="12" hidden="false" customHeight="true" outlineLevel="0" collapsed="false">
      <c r="A319" s="120" t="n">
        <f aca="false">EDATE(A318,1)</f>
        <v>46692</v>
      </c>
      <c r="B319" s="121" t="n">
        <v>0</v>
      </c>
      <c r="C319" s="122"/>
      <c r="D319" s="123" t="n">
        <f aca="false">B319+C319</f>
        <v>0</v>
      </c>
      <c r="E319" s="111" t="n">
        <f aca="false">IF(Z319=0,0,IF(AND(Z319=1,$H$3=1),D319*U319,IF($H$3=2,D319,"N/A")))</f>
        <v>0</v>
      </c>
      <c r="F319" s="111" t="n">
        <f aca="false">E319*Y319</f>
        <v>0</v>
      </c>
      <c r="G319" s="124" t="n">
        <f aca="false">VLOOKUP($A319,Table,MATCH(G$4,Curves,0))</f>
        <v>3</v>
      </c>
      <c r="H319" s="125" t="n">
        <f aca="false">G319+$H$7</f>
        <v>3</v>
      </c>
      <c r="I319" s="124" t="n">
        <f aca="false">H319</f>
        <v>3</v>
      </c>
      <c r="J319" s="124" t="n">
        <f aca="false">VLOOKUP($A319,Table,MATCH(J$4,Curves,0))</f>
        <v>4</v>
      </c>
      <c r="K319" s="125" t="n">
        <f aca="false">J319+$K$7</f>
        <v>4</v>
      </c>
      <c r="L319" s="126" t="n">
        <f aca="false">K319</f>
        <v>4</v>
      </c>
      <c r="M319" s="124" t="n">
        <f aca="false">VLOOKUP($A319,Table,MATCH(M$4,Curves,0))</f>
        <v>4</v>
      </c>
      <c r="N319" s="125" t="n">
        <f aca="false">M319+$N$7</f>
        <v>4</v>
      </c>
      <c r="O319" s="126" t="n">
        <f aca="false">IF(B319&gt;0,(1000/B319*0.25)+((B319-1000)/B319*0.12),0)</f>
        <v>0</v>
      </c>
      <c r="P319" s="114"/>
      <c r="Q319" s="126" t="n">
        <f aca="false">M319+J319+G319</f>
        <v>11</v>
      </c>
      <c r="R319" s="126" t="n">
        <f aca="false">N319+K319+H319</f>
        <v>11</v>
      </c>
      <c r="S319" s="126" t="n">
        <f aca="false">O319+L319+I319</f>
        <v>7</v>
      </c>
      <c r="T319" s="127"/>
      <c r="U319" s="5" t="n">
        <f aca="false">A320-A319</f>
        <v>30</v>
      </c>
      <c r="V319" s="128" t="n">
        <f aca="false">CHOOSE(F$3,A320+24,A319)</f>
        <v>46692</v>
      </c>
      <c r="W319" s="5" t="n">
        <f aca="false">V319-C$3</f>
        <v>9461</v>
      </c>
      <c r="X319" s="124" t="n">
        <f aca="false">VLOOKUP($A319,Table,MATCH(X$4,Curves,0))</f>
        <v>2</v>
      </c>
      <c r="Y319" s="129" t="n">
        <f aca="false">1/(1+CHOOSE(F$3,(X320+($K$3/10000))/2,(X319+($K$3/10000))/2))^(2*W319/365.25)</f>
        <v>2.54071917600703E-016</v>
      </c>
      <c r="Z319" s="5" t="n">
        <f aca="false">IF(AND(mthbeg&lt;=A319,mthend&gt;=A319),1,0)</f>
        <v>0</v>
      </c>
      <c r="AA319" s="5" t="n">
        <f aca="false">U319*Z319</f>
        <v>0</v>
      </c>
      <c r="AC319" s="115" t="n">
        <f aca="false">IF(G312=2,F319*(S319-Q319),F319*(Q319-S319))</f>
        <v>0</v>
      </c>
      <c r="AE319" s="116" t="n">
        <f aca="false">IF($G$3=1,F319*(R319-Q319),F319*(Q319-R319))</f>
        <v>0</v>
      </c>
      <c r="AG319" s="116" t="n">
        <f aca="false">AC319+AE319</f>
        <v>0</v>
      </c>
    </row>
    <row r="320" customFormat="false" ht="12" hidden="false" customHeight="true" outlineLevel="0" collapsed="false">
      <c r="A320" s="120" t="n">
        <f aca="false">EDATE(A319,1)</f>
        <v>46722</v>
      </c>
      <c r="B320" s="121" t="n">
        <v>0</v>
      </c>
      <c r="C320" s="122"/>
      <c r="D320" s="123" t="n">
        <f aca="false">B320+C320</f>
        <v>0</v>
      </c>
      <c r="E320" s="111" t="n">
        <f aca="false">IF(Z320=0,0,IF(AND(Z320=1,$H$3=1),D320*U320,IF($H$3=2,D320,"N/A")))</f>
        <v>0</v>
      </c>
      <c r="F320" s="111" t="n">
        <f aca="false">E320*Y320</f>
        <v>0</v>
      </c>
      <c r="G320" s="124" t="n">
        <f aca="false">VLOOKUP($A320,Table,MATCH(G$4,Curves,0))</f>
        <v>3</v>
      </c>
      <c r="H320" s="125" t="n">
        <f aca="false">G320+$H$7</f>
        <v>3</v>
      </c>
      <c r="I320" s="124" t="n">
        <f aca="false">H320</f>
        <v>3</v>
      </c>
      <c r="J320" s="124" t="n">
        <f aca="false">VLOOKUP($A320,Table,MATCH(J$4,Curves,0))</f>
        <v>4</v>
      </c>
      <c r="K320" s="125" t="n">
        <f aca="false">J320+$K$7</f>
        <v>4</v>
      </c>
      <c r="L320" s="126" t="n">
        <f aca="false">K320</f>
        <v>4</v>
      </c>
      <c r="M320" s="124" t="n">
        <f aca="false">VLOOKUP($A320,Table,MATCH(M$4,Curves,0))</f>
        <v>4</v>
      </c>
      <c r="N320" s="125" t="n">
        <f aca="false">M320+$N$7</f>
        <v>4</v>
      </c>
      <c r="O320" s="126" t="n">
        <f aca="false">IF(B320&gt;0,(1000/B320*0.25)+((B320-1000)/B320*0.12),0)</f>
        <v>0</v>
      </c>
      <c r="P320" s="114"/>
      <c r="Q320" s="126" t="n">
        <f aca="false">M320+J320+G320</f>
        <v>11</v>
      </c>
      <c r="R320" s="126" t="n">
        <f aca="false">N320+K320+H320</f>
        <v>11</v>
      </c>
      <c r="S320" s="126" t="n">
        <f aca="false">O320+L320+I320</f>
        <v>7</v>
      </c>
      <c r="T320" s="127"/>
      <c r="U320" s="5" t="n">
        <f aca="false">A321-A320</f>
        <v>31</v>
      </c>
      <c r="V320" s="128" t="n">
        <f aca="false">CHOOSE(F$3,A321+24,A320)</f>
        <v>46722</v>
      </c>
      <c r="W320" s="5" t="n">
        <f aca="false">V320-C$3</f>
        <v>9491</v>
      </c>
      <c r="X320" s="124" t="n">
        <f aca="false">VLOOKUP($A320,Table,MATCH(X$4,Curves,0))</f>
        <v>2</v>
      </c>
      <c r="Y320" s="129" t="n">
        <f aca="false">1/(1+CHOOSE(F$3,(X321+($K$3/10000))/2,(X320+($K$3/10000))/2))^(2*W320/365.25)</f>
        <v>2.26728519827491E-016</v>
      </c>
      <c r="Z320" s="5" t="n">
        <f aca="false">IF(AND(mthbeg&lt;=A320,mthend&gt;=A320),1,0)</f>
        <v>0</v>
      </c>
      <c r="AA320" s="5" t="n">
        <f aca="false">U320*Z320</f>
        <v>0</v>
      </c>
      <c r="AC320" s="115" t="n">
        <f aca="false">IF(G313=2,F320*(S320-Q320),F320*(Q320-S320))</f>
        <v>0</v>
      </c>
      <c r="AE320" s="116" t="n">
        <f aca="false">IF($G$3=1,F320*(R320-Q320),F320*(Q320-R320))</f>
        <v>0</v>
      </c>
      <c r="AG320" s="116" t="n">
        <f aca="false">AC320+AE320</f>
        <v>0</v>
      </c>
    </row>
    <row r="321" customFormat="false" ht="12" hidden="false" customHeight="true" outlineLevel="0" collapsed="false">
      <c r="A321" s="120" t="n">
        <f aca="false">EDATE(A320,1)</f>
        <v>46753</v>
      </c>
      <c r="B321" s="121" t="n">
        <v>0</v>
      </c>
      <c r="C321" s="122"/>
      <c r="D321" s="123" t="n">
        <f aca="false">B321+C321</f>
        <v>0</v>
      </c>
      <c r="E321" s="111" t="n">
        <f aca="false">IF(Z321=0,0,IF(AND(Z321=1,$H$3=1),D321*U321,IF($H$3=2,D321,"N/A")))</f>
        <v>0</v>
      </c>
      <c r="F321" s="111" t="n">
        <f aca="false">E321*Y321</f>
        <v>0</v>
      </c>
      <c r="G321" s="124" t="n">
        <f aca="false">VLOOKUP($A321,Table,MATCH(G$4,Curves,0))</f>
        <v>3</v>
      </c>
      <c r="H321" s="125" t="n">
        <f aca="false">G321+$H$7</f>
        <v>3</v>
      </c>
      <c r="I321" s="124" t="n">
        <f aca="false">H321</f>
        <v>3</v>
      </c>
      <c r="J321" s="124" t="n">
        <f aca="false">VLOOKUP($A321,Table,MATCH(J$4,Curves,0))</f>
        <v>4</v>
      </c>
      <c r="K321" s="125" t="n">
        <f aca="false">J321+$K$7</f>
        <v>4</v>
      </c>
      <c r="L321" s="126" t="n">
        <f aca="false">K321</f>
        <v>4</v>
      </c>
      <c r="M321" s="124" t="n">
        <f aca="false">VLOOKUP($A321,Table,MATCH(M$4,Curves,0))</f>
        <v>4</v>
      </c>
      <c r="N321" s="125" t="n">
        <f aca="false">M321+$N$7</f>
        <v>4</v>
      </c>
      <c r="O321" s="126" t="n">
        <f aca="false">IF(B321&gt;0,(1000/B321*0.25)+((B321-1000)/B321*0.12),0)</f>
        <v>0</v>
      </c>
      <c r="P321" s="114"/>
      <c r="Q321" s="126" t="n">
        <f aca="false">M321+J321+G321</f>
        <v>11</v>
      </c>
      <c r="R321" s="126" t="n">
        <f aca="false">N321+K321+H321</f>
        <v>11</v>
      </c>
      <c r="S321" s="126" t="n">
        <f aca="false">O321+L321+I321</f>
        <v>7</v>
      </c>
      <c r="T321" s="127"/>
      <c r="U321" s="5" t="n">
        <f aca="false">A322-A321</f>
        <v>31</v>
      </c>
      <c r="V321" s="128" t="n">
        <f aca="false">CHOOSE(F$3,A322+24,A321)</f>
        <v>46753</v>
      </c>
      <c r="W321" s="5" t="n">
        <f aca="false">V321-C$3</f>
        <v>9522</v>
      </c>
      <c r="X321" s="124" t="n">
        <f aca="false">VLOOKUP($A321,Table,MATCH(X$4,Curves,0))</f>
        <v>2</v>
      </c>
      <c r="Y321" s="129" t="n">
        <f aca="false">1/(1+CHOOSE(F$3,(X322+($K$3/10000))/2,(X321+($K$3/10000))/2))^(2*W321/365.25)</f>
        <v>2.01561364508304E-016</v>
      </c>
      <c r="Z321" s="5" t="n">
        <f aca="false">IF(AND(mthbeg&lt;=A321,mthend&gt;=A321),1,0)</f>
        <v>0</v>
      </c>
      <c r="AA321" s="5" t="n">
        <f aca="false">U321*Z321</f>
        <v>0</v>
      </c>
      <c r="AC321" s="115" t="n">
        <f aca="false">IF(G314=2,F321*(S321-Q321),F321*(Q321-S321))</f>
        <v>0</v>
      </c>
      <c r="AE321" s="116" t="n">
        <f aca="false">IF($G$3=1,F321*(R321-Q321),F321*(Q321-R321))</f>
        <v>0</v>
      </c>
      <c r="AG321" s="116" t="n">
        <f aca="false">AC321+AE321</f>
        <v>0</v>
      </c>
    </row>
    <row r="322" customFormat="false" ht="12" hidden="false" customHeight="true" outlineLevel="0" collapsed="false">
      <c r="A322" s="120" t="n">
        <f aca="false">EDATE(A321,1)</f>
        <v>46784</v>
      </c>
      <c r="B322" s="121" t="n">
        <v>0</v>
      </c>
      <c r="C322" s="122"/>
      <c r="D322" s="123" t="n">
        <f aca="false">B322+C322</f>
        <v>0</v>
      </c>
      <c r="E322" s="111" t="n">
        <f aca="false">IF(Z322=0,0,IF(AND(Z322=1,$H$3=1),D322*U322,IF($H$3=2,D322,"N/A")))</f>
        <v>0</v>
      </c>
      <c r="F322" s="111" t="n">
        <f aca="false">E322*Y322</f>
        <v>0</v>
      </c>
      <c r="G322" s="124" t="n">
        <f aca="false">VLOOKUP($A322,Table,MATCH(G$4,Curves,0))</f>
        <v>3</v>
      </c>
      <c r="H322" s="125" t="n">
        <f aca="false">G322+$H$7</f>
        <v>3</v>
      </c>
      <c r="I322" s="124" t="n">
        <f aca="false">H322</f>
        <v>3</v>
      </c>
      <c r="J322" s="124" t="n">
        <f aca="false">VLOOKUP($A322,Table,MATCH(J$4,Curves,0))</f>
        <v>4</v>
      </c>
      <c r="K322" s="125" t="n">
        <f aca="false">J322+$K$7</f>
        <v>4</v>
      </c>
      <c r="L322" s="126" t="n">
        <f aca="false">K322</f>
        <v>4</v>
      </c>
      <c r="M322" s="124" t="n">
        <f aca="false">VLOOKUP($A322,Table,MATCH(M$4,Curves,0))</f>
        <v>4</v>
      </c>
      <c r="N322" s="125" t="n">
        <f aca="false">M322+$N$7</f>
        <v>4</v>
      </c>
      <c r="O322" s="126" t="n">
        <f aca="false">IF(B322&gt;0,(1000/B322*0.25)+((B322-1000)/B322*0.12),0)</f>
        <v>0</v>
      </c>
      <c r="P322" s="114"/>
      <c r="Q322" s="126" t="n">
        <f aca="false">M322+J322+G322</f>
        <v>11</v>
      </c>
      <c r="R322" s="126" t="n">
        <f aca="false">N322+K322+H322</f>
        <v>11</v>
      </c>
      <c r="S322" s="126" t="n">
        <f aca="false">O322+L322+I322</f>
        <v>7</v>
      </c>
      <c r="T322" s="127"/>
      <c r="U322" s="5" t="n">
        <f aca="false">A323-A322</f>
        <v>29</v>
      </c>
      <c r="V322" s="128" t="n">
        <f aca="false">CHOOSE(F$3,A323+24,A322)</f>
        <v>46784</v>
      </c>
      <c r="W322" s="5" t="n">
        <f aca="false">V322-C$3</f>
        <v>9553</v>
      </c>
      <c r="X322" s="124" t="n">
        <f aca="false">VLOOKUP($A322,Table,MATCH(X$4,Curves,0))</f>
        <v>2</v>
      </c>
      <c r="Y322" s="129" t="n">
        <f aca="false">1/(1+CHOOSE(F$3,(X323+($K$3/10000))/2,(X322+($K$3/10000))/2))^(2*W322/365.25)</f>
        <v>1.79187795577552E-016</v>
      </c>
      <c r="Z322" s="5" t="n">
        <f aca="false">IF(AND(mthbeg&lt;=A322,mthend&gt;=A322),1,0)</f>
        <v>0</v>
      </c>
      <c r="AA322" s="5" t="n">
        <f aca="false">U322*Z322</f>
        <v>0</v>
      </c>
      <c r="AC322" s="115" t="n">
        <f aca="false">IF(G315=2,F322*(S322-Q322),F322*(Q322-S322))</f>
        <v>0</v>
      </c>
      <c r="AE322" s="116" t="n">
        <f aca="false">IF($G$3=1,F322*(R322-Q322),F322*(Q322-R322))</f>
        <v>0</v>
      </c>
      <c r="AG322" s="116" t="n">
        <f aca="false">AC322+AE322</f>
        <v>0</v>
      </c>
    </row>
    <row r="323" customFormat="false" ht="12" hidden="false" customHeight="true" outlineLevel="0" collapsed="false">
      <c r="A323" s="120" t="n">
        <f aca="false">EDATE(A322,1)</f>
        <v>46813</v>
      </c>
      <c r="B323" s="121" t="n">
        <v>0</v>
      </c>
      <c r="C323" s="122"/>
      <c r="D323" s="123" t="n">
        <f aca="false">B323+C323</f>
        <v>0</v>
      </c>
      <c r="E323" s="111" t="n">
        <f aca="false">IF(Z323=0,0,IF(AND(Z323=1,$H$3=1),D323*U323,IF($H$3=2,D323,"N/A")))</f>
        <v>0</v>
      </c>
      <c r="F323" s="111" t="n">
        <f aca="false">E323*Y323</f>
        <v>0</v>
      </c>
      <c r="G323" s="124" t="n">
        <f aca="false">VLOOKUP($A323,Table,MATCH(G$4,Curves,0))</f>
        <v>3</v>
      </c>
      <c r="H323" s="125" t="n">
        <f aca="false">G323+$H$7</f>
        <v>3</v>
      </c>
      <c r="I323" s="124" t="n">
        <f aca="false">H323</f>
        <v>3</v>
      </c>
      <c r="J323" s="124" t="n">
        <f aca="false">VLOOKUP($A323,Table,MATCH(J$4,Curves,0))</f>
        <v>4</v>
      </c>
      <c r="K323" s="125" t="n">
        <f aca="false">J323+$K$7</f>
        <v>4</v>
      </c>
      <c r="L323" s="126" t="n">
        <f aca="false">K323</f>
        <v>4</v>
      </c>
      <c r="M323" s="124" t="n">
        <f aca="false">VLOOKUP($A323,Table,MATCH(M$4,Curves,0))</f>
        <v>4</v>
      </c>
      <c r="N323" s="125" t="n">
        <f aca="false">M323+$N$7</f>
        <v>4</v>
      </c>
      <c r="O323" s="126" t="n">
        <f aca="false">IF(B323&gt;0,(1000/B323*0.25)+((B323-1000)/B323*0.12),0)</f>
        <v>0</v>
      </c>
      <c r="P323" s="114"/>
      <c r="Q323" s="126" t="n">
        <f aca="false">M323+J323+G323</f>
        <v>11</v>
      </c>
      <c r="R323" s="126" t="n">
        <f aca="false">N323+K323+H323</f>
        <v>11</v>
      </c>
      <c r="S323" s="126" t="n">
        <f aca="false">O323+L323+I323</f>
        <v>7</v>
      </c>
      <c r="T323" s="127"/>
      <c r="U323" s="5" t="n">
        <f aca="false">A324-A323</f>
        <v>31</v>
      </c>
      <c r="V323" s="128" t="n">
        <f aca="false">CHOOSE(F$3,A324+24,A323)</f>
        <v>46813</v>
      </c>
      <c r="W323" s="5" t="n">
        <f aca="false">V323-C$3</f>
        <v>9582</v>
      </c>
      <c r="X323" s="124" t="n">
        <f aca="false">VLOOKUP($A323,Table,MATCH(X$4,Curves,0))</f>
        <v>2</v>
      </c>
      <c r="Y323" s="129" t="n">
        <f aca="false">1/(1+CHOOSE(F$3,(X324+($K$3/10000))/2,(X323+($K$3/10000))/2))^(2*W323/365.25)</f>
        <v>1.60511541085511E-016</v>
      </c>
      <c r="Z323" s="5" t="n">
        <f aca="false">IF(AND(mthbeg&lt;=A323,mthend&gt;=A323),1,0)</f>
        <v>0</v>
      </c>
      <c r="AA323" s="5" t="n">
        <f aca="false">U323*Z323</f>
        <v>0</v>
      </c>
      <c r="AC323" s="115" t="n">
        <f aca="false">IF(G316=2,F323*(S323-Q323),F323*(Q323-S323))</f>
        <v>0</v>
      </c>
      <c r="AE323" s="116" t="n">
        <f aca="false">IF($G$3=1,F323*(R323-Q323),F323*(Q323-R323))</f>
        <v>0</v>
      </c>
      <c r="AG323" s="116" t="n">
        <f aca="false">AC323+AE323</f>
        <v>0</v>
      </c>
    </row>
    <row r="324" customFormat="false" ht="12" hidden="false" customHeight="true" outlineLevel="0" collapsed="false">
      <c r="A324" s="120" t="n">
        <f aca="false">EDATE(A323,1)</f>
        <v>46844</v>
      </c>
      <c r="B324" s="121" t="n">
        <v>0</v>
      </c>
      <c r="C324" s="122"/>
      <c r="D324" s="123" t="n">
        <f aca="false">B324+C324</f>
        <v>0</v>
      </c>
      <c r="E324" s="111" t="n">
        <f aca="false">IF(Z324=0,0,IF(AND(Z324=1,$H$3=1),D324*U324,IF($H$3=2,D324,"N/A")))</f>
        <v>0</v>
      </c>
      <c r="F324" s="111" t="n">
        <f aca="false">E324*Y324</f>
        <v>0</v>
      </c>
      <c r="G324" s="124" t="n">
        <f aca="false">VLOOKUP($A324,Table,MATCH(G$4,Curves,0))</f>
        <v>3</v>
      </c>
      <c r="H324" s="125" t="n">
        <f aca="false">G324+$H$7</f>
        <v>3</v>
      </c>
      <c r="I324" s="124" t="n">
        <f aca="false">H324</f>
        <v>3</v>
      </c>
      <c r="J324" s="124" t="n">
        <f aca="false">VLOOKUP($A324,Table,MATCH(J$4,Curves,0))</f>
        <v>4</v>
      </c>
      <c r="K324" s="125" t="n">
        <f aca="false">J324+$K$7</f>
        <v>4</v>
      </c>
      <c r="L324" s="126" t="n">
        <f aca="false">K324</f>
        <v>4</v>
      </c>
      <c r="M324" s="124" t="n">
        <f aca="false">VLOOKUP($A324,Table,MATCH(M$4,Curves,0))</f>
        <v>4</v>
      </c>
      <c r="N324" s="125" t="n">
        <f aca="false">M324+$N$7</f>
        <v>4</v>
      </c>
      <c r="O324" s="126" t="n">
        <f aca="false">IF(B324&gt;0,(1000/B324*0.25)+((B324-1000)/B324*0.12),0)</f>
        <v>0</v>
      </c>
      <c r="P324" s="114"/>
      <c r="Q324" s="126" t="n">
        <f aca="false">M324+J324+G324</f>
        <v>11</v>
      </c>
      <c r="R324" s="126" t="n">
        <f aca="false">N324+K324+H324</f>
        <v>11</v>
      </c>
      <c r="S324" s="126" t="n">
        <f aca="false">O324+L324+I324</f>
        <v>7</v>
      </c>
      <c r="T324" s="127"/>
      <c r="U324" s="5" t="n">
        <f aca="false">A325-A324</f>
        <v>30</v>
      </c>
      <c r="V324" s="128" t="n">
        <f aca="false">CHOOSE(F$3,A325+24,A324)</f>
        <v>46844</v>
      </c>
      <c r="W324" s="5" t="n">
        <f aca="false">V324-C$3</f>
        <v>9613</v>
      </c>
      <c r="X324" s="124" t="n">
        <f aca="false">VLOOKUP($A324,Table,MATCH(X$4,Curves,0))</f>
        <v>2</v>
      </c>
      <c r="Y324" s="129" t="n">
        <f aca="false">1/(1+CHOOSE(F$3,(X325+($K$3/10000))/2,(X324+($K$3/10000))/2))^(2*W324/365.25)</f>
        <v>1.42694554990887E-016</v>
      </c>
      <c r="Z324" s="5" t="n">
        <f aca="false">IF(AND(mthbeg&lt;=A324,mthend&gt;=A324),1,0)</f>
        <v>0</v>
      </c>
      <c r="AA324" s="5" t="n">
        <f aca="false">U324*Z324</f>
        <v>0</v>
      </c>
      <c r="AC324" s="115" t="n">
        <f aca="false">IF(G317=2,F324*(S324-Q324),F324*(Q324-S324))</f>
        <v>0</v>
      </c>
      <c r="AE324" s="116" t="n">
        <f aca="false">IF($G$3=1,F324*(R324-Q324),F324*(Q324-R324))</f>
        <v>0</v>
      </c>
      <c r="AG324" s="116" t="n">
        <f aca="false">AC324+AE324</f>
        <v>0</v>
      </c>
    </row>
    <row r="325" customFormat="false" ht="12" hidden="false" customHeight="true" outlineLevel="0" collapsed="false">
      <c r="A325" s="120" t="n">
        <f aca="false">EDATE(A324,1)</f>
        <v>46874</v>
      </c>
      <c r="B325" s="121" t="n">
        <v>0</v>
      </c>
      <c r="C325" s="122"/>
      <c r="D325" s="123" t="n">
        <f aca="false">B325+C325</f>
        <v>0</v>
      </c>
      <c r="E325" s="111" t="n">
        <f aca="false">IF(Z325=0,0,IF(AND(Z325=1,$H$3=1),D325*U325,IF($H$3=2,D325,"N/A")))</f>
        <v>0</v>
      </c>
      <c r="F325" s="111" t="n">
        <f aca="false">E325*Y325</f>
        <v>0</v>
      </c>
      <c r="G325" s="124" t="n">
        <f aca="false">VLOOKUP($A325,Table,MATCH(G$4,Curves,0))</f>
        <v>3</v>
      </c>
      <c r="H325" s="125" t="n">
        <f aca="false">G325+$H$7</f>
        <v>3</v>
      </c>
      <c r="I325" s="124" t="n">
        <f aca="false">H325</f>
        <v>3</v>
      </c>
      <c r="J325" s="124" t="n">
        <f aca="false">VLOOKUP($A325,Table,MATCH(J$4,Curves,0))</f>
        <v>4</v>
      </c>
      <c r="K325" s="125" t="n">
        <f aca="false">J325+$K$7</f>
        <v>4</v>
      </c>
      <c r="L325" s="126" t="n">
        <f aca="false">K325</f>
        <v>4</v>
      </c>
      <c r="M325" s="124" t="n">
        <f aca="false">VLOOKUP($A325,Table,MATCH(M$4,Curves,0))</f>
        <v>4</v>
      </c>
      <c r="N325" s="125" t="n">
        <f aca="false">M325+$N$7</f>
        <v>4</v>
      </c>
      <c r="O325" s="126" t="n">
        <f aca="false">IF(B325&gt;0,(1000/B325*0.25)+((B325-1000)/B325*0.12),0)</f>
        <v>0</v>
      </c>
      <c r="P325" s="114"/>
      <c r="Q325" s="126" t="n">
        <f aca="false">M325+J325+G325</f>
        <v>11</v>
      </c>
      <c r="R325" s="126" t="n">
        <f aca="false">N325+K325+H325</f>
        <v>11</v>
      </c>
      <c r="S325" s="126" t="n">
        <f aca="false">O325+L325+I325</f>
        <v>7</v>
      </c>
      <c r="T325" s="127"/>
      <c r="U325" s="5" t="n">
        <f aca="false">A326-A325</f>
        <v>31</v>
      </c>
      <c r="V325" s="128" t="n">
        <f aca="false">CHOOSE(F$3,A326+24,A325)</f>
        <v>46874</v>
      </c>
      <c r="W325" s="5" t="n">
        <f aca="false">V325-C$3</f>
        <v>9643</v>
      </c>
      <c r="X325" s="124" t="n">
        <f aca="false">VLOOKUP($A325,Table,MATCH(X$4,Curves,0))</f>
        <v>2</v>
      </c>
      <c r="Y325" s="129" t="n">
        <f aca="false">1/(1+CHOOSE(F$3,(X326+($K$3/10000))/2,(X325+($K$3/10000))/2))^(2*W325/365.25)</f>
        <v>1.27337667011952E-016</v>
      </c>
      <c r="Z325" s="5" t="n">
        <f aca="false">IF(AND(mthbeg&lt;=A325,mthend&gt;=A325),1,0)</f>
        <v>0</v>
      </c>
      <c r="AA325" s="5" t="n">
        <f aca="false">U325*Z325</f>
        <v>0</v>
      </c>
      <c r="AC325" s="115" t="n">
        <f aca="false">IF(G318=2,F325*(S325-Q325),F325*(Q325-S325))</f>
        <v>0</v>
      </c>
      <c r="AE325" s="116" t="n">
        <f aca="false">IF($G$3=1,F325*(R325-Q325),F325*(Q325-R325))</f>
        <v>0</v>
      </c>
      <c r="AG325" s="116" t="n">
        <f aca="false">AC325+AE325</f>
        <v>0</v>
      </c>
    </row>
    <row r="326" customFormat="false" ht="12" hidden="false" customHeight="true" outlineLevel="0" collapsed="false">
      <c r="A326" s="120" t="n">
        <f aca="false">EDATE(A325,1)</f>
        <v>46905</v>
      </c>
      <c r="B326" s="121" t="n">
        <v>0</v>
      </c>
      <c r="C326" s="122"/>
      <c r="D326" s="123" t="n">
        <f aca="false">B326+C326</f>
        <v>0</v>
      </c>
      <c r="E326" s="111" t="n">
        <f aca="false">IF(Z326=0,0,IF(AND(Z326=1,$H$3=1),D326*U326,IF($H$3=2,D326,"N/A")))</f>
        <v>0</v>
      </c>
      <c r="F326" s="111" t="n">
        <f aca="false">E326*Y326</f>
        <v>0</v>
      </c>
      <c r="G326" s="124" t="n">
        <f aca="false">VLOOKUP($A326,Table,MATCH(G$4,Curves,0))</f>
        <v>3</v>
      </c>
      <c r="H326" s="125" t="n">
        <f aca="false">G326+$H$7</f>
        <v>3</v>
      </c>
      <c r="I326" s="124" t="n">
        <f aca="false">H326</f>
        <v>3</v>
      </c>
      <c r="J326" s="124" t="n">
        <f aca="false">VLOOKUP($A326,Table,MATCH(J$4,Curves,0))</f>
        <v>4</v>
      </c>
      <c r="K326" s="125" t="n">
        <f aca="false">J326+$K$7</f>
        <v>4</v>
      </c>
      <c r="L326" s="126" t="n">
        <f aca="false">K326</f>
        <v>4</v>
      </c>
      <c r="M326" s="124" t="n">
        <f aca="false">VLOOKUP($A326,Table,MATCH(M$4,Curves,0))</f>
        <v>4</v>
      </c>
      <c r="N326" s="125" t="n">
        <f aca="false">M326+$N$7</f>
        <v>4</v>
      </c>
      <c r="O326" s="126" t="n">
        <f aca="false">IF(B326&gt;0,(1000/B326*0.25)+((B326-1000)/B326*0.12),0)</f>
        <v>0</v>
      </c>
      <c r="P326" s="114"/>
      <c r="Q326" s="126" t="n">
        <f aca="false">M326+J326+G326</f>
        <v>11</v>
      </c>
      <c r="R326" s="126" t="n">
        <f aca="false">N326+K326+H326</f>
        <v>11</v>
      </c>
      <c r="S326" s="126" t="n">
        <f aca="false">O326+L326+I326</f>
        <v>7</v>
      </c>
      <c r="T326" s="127"/>
      <c r="U326" s="5" t="n">
        <f aca="false">A327-A326</f>
        <v>30</v>
      </c>
      <c r="V326" s="128" t="n">
        <f aca="false">CHOOSE(F$3,A327+24,A326)</f>
        <v>46905</v>
      </c>
      <c r="W326" s="5" t="n">
        <f aca="false">V326-C$3</f>
        <v>9674</v>
      </c>
      <c r="X326" s="124" t="n">
        <f aca="false">VLOOKUP($A326,Table,MATCH(X$4,Curves,0))</f>
        <v>2</v>
      </c>
      <c r="Y326" s="129" t="n">
        <f aca="false">1/(1+CHOOSE(F$3,(X327+($K$3/10000))/2,(X326+($K$3/10000))/2))^(2*W326/365.25)</f>
        <v>1.13203023315115E-016</v>
      </c>
      <c r="Z326" s="5" t="n">
        <f aca="false">IF(AND(mthbeg&lt;=A326,mthend&gt;=A326),1,0)</f>
        <v>0</v>
      </c>
      <c r="AA326" s="5" t="n">
        <f aca="false">U326*Z326</f>
        <v>0</v>
      </c>
      <c r="AC326" s="115" t="n">
        <f aca="false">IF(G319=2,F326*(S326-Q326),F326*(Q326-S326))</f>
        <v>0</v>
      </c>
      <c r="AE326" s="116" t="n">
        <f aca="false">IF($G$3=1,F326*(R326-Q326),F326*(Q326-R326))</f>
        <v>0</v>
      </c>
      <c r="AG326" s="116" t="n">
        <f aca="false">AC326+AE326</f>
        <v>0</v>
      </c>
    </row>
    <row r="327" customFormat="false" ht="12" hidden="false" customHeight="true" outlineLevel="0" collapsed="false">
      <c r="A327" s="120" t="n">
        <f aca="false">EDATE(A326,1)</f>
        <v>46935</v>
      </c>
      <c r="B327" s="121" t="n">
        <v>0</v>
      </c>
      <c r="C327" s="122"/>
      <c r="D327" s="123" t="n">
        <f aca="false">B327+C327</f>
        <v>0</v>
      </c>
      <c r="E327" s="111" t="n">
        <f aca="false">IF(Z327=0,0,IF(AND(Z327=1,$H$3=1),D327*U327,IF($H$3=2,D327,"N/A")))</f>
        <v>0</v>
      </c>
      <c r="F327" s="111" t="n">
        <f aca="false">E327*Y327</f>
        <v>0</v>
      </c>
      <c r="G327" s="124" t="n">
        <f aca="false">VLOOKUP($A327,Table,MATCH(G$4,Curves,0))</f>
        <v>3</v>
      </c>
      <c r="H327" s="125" t="n">
        <f aca="false">G327+$H$7</f>
        <v>3</v>
      </c>
      <c r="I327" s="124" t="n">
        <f aca="false">H327</f>
        <v>3</v>
      </c>
      <c r="J327" s="124" t="n">
        <f aca="false">VLOOKUP($A327,Table,MATCH(J$4,Curves,0))</f>
        <v>4</v>
      </c>
      <c r="K327" s="125" t="n">
        <f aca="false">J327+$K$7</f>
        <v>4</v>
      </c>
      <c r="L327" s="126" t="n">
        <f aca="false">K327</f>
        <v>4</v>
      </c>
      <c r="M327" s="124" t="n">
        <f aca="false">VLOOKUP($A327,Table,MATCH(M$4,Curves,0))</f>
        <v>4</v>
      </c>
      <c r="N327" s="125" t="n">
        <f aca="false">M327+$N$7</f>
        <v>4</v>
      </c>
      <c r="O327" s="126" t="n">
        <f aca="false">IF(B327&gt;0,(1000/B327*0.25)+((B327-1000)/B327*0.12),0)</f>
        <v>0</v>
      </c>
      <c r="P327" s="114"/>
      <c r="Q327" s="126" t="n">
        <f aca="false">M327+J327+G327</f>
        <v>11</v>
      </c>
      <c r="R327" s="126" t="n">
        <f aca="false">N327+K327+H327</f>
        <v>11</v>
      </c>
      <c r="S327" s="126" t="n">
        <f aca="false">O327+L327+I327</f>
        <v>7</v>
      </c>
      <c r="T327" s="127"/>
      <c r="U327" s="5" t="n">
        <f aca="false">A328-A327</f>
        <v>31</v>
      </c>
      <c r="V327" s="128" t="n">
        <f aca="false">CHOOSE(F$3,A328+24,A327)</f>
        <v>46935</v>
      </c>
      <c r="W327" s="5" t="n">
        <f aca="false">V327-C$3</f>
        <v>9704</v>
      </c>
      <c r="X327" s="124" t="n">
        <f aca="false">VLOOKUP($A327,Table,MATCH(X$4,Curves,0))</f>
        <v>2</v>
      </c>
      <c r="Y327" s="129" t="n">
        <f aca="false">1/(1+CHOOSE(F$3,(X328+($K$3/10000))/2,(X327+($K$3/10000))/2))^(2*W327/365.25)</f>
        <v>1.0102003463669E-016</v>
      </c>
      <c r="Z327" s="5" t="n">
        <f aca="false">IF(AND(mthbeg&lt;=A327,mthend&gt;=A327),1,0)</f>
        <v>0</v>
      </c>
      <c r="AA327" s="5" t="n">
        <f aca="false">U327*Z327</f>
        <v>0</v>
      </c>
      <c r="AC327" s="115" t="n">
        <f aca="false">IF(G320=2,F327*(S327-Q327),F327*(Q327-S327))</f>
        <v>0</v>
      </c>
      <c r="AE327" s="116" t="n">
        <f aca="false">IF($G$3=1,F327*(R327-Q327),F327*(Q327-R327))</f>
        <v>0</v>
      </c>
      <c r="AG327" s="116" t="n">
        <f aca="false">AC327+AE327</f>
        <v>0</v>
      </c>
    </row>
    <row r="328" customFormat="false" ht="12" hidden="false" customHeight="true" outlineLevel="0" collapsed="false">
      <c r="A328" s="120" t="n">
        <f aca="false">EDATE(A327,1)</f>
        <v>46966</v>
      </c>
      <c r="B328" s="121" t="n">
        <v>0</v>
      </c>
      <c r="C328" s="122"/>
      <c r="D328" s="123" t="n">
        <f aca="false">B328+C328</f>
        <v>0</v>
      </c>
      <c r="E328" s="111" t="n">
        <f aca="false">IF(Z328=0,0,IF(AND(Z328=1,$H$3=1),D328*U328,IF($H$3=2,D328,"N/A")))</f>
        <v>0</v>
      </c>
      <c r="F328" s="111" t="n">
        <f aca="false">E328*Y328</f>
        <v>0</v>
      </c>
      <c r="G328" s="124" t="n">
        <f aca="false">VLOOKUP($A328,Table,MATCH(G$4,Curves,0))</f>
        <v>3</v>
      </c>
      <c r="H328" s="125" t="n">
        <f aca="false">G328+$H$7</f>
        <v>3</v>
      </c>
      <c r="I328" s="124" t="n">
        <f aca="false">H328</f>
        <v>3</v>
      </c>
      <c r="J328" s="124" t="n">
        <f aca="false">VLOOKUP($A328,Table,MATCH(J$4,Curves,0))</f>
        <v>4</v>
      </c>
      <c r="K328" s="125" t="n">
        <f aca="false">J328+$K$7</f>
        <v>4</v>
      </c>
      <c r="L328" s="126" t="n">
        <f aca="false">K328</f>
        <v>4</v>
      </c>
      <c r="M328" s="124" t="n">
        <f aca="false">VLOOKUP($A328,Table,MATCH(M$4,Curves,0))</f>
        <v>4</v>
      </c>
      <c r="N328" s="125" t="n">
        <f aca="false">M328+$N$7</f>
        <v>4</v>
      </c>
      <c r="O328" s="126" t="n">
        <f aca="false">IF(B328&gt;0,(1000/B328*0.25)+((B328-1000)/B328*0.12),0)</f>
        <v>0</v>
      </c>
      <c r="P328" s="114"/>
      <c r="Q328" s="126" t="n">
        <f aca="false">M328+J328+G328</f>
        <v>11</v>
      </c>
      <c r="R328" s="126" t="n">
        <f aca="false">N328+K328+H328</f>
        <v>11</v>
      </c>
      <c r="S328" s="126" t="n">
        <f aca="false">O328+L328+I328</f>
        <v>7</v>
      </c>
      <c r="T328" s="127"/>
      <c r="U328" s="5" t="n">
        <f aca="false">A329-A328</f>
        <v>31</v>
      </c>
      <c r="V328" s="128" t="n">
        <f aca="false">CHOOSE(F$3,A329+24,A328)</f>
        <v>46966</v>
      </c>
      <c r="W328" s="5" t="n">
        <f aca="false">V328-C$3</f>
        <v>9735</v>
      </c>
      <c r="X328" s="124" t="n">
        <f aca="false">VLOOKUP($A328,Table,MATCH(X$4,Curves,0))</f>
        <v>2</v>
      </c>
      <c r="Y328" s="129" t="n">
        <f aca="false">1/(1+CHOOSE(F$3,(X329+($K$3/10000))/2,(X328+($K$3/10000))/2))^(2*W328/365.25)</f>
        <v>8.98066817511082E-017</v>
      </c>
      <c r="Z328" s="5" t="n">
        <f aca="false">IF(AND(mthbeg&lt;=A328,mthend&gt;=A328),1,0)</f>
        <v>0</v>
      </c>
      <c r="AA328" s="5" t="n">
        <f aca="false">U328*Z328</f>
        <v>0</v>
      </c>
      <c r="AC328" s="115" t="n">
        <f aca="false">IF(G321=2,F328*(S328-Q328),F328*(Q328-S328))</f>
        <v>0</v>
      </c>
      <c r="AE328" s="116" t="n">
        <f aca="false">IF($G$3=1,F328*(R328-Q328),F328*(Q328-R328))</f>
        <v>0</v>
      </c>
      <c r="AG328" s="116" t="n">
        <f aca="false">AC328+AE328</f>
        <v>0</v>
      </c>
    </row>
    <row r="329" customFormat="false" ht="12" hidden="false" customHeight="true" outlineLevel="0" collapsed="false">
      <c r="A329" s="120" t="n">
        <f aca="false">EDATE(A328,1)</f>
        <v>46997</v>
      </c>
      <c r="B329" s="121" t="n">
        <v>0</v>
      </c>
      <c r="C329" s="122"/>
      <c r="D329" s="123" t="n">
        <f aca="false">B329+C329</f>
        <v>0</v>
      </c>
      <c r="E329" s="111" t="n">
        <f aca="false">IF(Z329=0,0,IF(AND(Z329=1,$H$3=1),D329*U329,IF($H$3=2,D329,"N/A")))</f>
        <v>0</v>
      </c>
      <c r="F329" s="111" t="n">
        <f aca="false">E329*Y329</f>
        <v>0</v>
      </c>
      <c r="G329" s="124" t="n">
        <f aca="false">VLOOKUP($A329,Table,MATCH(G$4,Curves,0))</f>
        <v>3</v>
      </c>
      <c r="H329" s="125" t="n">
        <f aca="false">G329+$H$7</f>
        <v>3</v>
      </c>
      <c r="I329" s="124" t="n">
        <f aca="false">H329</f>
        <v>3</v>
      </c>
      <c r="J329" s="124" t="n">
        <f aca="false">VLOOKUP($A329,Table,MATCH(J$4,Curves,0))</f>
        <v>4</v>
      </c>
      <c r="K329" s="125" t="n">
        <f aca="false">J329+$K$7</f>
        <v>4</v>
      </c>
      <c r="L329" s="126" t="n">
        <f aca="false">K329</f>
        <v>4</v>
      </c>
      <c r="M329" s="124" t="n">
        <f aca="false">VLOOKUP($A329,Table,MATCH(M$4,Curves,0))</f>
        <v>4</v>
      </c>
      <c r="N329" s="125" t="n">
        <f aca="false">M329+$N$7</f>
        <v>4</v>
      </c>
      <c r="O329" s="126" t="n">
        <f aca="false">IF(B329&gt;0,(1000/B329*0.25)+((B329-1000)/B329*0.12),0)</f>
        <v>0</v>
      </c>
      <c r="P329" s="114"/>
      <c r="Q329" s="126" t="n">
        <f aca="false">M329+J329+G329</f>
        <v>11</v>
      </c>
      <c r="R329" s="126" t="n">
        <f aca="false">N329+K329+H329</f>
        <v>11</v>
      </c>
      <c r="S329" s="126" t="n">
        <f aca="false">O329+L329+I329</f>
        <v>7</v>
      </c>
      <c r="T329" s="127"/>
      <c r="U329" s="5" t="n">
        <f aca="false">A330-A329</f>
        <v>30</v>
      </c>
      <c r="V329" s="128" t="n">
        <f aca="false">CHOOSE(F$3,A330+24,A329)</f>
        <v>46997</v>
      </c>
      <c r="W329" s="5" t="n">
        <f aca="false">V329-C$3</f>
        <v>9766</v>
      </c>
      <c r="X329" s="124" t="n">
        <f aca="false">VLOOKUP($A329,Table,MATCH(X$4,Curves,0))</f>
        <v>2</v>
      </c>
      <c r="Y329" s="129" t="n">
        <f aca="false">1/(1+CHOOSE(F$3,(X330+($K$3/10000))/2,(X329+($K$3/10000))/2))^(2*W329/365.25)</f>
        <v>7.98380253595319E-017</v>
      </c>
      <c r="Z329" s="5" t="n">
        <f aca="false">IF(AND(mthbeg&lt;=A329,mthend&gt;=A329),1,0)</f>
        <v>0</v>
      </c>
      <c r="AA329" s="5" t="n">
        <f aca="false">U329*Z329</f>
        <v>0</v>
      </c>
      <c r="AC329" s="115" t="n">
        <f aca="false">IF(G322=2,F329*(S329-Q329),F329*(Q329-S329))</f>
        <v>0</v>
      </c>
      <c r="AE329" s="116" t="n">
        <f aca="false">IF($G$3=1,F329*(R329-Q329),F329*(Q329-R329))</f>
        <v>0</v>
      </c>
      <c r="AG329" s="116" t="n">
        <f aca="false">AC329+AE329</f>
        <v>0</v>
      </c>
    </row>
    <row r="330" customFormat="false" ht="12" hidden="false" customHeight="true" outlineLevel="0" collapsed="false">
      <c r="A330" s="120" t="n">
        <f aca="false">EDATE(A329,1)</f>
        <v>47027</v>
      </c>
      <c r="B330" s="121" t="n">
        <v>0</v>
      </c>
      <c r="C330" s="122"/>
      <c r="D330" s="123" t="n">
        <f aca="false">B330+C330</f>
        <v>0</v>
      </c>
      <c r="E330" s="111" t="n">
        <f aca="false">IF(Z330=0,0,IF(AND(Z330=1,$H$3=1),D330*U330,IF($H$3=2,D330,"N/A")))</f>
        <v>0</v>
      </c>
      <c r="F330" s="111" t="n">
        <f aca="false">E330*Y330</f>
        <v>0</v>
      </c>
      <c r="G330" s="124" t="n">
        <f aca="false">VLOOKUP($A330,Table,MATCH(G$4,Curves,0))</f>
        <v>3</v>
      </c>
      <c r="H330" s="125" t="n">
        <f aca="false">G330+$H$7</f>
        <v>3</v>
      </c>
      <c r="I330" s="124" t="n">
        <f aca="false">H330</f>
        <v>3</v>
      </c>
      <c r="J330" s="124" t="n">
        <f aca="false">VLOOKUP($A330,Table,MATCH(J$4,Curves,0))</f>
        <v>4</v>
      </c>
      <c r="K330" s="125" t="n">
        <f aca="false">J330+$K$7</f>
        <v>4</v>
      </c>
      <c r="L330" s="126" t="n">
        <f aca="false">K330</f>
        <v>4</v>
      </c>
      <c r="M330" s="124" t="n">
        <f aca="false">VLOOKUP($A330,Table,MATCH(M$4,Curves,0))</f>
        <v>4</v>
      </c>
      <c r="N330" s="125" t="n">
        <f aca="false">M330+$N$7</f>
        <v>4</v>
      </c>
      <c r="O330" s="126" t="n">
        <f aca="false">IF(B330&gt;0,(1000/B330*0.25)+((B330-1000)/B330*0.12),0)</f>
        <v>0</v>
      </c>
      <c r="P330" s="114"/>
      <c r="Q330" s="126" t="n">
        <f aca="false">M330+J330+G330</f>
        <v>11</v>
      </c>
      <c r="R330" s="126" t="n">
        <f aca="false">N330+K330+H330</f>
        <v>11</v>
      </c>
      <c r="S330" s="126" t="n">
        <f aca="false">O330+L330+I330</f>
        <v>7</v>
      </c>
      <c r="T330" s="127"/>
      <c r="U330" s="5" t="n">
        <f aca="false">A331-A330</f>
        <v>31</v>
      </c>
      <c r="V330" s="128" t="n">
        <f aca="false">CHOOSE(F$3,A331+24,A330)</f>
        <v>47027</v>
      </c>
      <c r="W330" s="5" t="n">
        <f aca="false">V330-C$3</f>
        <v>9796</v>
      </c>
      <c r="X330" s="124" t="n">
        <f aca="false">VLOOKUP($A330,Table,MATCH(X$4,Curves,0))</f>
        <v>2</v>
      </c>
      <c r="Y330" s="129" t="n">
        <f aca="false">1/(1+CHOOSE(F$3,(X331+($K$3/10000))/2,(X330+($K$3/10000))/2))^(2*W330/365.25)</f>
        <v>7.1245801136372E-017</v>
      </c>
      <c r="Z330" s="5" t="n">
        <f aca="false">IF(AND(mthbeg&lt;=A330,mthend&gt;=A330),1,0)</f>
        <v>0</v>
      </c>
      <c r="AA330" s="5" t="n">
        <f aca="false">U330*Z330</f>
        <v>0</v>
      </c>
      <c r="AC330" s="115" t="n">
        <f aca="false">IF(G323=2,F330*(S330-Q330),F330*(Q330-S330))</f>
        <v>0</v>
      </c>
      <c r="AE330" s="116" t="n">
        <f aca="false">IF($G$3=1,F330*(R330-Q330),F330*(Q330-R330))</f>
        <v>0</v>
      </c>
      <c r="AG330" s="116" t="n">
        <f aca="false">AC330+AE330</f>
        <v>0</v>
      </c>
    </row>
    <row r="331" customFormat="false" ht="12" hidden="false" customHeight="true" outlineLevel="0" collapsed="false">
      <c r="A331" s="120" t="n">
        <f aca="false">EDATE(A330,1)</f>
        <v>47058</v>
      </c>
      <c r="B331" s="121" t="n">
        <v>0</v>
      </c>
      <c r="C331" s="122"/>
      <c r="D331" s="123" t="n">
        <f aca="false">B331+C331</f>
        <v>0</v>
      </c>
      <c r="E331" s="111" t="n">
        <f aca="false">IF(Z331=0,0,IF(AND(Z331=1,$H$3=1),D331*U331,IF($H$3=2,D331,"N/A")))</f>
        <v>0</v>
      </c>
      <c r="F331" s="111" t="n">
        <f aca="false">E331*Y331</f>
        <v>0</v>
      </c>
      <c r="G331" s="124" t="n">
        <f aca="false">VLOOKUP($A331,Table,MATCH(G$4,Curves,0))</f>
        <v>3</v>
      </c>
      <c r="H331" s="125" t="n">
        <f aca="false">G331+$H$7</f>
        <v>3</v>
      </c>
      <c r="I331" s="124" t="n">
        <f aca="false">H331</f>
        <v>3</v>
      </c>
      <c r="J331" s="124" t="n">
        <f aca="false">VLOOKUP($A331,Table,MATCH(J$4,Curves,0))</f>
        <v>4</v>
      </c>
      <c r="K331" s="125" t="n">
        <f aca="false">J331+$K$7</f>
        <v>4</v>
      </c>
      <c r="L331" s="126" t="n">
        <f aca="false">K331</f>
        <v>4</v>
      </c>
      <c r="M331" s="124" t="n">
        <f aca="false">VLOOKUP($A331,Table,MATCH(M$4,Curves,0))</f>
        <v>4</v>
      </c>
      <c r="N331" s="125" t="n">
        <f aca="false">M331+$N$7</f>
        <v>4</v>
      </c>
      <c r="O331" s="126" t="n">
        <f aca="false">IF(B331&gt;0,(1000/B331*0.25)+((B331-1000)/B331*0.12),0)</f>
        <v>0</v>
      </c>
      <c r="P331" s="114"/>
      <c r="Q331" s="126" t="n">
        <f aca="false">M331+J331+G331</f>
        <v>11</v>
      </c>
      <c r="R331" s="126" t="n">
        <f aca="false">N331+K331+H331</f>
        <v>11</v>
      </c>
      <c r="S331" s="126" t="n">
        <f aca="false">O331+L331+I331</f>
        <v>7</v>
      </c>
      <c r="T331" s="127"/>
      <c r="U331" s="5" t="n">
        <f aca="false">A332-A331</f>
        <v>30</v>
      </c>
      <c r="V331" s="128" t="n">
        <f aca="false">CHOOSE(F$3,A332+24,A331)</f>
        <v>47058</v>
      </c>
      <c r="W331" s="5" t="n">
        <f aca="false">V331-C$3</f>
        <v>9827</v>
      </c>
      <c r="X331" s="124" t="n">
        <f aca="false">VLOOKUP($A331,Table,MATCH(X$4,Curves,0))</f>
        <v>2</v>
      </c>
      <c r="Y331" s="129" t="n">
        <f aca="false">1/(1+CHOOSE(F$3,(X332+($K$3/10000))/2,(X331+($K$3/10000))/2))^(2*W331/365.25)</f>
        <v>6.33374262023177E-017</v>
      </c>
      <c r="Z331" s="5" t="n">
        <f aca="false">IF(AND(mthbeg&lt;=A331,mthend&gt;=A331),1,0)</f>
        <v>0</v>
      </c>
      <c r="AA331" s="5" t="n">
        <f aca="false">U331*Z331</f>
        <v>0</v>
      </c>
      <c r="AC331" s="115" t="n">
        <f aca="false">IF(G324=2,F331*(S331-Q331),F331*(Q331-S331))</f>
        <v>0</v>
      </c>
      <c r="AE331" s="116" t="n">
        <f aca="false">IF($G$3=1,F331*(R331-Q331),F331*(Q331-R331))</f>
        <v>0</v>
      </c>
      <c r="AG331" s="116" t="n">
        <f aca="false">AC331+AE331</f>
        <v>0</v>
      </c>
    </row>
    <row r="332" customFormat="false" ht="12" hidden="false" customHeight="true" outlineLevel="0" collapsed="false">
      <c r="A332" s="120" t="n">
        <f aca="false">EDATE(A331,1)</f>
        <v>47088</v>
      </c>
      <c r="B332" s="121" t="n">
        <v>0</v>
      </c>
      <c r="C332" s="122"/>
      <c r="D332" s="123" t="n">
        <f aca="false">B332+C332</f>
        <v>0</v>
      </c>
      <c r="E332" s="111" t="n">
        <f aca="false">IF(Z332=0,0,IF(AND(Z332=1,$H$3=1),D332*U332,IF($H$3=2,D332,"N/A")))</f>
        <v>0</v>
      </c>
      <c r="F332" s="111" t="n">
        <f aca="false">E332*Y332</f>
        <v>0</v>
      </c>
      <c r="G332" s="124" t="n">
        <f aca="false">VLOOKUP($A332,Table,MATCH(G$4,Curves,0))</f>
        <v>3</v>
      </c>
      <c r="H332" s="125" t="n">
        <f aca="false">G332+$H$7</f>
        <v>3</v>
      </c>
      <c r="I332" s="124" t="n">
        <f aca="false">H332</f>
        <v>3</v>
      </c>
      <c r="J332" s="124" t="n">
        <f aca="false">VLOOKUP($A332,Table,MATCH(J$4,Curves,0))</f>
        <v>4</v>
      </c>
      <c r="K332" s="125" t="n">
        <f aca="false">J332+$K$7</f>
        <v>4</v>
      </c>
      <c r="L332" s="126" t="n">
        <f aca="false">K332</f>
        <v>4</v>
      </c>
      <c r="M332" s="124" t="n">
        <f aca="false">VLOOKUP($A332,Table,MATCH(M$4,Curves,0))</f>
        <v>4</v>
      </c>
      <c r="N332" s="125" t="n">
        <f aca="false">M332+$N$7</f>
        <v>4</v>
      </c>
      <c r="O332" s="126" t="n">
        <f aca="false">IF(B332&gt;0,(1000/B332*0.25)+((B332-1000)/B332*0.12),0)</f>
        <v>0</v>
      </c>
      <c r="P332" s="114"/>
      <c r="Q332" s="126" t="n">
        <f aca="false">M332+J332+G332</f>
        <v>11</v>
      </c>
      <c r="R332" s="126" t="n">
        <f aca="false">N332+K332+H332</f>
        <v>11</v>
      </c>
      <c r="S332" s="126" t="n">
        <f aca="false">O332+L332+I332</f>
        <v>7</v>
      </c>
      <c r="T332" s="127"/>
      <c r="U332" s="5" t="n">
        <f aca="false">A333-A332</f>
        <v>31</v>
      </c>
      <c r="V332" s="128" t="n">
        <f aca="false">CHOOSE(F$3,A333+24,A332)</f>
        <v>47088</v>
      </c>
      <c r="W332" s="5" t="n">
        <f aca="false">V332-C$3</f>
        <v>9857</v>
      </c>
      <c r="X332" s="124" t="n">
        <f aca="false">VLOOKUP($A332,Table,MATCH(X$4,Curves,0))</f>
        <v>2</v>
      </c>
      <c r="Y332" s="129" t="n">
        <f aca="false">1/(1+CHOOSE(F$3,(X333+($K$3/10000))/2,(X332+($K$3/10000))/2))^(2*W332/365.25)</f>
        <v>5.65210080206625E-017</v>
      </c>
      <c r="Z332" s="5" t="n">
        <f aca="false">IF(AND(mthbeg&lt;=A332,mthend&gt;=A332),1,0)</f>
        <v>0</v>
      </c>
      <c r="AA332" s="5" t="n">
        <f aca="false">U332*Z332</f>
        <v>0</v>
      </c>
      <c r="AC332" s="115" t="n">
        <f aca="false">IF(G325=2,F332*(S332-Q332),F332*(Q332-S332))</f>
        <v>0</v>
      </c>
      <c r="AE332" s="116" t="n">
        <f aca="false">IF($G$3=1,F332*(R332-Q332),F332*(Q332-R332))</f>
        <v>0</v>
      </c>
      <c r="AG332" s="116" t="n">
        <f aca="false">AC332+AE332</f>
        <v>0</v>
      </c>
    </row>
    <row r="333" customFormat="false" ht="12" hidden="false" customHeight="true" outlineLevel="0" collapsed="false">
      <c r="A333" s="120" t="n">
        <f aca="false">EDATE(A332,1)</f>
        <v>47119</v>
      </c>
      <c r="B333" s="121" t="n">
        <v>0</v>
      </c>
      <c r="C333" s="122"/>
      <c r="D333" s="123" t="n">
        <f aca="false">B333+C333</f>
        <v>0</v>
      </c>
      <c r="E333" s="111" t="n">
        <f aca="false">IF(Z333=0,0,IF(AND(Z333=1,$H$3=1),D333*U333,IF($H$3=2,D333,"N/A")))</f>
        <v>0</v>
      </c>
      <c r="F333" s="111" t="n">
        <f aca="false">E333*Y333</f>
        <v>0</v>
      </c>
      <c r="G333" s="124" t="n">
        <f aca="false">VLOOKUP($A333,Table,MATCH(G$4,Curves,0))</f>
        <v>3</v>
      </c>
      <c r="H333" s="125" t="n">
        <f aca="false">G333+$H$7</f>
        <v>3</v>
      </c>
      <c r="I333" s="124" t="n">
        <f aca="false">H333</f>
        <v>3</v>
      </c>
      <c r="J333" s="124" t="n">
        <f aca="false">VLOOKUP($A333,Table,MATCH(J$4,Curves,0))</f>
        <v>4</v>
      </c>
      <c r="K333" s="125" t="n">
        <f aca="false">J333+$K$7</f>
        <v>4</v>
      </c>
      <c r="L333" s="126" t="n">
        <f aca="false">K333</f>
        <v>4</v>
      </c>
      <c r="M333" s="124" t="n">
        <f aca="false">VLOOKUP($A333,Table,MATCH(M$4,Curves,0))</f>
        <v>4</v>
      </c>
      <c r="N333" s="125" t="n">
        <f aca="false">M333+$N$7</f>
        <v>4</v>
      </c>
      <c r="O333" s="126" t="n">
        <f aca="false">IF(B333&gt;0,(1000/B333*0.25)+((B333-1000)/B333*0.12),0)</f>
        <v>0</v>
      </c>
      <c r="P333" s="114"/>
      <c r="Q333" s="126" t="n">
        <f aca="false">M333+J333+G333</f>
        <v>11</v>
      </c>
      <c r="R333" s="126" t="n">
        <f aca="false">N333+K333+H333</f>
        <v>11</v>
      </c>
      <c r="S333" s="126" t="n">
        <f aca="false">O333+L333+I333</f>
        <v>7</v>
      </c>
      <c r="T333" s="127"/>
      <c r="U333" s="5" t="n">
        <f aca="false">A334-A333</f>
        <v>31</v>
      </c>
      <c r="V333" s="128" t="n">
        <f aca="false">CHOOSE(F$3,A334+24,A333)</f>
        <v>47119</v>
      </c>
      <c r="W333" s="5" t="n">
        <f aca="false">V333-C$3</f>
        <v>9888</v>
      </c>
      <c r="X333" s="124" t="n">
        <f aca="false">VLOOKUP($A333,Table,MATCH(X$4,Curves,0))</f>
        <v>2</v>
      </c>
      <c r="Y333" s="129" t="n">
        <f aca="false">1/(1+CHOOSE(F$3,(X334+($K$3/10000))/2,(X333+($K$3/10000))/2))^(2*W333/365.25)</f>
        <v>5.0247103931599E-017</v>
      </c>
      <c r="Z333" s="5" t="n">
        <f aca="false">IF(AND(mthbeg&lt;=A333,mthend&gt;=A333),1,0)</f>
        <v>0</v>
      </c>
      <c r="AA333" s="5" t="n">
        <f aca="false">U333*Z333</f>
        <v>0</v>
      </c>
      <c r="AC333" s="115" t="n">
        <f aca="false">IF(G326=2,F333*(S333-Q333),F333*(Q333-S333))</f>
        <v>0</v>
      </c>
      <c r="AE333" s="116" t="n">
        <f aca="false">IF($G$3=1,F333*(R333-Q333),F333*(Q333-R333))</f>
        <v>0</v>
      </c>
      <c r="AG333" s="116" t="n">
        <f aca="false">AC333+AE333</f>
        <v>0</v>
      </c>
    </row>
    <row r="334" customFormat="false" ht="12" hidden="false" customHeight="true" outlineLevel="0" collapsed="false">
      <c r="A334" s="120" t="n">
        <f aca="false">EDATE(A333,1)</f>
        <v>47150</v>
      </c>
      <c r="B334" s="121" t="n">
        <v>0</v>
      </c>
      <c r="C334" s="122"/>
      <c r="D334" s="123" t="n">
        <f aca="false">B334+C334</f>
        <v>0</v>
      </c>
      <c r="E334" s="111" t="n">
        <f aca="false">IF(Z334=0,0,IF(AND(Z334=1,$H$3=1),D334*U334,IF($H$3=2,D334,"N/A")))</f>
        <v>0</v>
      </c>
      <c r="F334" s="111" t="n">
        <f aca="false">E334*Y334</f>
        <v>0</v>
      </c>
      <c r="G334" s="124" t="n">
        <f aca="false">VLOOKUP($A334,Table,MATCH(G$4,Curves,0))</f>
        <v>3</v>
      </c>
      <c r="H334" s="125" t="n">
        <f aca="false">G334+$H$7</f>
        <v>3</v>
      </c>
      <c r="I334" s="124" t="n">
        <f aca="false">H334</f>
        <v>3</v>
      </c>
      <c r="J334" s="124" t="n">
        <f aca="false">VLOOKUP($A334,Table,MATCH(J$4,Curves,0))</f>
        <v>4</v>
      </c>
      <c r="K334" s="125" t="n">
        <f aca="false">J334+$K$7</f>
        <v>4</v>
      </c>
      <c r="L334" s="126" t="n">
        <f aca="false">K334</f>
        <v>4</v>
      </c>
      <c r="M334" s="124" t="n">
        <f aca="false">VLOOKUP($A334,Table,MATCH(M$4,Curves,0))</f>
        <v>4</v>
      </c>
      <c r="N334" s="125" t="n">
        <f aca="false">M334+$N$7</f>
        <v>4</v>
      </c>
      <c r="O334" s="126" t="n">
        <f aca="false">IF(B334&gt;0,(1000/B334*0.25)+((B334-1000)/B334*0.12),0)</f>
        <v>0</v>
      </c>
      <c r="P334" s="114"/>
      <c r="Q334" s="126" t="n">
        <f aca="false">M334+J334+G334</f>
        <v>11</v>
      </c>
      <c r="R334" s="126" t="n">
        <f aca="false">N334+K334+H334</f>
        <v>11</v>
      </c>
      <c r="S334" s="126" t="n">
        <f aca="false">O334+L334+I334</f>
        <v>7</v>
      </c>
      <c r="T334" s="127"/>
      <c r="U334" s="5" t="n">
        <f aca="false">A335-A334</f>
        <v>28</v>
      </c>
      <c r="V334" s="128" t="n">
        <f aca="false">CHOOSE(F$3,A335+24,A334)</f>
        <v>47150</v>
      </c>
      <c r="W334" s="5" t="n">
        <f aca="false">V334-C$3</f>
        <v>9919</v>
      </c>
      <c r="X334" s="124" t="n">
        <f aca="false">VLOOKUP($A334,Table,MATCH(X$4,Curves,0))</f>
        <v>2</v>
      </c>
      <c r="Y334" s="129" t="n">
        <f aca="false">1/(1+CHOOSE(F$3,(X335+($K$3/10000))/2,(X334+($K$3/10000))/2))^(2*W334/365.25)</f>
        <v>4.46696112105772E-017</v>
      </c>
      <c r="Z334" s="5" t="n">
        <f aca="false">IF(AND(mthbeg&lt;=A334,mthend&gt;=A334),1,0)</f>
        <v>0</v>
      </c>
      <c r="AA334" s="5" t="n">
        <f aca="false">U334*Z334</f>
        <v>0</v>
      </c>
      <c r="AC334" s="115" t="n">
        <f aca="false">IF(G327=2,F334*(S334-Q334),F334*(Q334-S334))</f>
        <v>0</v>
      </c>
      <c r="AE334" s="116" t="n">
        <f aca="false">IF($G$3=1,F334*(R334-Q334),F334*(Q334-R334))</f>
        <v>0</v>
      </c>
      <c r="AG334" s="116" t="n">
        <f aca="false">AC334+AE334</f>
        <v>0</v>
      </c>
    </row>
    <row r="335" customFormat="false" ht="12" hidden="false" customHeight="true" outlineLevel="0" collapsed="false">
      <c r="A335" s="120" t="n">
        <f aca="false">EDATE(A334,1)</f>
        <v>47178</v>
      </c>
      <c r="B335" s="121" t="n">
        <v>0</v>
      </c>
      <c r="C335" s="122"/>
      <c r="D335" s="123" t="n">
        <f aca="false">B335+C335</f>
        <v>0</v>
      </c>
      <c r="E335" s="111" t="n">
        <f aca="false">IF(Z335=0,0,IF(AND(Z335=1,$H$3=1),D335*U335,IF($H$3=2,D335,"N/A")))</f>
        <v>0</v>
      </c>
      <c r="F335" s="111" t="n">
        <f aca="false">E335*Y335</f>
        <v>0</v>
      </c>
      <c r="G335" s="124" t="n">
        <f aca="false">VLOOKUP($A335,Table,MATCH(G$4,Curves,0))</f>
        <v>3</v>
      </c>
      <c r="H335" s="125" t="n">
        <f aca="false">G335+$H$7</f>
        <v>3</v>
      </c>
      <c r="I335" s="124" t="n">
        <f aca="false">H335</f>
        <v>3</v>
      </c>
      <c r="J335" s="124" t="n">
        <f aca="false">VLOOKUP($A335,Table,MATCH(J$4,Curves,0))</f>
        <v>4</v>
      </c>
      <c r="K335" s="125" t="n">
        <f aca="false">J335+$K$7</f>
        <v>4</v>
      </c>
      <c r="L335" s="126" t="n">
        <f aca="false">K335</f>
        <v>4</v>
      </c>
      <c r="M335" s="124" t="n">
        <f aca="false">VLOOKUP($A335,Table,MATCH(M$4,Curves,0))</f>
        <v>4</v>
      </c>
      <c r="N335" s="125" t="n">
        <f aca="false">M335+$N$7</f>
        <v>4</v>
      </c>
      <c r="O335" s="126" t="n">
        <f aca="false">IF(B335&gt;0,(1000/B335*0.25)+((B335-1000)/B335*0.12),0)</f>
        <v>0</v>
      </c>
      <c r="P335" s="114"/>
      <c r="Q335" s="126" t="n">
        <f aca="false">M335+J335+G335</f>
        <v>11</v>
      </c>
      <c r="R335" s="126" t="n">
        <f aca="false">N335+K335+H335</f>
        <v>11</v>
      </c>
      <c r="S335" s="126" t="n">
        <f aca="false">O335+L335+I335</f>
        <v>7</v>
      </c>
      <c r="T335" s="127"/>
      <c r="U335" s="5" t="n">
        <f aca="false">A336-A335</f>
        <v>31</v>
      </c>
      <c r="V335" s="128" t="n">
        <f aca="false">CHOOSE(F$3,A336+24,A335)</f>
        <v>47178</v>
      </c>
      <c r="W335" s="5" t="n">
        <f aca="false">V335-C$3</f>
        <v>9947</v>
      </c>
      <c r="X335" s="124" t="n">
        <f aca="false">VLOOKUP($A335,Table,MATCH(X$4,Curves,0))</f>
        <v>2</v>
      </c>
      <c r="Y335" s="129" t="n">
        <f aca="false">1/(1+CHOOSE(F$3,(X336+($K$3/10000))/2,(X335+($K$3/10000))/2))^(2*W335/365.25)</f>
        <v>4.01659793587898E-017</v>
      </c>
      <c r="Z335" s="5" t="n">
        <f aca="false">IF(AND(mthbeg&lt;=A335,mthend&gt;=A335),1,0)</f>
        <v>0</v>
      </c>
      <c r="AA335" s="5" t="n">
        <f aca="false">U335*Z335</f>
        <v>0</v>
      </c>
      <c r="AC335" s="115" t="n">
        <f aca="false">IF(G328=2,F335*(S335-Q335),F335*(Q335-S335))</f>
        <v>0</v>
      </c>
      <c r="AE335" s="116" t="n">
        <f aca="false">IF($G$3=1,F335*(R335-Q335),F335*(Q335-R335))</f>
        <v>0</v>
      </c>
      <c r="AG335" s="116" t="n">
        <f aca="false">AC335+AE335</f>
        <v>0</v>
      </c>
    </row>
    <row r="336" customFormat="false" ht="12" hidden="false" customHeight="true" outlineLevel="0" collapsed="false">
      <c r="A336" s="120" t="n">
        <f aca="false">EDATE(A335,1)</f>
        <v>47209</v>
      </c>
      <c r="B336" s="121" t="n">
        <v>0</v>
      </c>
      <c r="C336" s="122"/>
      <c r="D336" s="123" t="n">
        <f aca="false">B336+C336</f>
        <v>0</v>
      </c>
      <c r="E336" s="111" t="n">
        <f aca="false">IF(Z336=0,0,IF(AND(Z336=1,$H$3=1),D336*U336,IF($H$3=2,D336,"N/A")))</f>
        <v>0</v>
      </c>
      <c r="F336" s="111" t="n">
        <f aca="false">E336*Y336</f>
        <v>0</v>
      </c>
      <c r="G336" s="124" t="n">
        <f aca="false">VLOOKUP($A336,Table,MATCH(G$4,Curves,0))</f>
        <v>3</v>
      </c>
      <c r="H336" s="125" t="n">
        <f aca="false">G336+$H$7</f>
        <v>3</v>
      </c>
      <c r="I336" s="124" t="n">
        <f aca="false">H336</f>
        <v>3</v>
      </c>
      <c r="J336" s="124" t="n">
        <f aca="false">VLOOKUP($A336,Table,MATCH(J$4,Curves,0))</f>
        <v>4</v>
      </c>
      <c r="K336" s="125" t="n">
        <f aca="false">J336+$K$7</f>
        <v>4</v>
      </c>
      <c r="L336" s="126" t="n">
        <f aca="false">K336</f>
        <v>4</v>
      </c>
      <c r="M336" s="124" t="n">
        <f aca="false">VLOOKUP($A336,Table,MATCH(M$4,Curves,0))</f>
        <v>4</v>
      </c>
      <c r="N336" s="125" t="n">
        <f aca="false">M336+$N$7</f>
        <v>4</v>
      </c>
      <c r="O336" s="126" t="n">
        <f aca="false">IF(B336&gt;0,(1000/B336*0.25)+((B336-1000)/B336*0.12),0)</f>
        <v>0</v>
      </c>
      <c r="P336" s="114"/>
      <c r="Q336" s="126" t="n">
        <f aca="false">M336+J336+G336</f>
        <v>11</v>
      </c>
      <c r="R336" s="126" t="n">
        <f aca="false">N336+K336+H336</f>
        <v>11</v>
      </c>
      <c r="S336" s="126" t="n">
        <f aca="false">O336+L336+I336</f>
        <v>7</v>
      </c>
      <c r="T336" s="127"/>
      <c r="U336" s="5" t="n">
        <f aca="false">A337-A336</f>
        <v>30</v>
      </c>
      <c r="V336" s="128" t="n">
        <f aca="false">CHOOSE(F$3,A337+24,A336)</f>
        <v>47209</v>
      </c>
      <c r="W336" s="5" t="n">
        <f aca="false">V336-C$3</f>
        <v>9978</v>
      </c>
      <c r="X336" s="124" t="n">
        <f aca="false">VLOOKUP($A336,Table,MATCH(X$4,Curves,0))</f>
        <v>2</v>
      </c>
      <c r="Y336" s="129" t="n">
        <f aca="false">1/(1+CHOOSE(F$3,(X337+($K$3/10000))/2,(X336+($K$3/10000))/2))^(2*W336/365.25)</f>
        <v>3.57075043427705E-017</v>
      </c>
      <c r="Z336" s="5" t="n">
        <f aca="false">IF(AND(mthbeg&lt;=A336,mthend&gt;=A336),1,0)</f>
        <v>0</v>
      </c>
      <c r="AA336" s="5" t="n">
        <f aca="false">U336*Z336</f>
        <v>0</v>
      </c>
      <c r="AC336" s="115" t="n">
        <f aca="false">IF(G329=2,F336*(S336-Q336),F336*(Q336-S336))</f>
        <v>0</v>
      </c>
      <c r="AE336" s="116" t="n">
        <f aca="false">IF($G$3=1,F336*(R336-Q336),F336*(Q336-R336))</f>
        <v>0</v>
      </c>
      <c r="AG336" s="116" t="n">
        <f aca="false">AC336+AE336</f>
        <v>0</v>
      </c>
    </row>
    <row r="337" customFormat="false" ht="12" hidden="false" customHeight="true" outlineLevel="0" collapsed="false">
      <c r="A337" s="120" t="n">
        <f aca="false">EDATE(A336,1)</f>
        <v>47239</v>
      </c>
      <c r="B337" s="121" t="n">
        <v>0</v>
      </c>
      <c r="C337" s="122"/>
      <c r="D337" s="123" t="n">
        <f aca="false">B337+C337</f>
        <v>0</v>
      </c>
      <c r="E337" s="111" t="n">
        <f aca="false">IF(Z337=0,0,IF(AND(Z337=1,$H$3=1),D337*U337,IF($H$3=2,D337,"N/A")))</f>
        <v>0</v>
      </c>
      <c r="F337" s="111" t="n">
        <f aca="false">E337*Y337</f>
        <v>0</v>
      </c>
      <c r="G337" s="124" t="n">
        <f aca="false">VLOOKUP($A337,Table,MATCH(G$4,Curves,0))</f>
        <v>3</v>
      </c>
      <c r="H337" s="125" t="n">
        <f aca="false">G337+$H$7</f>
        <v>3</v>
      </c>
      <c r="I337" s="124" t="n">
        <f aca="false">H337</f>
        <v>3</v>
      </c>
      <c r="J337" s="124" t="n">
        <f aca="false">VLOOKUP($A337,Table,MATCH(J$4,Curves,0))</f>
        <v>4</v>
      </c>
      <c r="K337" s="125" t="n">
        <f aca="false">J337+$K$7</f>
        <v>4</v>
      </c>
      <c r="L337" s="126" t="n">
        <f aca="false">K337</f>
        <v>4</v>
      </c>
      <c r="M337" s="124" t="n">
        <f aca="false">VLOOKUP($A337,Table,MATCH(M$4,Curves,0))</f>
        <v>4</v>
      </c>
      <c r="N337" s="125" t="n">
        <f aca="false">M337+$N$7</f>
        <v>4</v>
      </c>
      <c r="O337" s="126" t="n">
        <f aca="false">IF(B337&gt;0,(1000/B337*0.25)+((B337-1000)/B337*0.12),0)</f>
        <v>0</v>
      </c>
      <c r="P337" s="114"/>
      <c r="Q337" s="126" t="n">
        <f aca="false">M337+J337+G337</f>
        <v>11</v>
      </c>
      <c r="R337" s="126" t="n">
        <f aca="false">N337+K337+H337</f>
        <v>11</v>
      </c>
      <c r="S337" s="126" t="n">
        <f aca="false">O337+L337+I337</f>
        <v>7</v>
      </c>
      <c r="T337" s="127"/>
      <c r="U337" s="5" t="n">
        <f aca="false">A338-A337</f>
        <v>31</v>
      </c>
      <c r="V337" s="128" t="n">
        <f aca="false">CHOOSE(F$3,A338+24,A337)</f>
        <v>47239</v>
      </c>
      <c r="W337" s="5" t="n">
        <f aca="false">V337-C$3</f>
        <v>10008</v>
      </c>
      <c r="X337" s="124" t="n">
        <f aca="false">VLOOKUP($A337,Table,MATCH(X$4,Curves,0))</f>
        <v>2</v>
      </c>
      <c r="Y337" s="129" t="n">
        <f aca="false">1/(1+CHOOSE(F$3,(X338+($K$3/10000))/2,(X337+($K$3/10000))/2))^(2*W337/365.25)</f>
        <v>3.18646377089715E-017</v>
      </c>
      <c r="Z337" s="5" t="n">
        <f aca="false">IF(AND(mthbeg&lt;=A337,mthend&gt;=A337),1,0)</f>
        <v>0</v>
      </c>
      <c r="AA337" s="5" t="n">
        <f aca="false">U337*Z337</f>
        <v>0</v>
      </c>
      <c r="AC337" s="115" t="n">
        <f aca="false">IF(G330=2,F337*(S337-Q337),F337*(Q337-S337))</f>
        <v>0</v>
      </c>
      <c r="AE337" s="116" t="n">
        <f aca="false">IF($G$3=1,F337*(R337-Q337),F337*(Q337-R337))</f>
        <v>0</v>
      </c>
      <c r="AG337" s="116" t="n">
        <f aca="false">AC337+AE337</f>
        <v>0</v>
      </c>
    </row>
    <row r="338" customFormat="false" ht="12" hidden="false" customHeight="true" outlineLevel="0" collapsed="false">
      <c r="A338" s="120" t="n">
        <f aca="false">EDATE(A337,1)</f>
        <v>47270</v>
      </c>
      <c r="B338" s="121" t="n">
        <v>0</v>
      </c>
      <c r="C338" s="122"/>
      <c r="D338" s="123" t="n">
        <f aca="false">B338+C338</f>
        <v>0</v>
      </c>
      <c r="E338" s="111" t="n">
        <f aca="false">IF(Z338=0,0,IF(AND(Z338=1,$H$3=1),D338*U338,IF($H$3=2,D338,"N/A")))</f>
        <v>0</v>
      </c>
      <c r="F338" s="111" t="n">
        <f aca="false">E338*Y338</f>
        <v>0</v>
      </c>
      <c r="G338" s="124" t="n">
        <f aca="false">VLOOKUP($A338,Table,MATCH(G$4,Curves,0))</f>
        <v>3</v>
      </c>
      <c r="H338" s="125" t="n">
        <f aca="false">G338+$H$7</f>
        <v>3</v>
      </c>
      <c r="I338" s="124" t="n">
        <f aca="false">H338</f>
        <v>3</v>
      </c>
      <c r="J338" s="124" t="n">
        <f aca="false">VLOOKUP($A338,Table,MATCH(J$4,Curves,0))</f>
        <v>4</v>
      </c>
      <c r="K338" s="125" t="n">
        <f aca="false">J338+$K$7</f>
        <v>4</v>
      </c>
      <c r="L338" s="126" t="n">
        <f aca="false">K338</f>
        <v>4</v>
      </c>
      <c r="M338" s="124" t="n">
        <f aca="false">VLOOKUP($A338,Table,MATCH(M$4,Curves,0))</f>
        <v>4</v>
      </c>
      <c r="N338" s="125" t="n">
        <f aca="false">M338+$N$7</f>
        <v>4</v>
      </c>
      <c r="O338" s="126" t="n">
        <f aca="false">IF(B338&gt;0,(1000/B338*0.25)+((B338-1000)/B338*0.12),0)</f>
        <v>0</v>
      </c>
      <c r="P338" s="114"/>
      <c r="Q338" s="126" t="n">
        <f aca="false">M338+J338+G338</f>
        <v>11</v>
      </c>
      <c r="R338" s="126" t="n">
        <f aca="false">N338+K338+H338</f>
        <v>11</v>
      </c>
      <c r="S338" s="126" t="n">
        <f aca="false">O338+L338+I338</f>
        <v>7</v>
      </c>
      <c r="T338" s="127"/>
      <c r="U338" s="5" t="n">
        <f aca="false">A339-A338</f>
        <v>30</v>
      </c>
      <c r="V338" s="128" t="n">
        <f aca="false">CHOOSE(F$3,A339+24,A338)</f>
        <v>47270</v>
      </c>
      <c r="W338" s="5" t="n">
        <f aca="false">V338-C$3</f>
        <v>10039</v>
      </c>
      <c r="X338" s="124" t="n">
        <f aca="false">VLOOKUP($A338,Table,MATCH(X$4,Curves,0))</f>
        <v>2</v>
      </c>
      <c r="Y338" s="129" t="n">
        <f aca="false">1/(1+CHOOSE(F$3,(X339+($K$3/10000))/2,(X338+($K$3/10000))/2))^(2*W338/365.25)</f>
        <v>2.83276222200446E-017</v>
      </c>
      <c r="Z338" s="5" t="n">
        <f aca="false">IF(AND(mthbeg&lt;=A338,mthend&gt;=A338),1,0)</f>
        <v>0</v>
      </c>
      <c r="AA338" s="5" t="n">
        <f aca="false">U338*Z338</f>
        <v>0</v>
      </c>
      <c r="AC338" s="115" t="n">
        <f aca="false">IF(G331=2,F338*(S338-Q338),F338*(Q338-S338))</f>
        <v>0</v>
      </c>
      <c r="AE338" s="116" t="n">
        <f aca="false">IF($G$3=1,F338*(R338-Q338),F338*(Q338-R338))</f>
        <v>0</v>
      </c>
      <c r="AG338" s="116" t="n">
        <f aca="false">AC338+AE338</f>
        <v>0</v>
      </c>
    </row>
    <row r="339" customFormat="false" ht="12" hidden="false" customHeight="true" outlineLevel="0" collapsed="false">
      <c r="A339" s="120" t="n">
        <f aca="false">EDATE(A338,1)</f>
        <v>47300</v>
      </c>
      <c r="B339" s="121" t="n">
        <v>0</v>
      </c>
      <c r="C339" s="122"/>
      <c r="D339" s="123" t="n">
        <f aca="false">B339+C339</f>
        <v>0</v>
      </c>
      <c r="E339" s="111" t="n">
        <f aca="false">IF(Z339=0,0,IF(AND(Z339=1,$H$3=1),D339*U339,IF($H$3=2,D339,"N/A")))</f>
        <v>0</v>
      </c>
      <c r="F339" s="111" t="n">
        <f aca="false">E339*Y339</f>
        <v>0</v>
      </c>
      <c r="G339" s="124" t="n">
        <f aca="false">VLOOKUP($A339,Table,MATCH(G$4,Curves,0))</f>
        <v>3</v>
      </c>
      <c r="H339" s="125" t="n">
        <f aca="false">G339+$H$7</f>
        <v>3</v>
      </c>
      <c r="I339" s="124" t="n">
        <f aca="false">H339</f>
        <v>3</v>
      </c>
      <c r="J339" s="124" t="n">
        <f aca="false">VLOOKUP($A339,Table,MATCH(J$4,Curves,0))</f>
        <v>4</v>
      </c>
      <c r="K339" s="125" t="n">
        <f aca="false">J339+$K$7</f>
        <v>4</v>
      </c>
      <c r="L339" s="126" t="n">
        <f aca="false">K339</f>
        <v>4</v>
      </c>
      <c r="M339" s="124" t="n">
        <f aca="false">VLOOKUP($A339,Table,MATCH(M$4,Curves,0))</f>
        <v>4</v>
      </c>
      <c r="N339" s="125" t="n">
        <f aca="false">M339+$N$7</f>
        <v>4</v>
      </c>
      <c r="O339" s="126" t="n">
        <f aca="false">IF(B339&gt;0,(1000/B339*0.25)+((B339-1000)/B339*0.12),0)</f>
        <v>0</v>
      </c>
      <c r="P339" s="114"/>
      <c r="Q339" s="126" t="n">
        <f aca="false">M339+J339+G339</f>
        <v>11</v>
      </c>
      <c r="R339" s="126" t="n">
        <f aca="false">N339+K339+H339</f>
        <v>11</v>
      </c>
      <c r="S339" s="126" t="n">
        <f aca="false">O339+L339+I339</f>
        <v>7</v>
      </c>
      <c r="T339" s="127"/>
      <c r="U339" s="5" t="n">
        <f aca="false">A340-A339</f>
        <v>31</v>
      </c>
      <c r="V339" s="128" t="n">
        <f aca="false">CHOOSE(F$3,A340+24,A339)</f>
        <v>47300</v>
      </c>
      <c r="W339" s="5" t="n">
        <f aca="false">V339-C$3</f>
        <v>10069</v>
      </c>
      <c r="X339" s="124" t="n">
        <f aca="false">VLOOKUP($A339,Table,MATCH(X$4,Curves,0))</f>
        <v>2</v>
      </c>
      <c r="Y339" s="129" t="n">
        <f aca="false">1/(1+CHOOSE(F$3,(X340+($K$3/10000))/2,(X339+($K$3/10000))/2))^(2*W339/365.25)</f>
        <v>2.52789836705877E-017</v>
      </c>
      <c r="Z339" s="5" t="n">
        <f aca="false">IF(AND(mthbeg&lt;=A339,mthend&gt;=A339),1,0)</f>
        <v>0</v>
      </c>
      <c r="AA339" s="5" t="n">
        <f aca="false">U339*Z339</f>
        <v>0</v>
      </c>
      <c r="AC339" s="115" t="n">
        <f aca="false">IF(G332=2,F339*(S339-Q339),F339*(Q339-S339))</f>
        <v>0</v>
      </c>
      <c r="AE339" s="116" t="n">
        <f aca="false">IF($G$3=1,F339*(R339-Q339),F339*(Q339-R339))</f>
        <v>0</v>
      </c>
      <c r="AG339" s="116" t="n">
        <f aca="false">AC339+AE339</f>
        <v>0</v>
      </c>
    </row>
    <row r="340" customFormat="false" ht="12" hidden="false" customHeight="true" outlineLevel="0" collapsed="false">
      <c r="A340" s="120" t="n">
        <f aca="false">EDATE(A339,1)</f>
        <v>47331</v>
      </c>
      <c r="B340" s="121" t="n">
        <v>0</v>
      </c>
      <c r="C340" s="122"/>
      <c r="D340" s="123" t="n">
        <f aca="false">B340+C340</f>
        <v>0</v>
      </c>
      <c r="E340" s="111" t="n">
        <f aca="false">IF(Z340=0,0,IF(AND(Z340=1,$H$3=1),D340*U340,IF($H$3=2,D340,"N/A")))</f>
        <v>0</v>
      </c>
      <c r="F340" s="111" t="n">
        <f aca="false">E340*Y340</f>
        <v>0</v>
      </c>
      <c r="G340" s="124" t="n">
        <f aca="false">VLOOKUP($A340,Table,MATCH(G$4,Curves,0))</f>
        <v>3</v>
      </c>
      <c r="H340" s="125" t="n">
        <f aca="false">G340+$H$7</f>
        <v>3</v>
      </c>
      <c r="I340" s="124" t="n">
        <f aca="false">H340</f>
        <v>3</v>
      </c>
      <c r="J340" s="124" t="n">
        <f aca="false">VLOOKUP($A340,Table,MATCH(J$4,Curves,0))</f>
        <v>4</v>
      </c>
      <c r="K340" s="125" t="n">
        <f aca="false">J340+$K$7</f>
        <v>4</v>
      </c>
      <c r="L340" s="126" t="n">
        <f aca="false">K340</f>
        <v>4</v>
      </c>
      <c r="M340" s="124" t="n">
        <f aca="false">VLOOKUP($A340,Table,MATCH(M$4,Curves,0))</f>
        <v>4</v>
      </c>
      <c r="N340" s="125" t="n">
        <f aca="false">M340+$N$7</f>
        <v>4</v>
      </c>
      <c r="O340" s="126" t="n">
        <f aca="false">IF(B340&gt;0,(1000/B340*0.25)+((B340-1000)/B340*0.12),0)</f>
        <v>0</v>
      </c>
      <c r="P340" s="114"/>
      <c r="Q340" s="126" t="n">
        <f aca="false">M340+J340+G340</f>
        <v>11</v>
      </c>
      <c r="R340" s="126" t="n">
        <f aca="false">N340+K340+H340</f>
        <v>11</v>
      </c>
      <c r="S340" s="126" t="n">
        <f aca="false">O340+L340+I340</f>
        <v>7</v>
      </c>
      <c r="T340" s="127"/>
      <c r="U340" s="5" t="n">
        <f aca="false">A341-A340</f>
        <v>31</v>
      </c>
      <c r="V340" s="128" t="n">
        <f aca="false">CHOOSE(F$3,A341+24,A340)</f>
        <v>47331</v>
      </c>
      <c r="W340" s="5" t="n">
        <f aca="false">V340-C$3</f>
        <v>10100</v>
      </c>
      <c r="X340" s="124" t="n">
        <f aca="false">VLOOKUP($A340,Table,MATCH(X$4,Curves,0))</f>
        <v>2</v>
      </c>
      <c r="Y340" s="129" t="n">
        <f aca="false">1/(1+CHOOSE(F$3,(X341+($K$3/10000))/2,(X340+($K$3/10000))/2))^(2*W340/365.25)</f>
        <v>2.24729841923E-017</v>
      </c>
      <c r="Z340" s="5" t="n">
        <f aca="false">IF(AND(mthbeg&lt;=A340,mthend&gt;=A340),1,0)</f>
        <v>0</v>
      </c>
      <c r="AA340" s="5" t="n">
        <f aca="false">U340*Z340</f>
        <v>0</v>
      </c>
      <c r="AC340" s="115" t="n">
        <f aca="false">IF(G333=2,F340*(S340-Q340),F340*(Q340-S340))</f>
        <v>0</v>
      </c>
      <c r="AE340" s="116" t="n">
        <f aca="false">IF($G$3=1,F340*(R340-Q340),F340*(Q340-R340))</f>
        <v>0</v>
      </c>
      <c r="AG340" s="116" t="n">
        <f aca="false">AC340+AE340</f>
        <v>0</v>
      </c>
    </row>
    <row r="341" customFormat="false" ht="12" hidden="false" customHeight="true" outlineLevel="0" collapsed="false">
      <c r="A341" s="120" t="n">
        <f aca="false">EDATE(A340,1)</f>
        <v>47362</v>
      </c>
      <c r="B341" s="121" t="n">
        <v>0</v>
      </c>
      <c r="C341" s="122"/>
      <c r="D341" s="123" t="n">
        <f aca="false">B341+C341</f>
        <v>0</v>
      </c>
      <c r="E341" s="111" t="n">
        <f aca="false">IF(Z341=0,0,IF(AND(Z341=1,$H$3=1),D341*U341,IF($H$3=2,D341,"N/A")))</f>
        <v>0</v>
      </c>
      <c r="F341" s="111" t="n">
        <f aca="false">E341*Y341</f>
        <v>0</v>
      </c>
      <c r="G341" s="124" t="n">
        <f aca="false">VLOOKUP($A341,Table,MATCH(G$4,Curves,0))</f>
        <v>3</v>
      </c>
      <c r="H341" s="125" t="n">
        <f aca="false">G341+$H$7</f>
        <v>3</v>
      </c>
      <c r="I341" s="124" t="n">
        <f aca="false">H341</f>
        <v>3</v>
      </c>
      <c r="J341" s="124" t="n">
        <f aca="false">VLOOKUP($A341,Table,MATCH(J$4,Curves,0))</f>
        <v>4</v>
      </c>
      <c r="K341" s="125" t="n">
        <f aca="false">J341+$K$7</f>
        <v>4</v>
      </c>
      <c r="L341" s="126" t="n">
        <f aca="false">K341</f>
        <v>4</v>
      </c>
      <c r="M341" s="124" t="n">
        <f aca="false">VLOOKUP($A341,Table,MATCH(M$4,Curves,0))</f>
        <v>4</v>
      </c>
      <c r="N341" s="125" t="n">
        <f aca="false">M341+$N$7</f>
        <v>4</v>
      </c>
      <c r="O341" s="126" t="n">
        <f aca="false">IF(B341&gt;0,(1000/B341*0.25)+((B341-1000)/B341*0.12),0)</f>
        <v>0</v>
      </c>
      <c r="P341" s="114"/>
      <c r="Q341" s="126" t="n">
        <f aca="false">M341+J341+G341</f>
        <v>11</v>
      </c>
      <c r="R341" s="126" t="n">
        <f aca="false">N341+K341+H341</f>
        <v>11</v>
      </c>
      <c r="S341" s="126" t="n">
        <f aca="false">O341+L341+I341</f>
        <v>7</v>
      </c>
      <c r="T341" s="127"/>
      <c r="U341" s="5" t="n">
        <f aca="false">A342-A341</f>
        <v>30</v>
      </c>
      <c r="V341" s="128" t="n">
        <f aca="false">CHOOSE(F$3,A342+24,A341)</f>
        <v>47362</v>
      </c>
      <c r="W341" s="5" t="n">
        <f aca="false">V341-C$3</f>
        <v>10131</v>
      </c>
      <c r="X341" s="124" t="n">
        <f aca="false">VLOOKUP($A341,Table,MATCH(X$4,Curves,0))</f>
        <v>2</v>
      </c>
      <c r="Y341" s="129" t="n">
        <f aca="false">1/(1+CHOOSE(F$3,(X342+($K$3/10000))/2,(X341+($K$3/10000))/2))^(2*W341/365.25)</f>
        <v>1.99784542404282E-017</v>
      </c>
      <c r="Z341" s="5" t="n">
        <f aca="false">IF(AND(mthbeg&lt;=A341,mthend&gt;=A341),1,0)</f>
        <v>0</v>
      </c>
      <c r="AA341" s="5" t="n">
        <f aca="false">U341*Z341</f>
        <v>0</v>
      </c>
      <c r="AC341" s="115" t="n">
        <f aca="false">IF(G334=2,F341*(S341-Q341),F341*(Q341-S341))</f>
        <v>0</v>
      </c>
      <c r="AE341" s="116" t="n">
        <f aca="false">IF($G$3=1,F341*(R341-Q341),F341*(Q341-R341))</f>
        <v>0</v>
      </c>
      <c r="AG341" s="116" t="n">
        <f aca="false">AC341+AE341</f>
        <v>0</v>
      </c>
    </row>
    <row r="342" customFormat="false" ht="12" hidden="false" customHeight="true" outlineLevel="0" collapsed="false">
      <c r="A342" s="120" t="n">
        <f aca="false">EDATE(A341,1)</f>
        <v>47392</v>
      </c>
      <c r="B342" s="121" t="n">
        <v>0</v>
      </c>
      <c r="C342" s="122"/>
      <c r="D342" s="123" t="n">
        <f aca="false">B342+C342</f>
        <v>0</v>
      </c>
      <c r="E342" s="111" t="n">
        <f aca="false">IF(Z342=0,0,IF(AND(Z342=1,$H$3=1),D342*U342,IF($H$3=2,D342,"N/A")))</f>
        <v>0</v>
      </c>
      <c r="F342" s="111" t="n">
        <f aca="false">E342*Y342</f>
        <v>0</v>
      </c>
      <c r="G342" s="124" t="n">
        <f aca="false">VLOOKUP($A342,Table,MATCH(G$4,Curves,0))</f>
        <v>3</v>
      </c>
      <c r="H342" s="125" t="n">
        <f aca="false">G342+$H$7</f>
        <v>3</v>
      </c>
      <c r="I342" s="124" t="n">
        <f aca="false">H342</f>
        <v>3</v>
      </c>
      <c r="J342" s="124" t="n">
        <f aca="false">VLOOKUP($A342,Table,MATCH(J$4,Curves,0))</f>
        <v>4</v>
      </c>
      <c r="K342" s="125" t="n">
        <f aca="false">J342+$K$7</f>
        <v>4</v>
      </c>
      <c r="L342" s="126" t="n">
        <f aca="false">K342</f>
        <v>4</v>
      </c>
      <c r="M342" s="124" t="n">
        <f aca="false">VLOOKUP($A342,Table,MATCH(M$4,Curves,0))</f>
        <v>4</v>
      </c>
      <c r="N342" s="125" t="n">
        <f aca="false">M342+$N$7</f>
        <v>4</v>
      </c>
      <c r="O342" s="126" t="n">
        <f aca="false">IF(B342&gt;0,(1000/B342*0.25)+((B342-1000)/B342*0.12),0)</f>
        <v>0</v>
      </c>
      <c r="P342" s="114"/>
      <c r="Q342" s="126" t="n">
        <f aca="false">M342+J342+G342</f>
        <v>11</v>
      </c>
      <c r="R342" s="126" t="n">
        <f aca="false">N342+K342+H342</f>
        <v>11</v>
      </c>
      <c r="S342" s="126" t="n">
        <f aca="false">O342+L342+I342</f>
        <v>7</v>
      </c>
      <c r="T342" s="127"/>
      <c r="U342" s="5" t="n">
        <f aca="false">A343-A342</f>
        <v>31</v>
      </c>
      <c r="V342" s="128" t="n">
        <f aca="false">CHOOSE(F$3,A343+24,A342)</f>
        <v>47392</v>
      </c>
      <c r="W342" s="5" t="n">
        <f aca="false">V342-C$3</f>
        <v>10161</v>
      </c>
      <c r="X342" s="124" t="n">
        <f aca="false">VLOOKUP($A342,Table,MATCH(X$4,Curves,0))</f>
        <v>2</v>
      </c>
      <c r="Y342" s="129" t="n">
        <f aca="false">1/(1+CHOOSE(F$3,(X343+($K$3/10000))/2,(X342+($K$3/10000))/2))^(2*W342/365.25)</f>
        <v>1.78283589983067E-017</v>
      </c>
      <c r="Z342" s="5" t="n">
        <f aca="false">IF(AND(mthbeg&lt;=A342,mthend&gt;=A342),1,0)</f>
        <v>0</v>
      </c>
      <c r="AA342" s="5" t="n">
        <f aca="false">U342*Z342</f>
        <v>0</v>
      </c>
      <c r="AC342" s="115" t="n">
        <f aca="false">IF(G335=2,F342*(S342-Q342),F342*(Q342-S342))</f>
        <v>0</v>
      </c>
      <c r="AE342" s="116" t="n">
        <f aca="false">IF($G$3=1,F342*(R342-Q342),F342*(Q342-R342))</f>
        <v>0</v>
      </c>
      <c r="AG342" s="116" t="n">
        <f aca="false">AC342+AE342</f>
        <v>0</v>
      </c>
    </row>
    <row r="343" customFormat="false" ht="12" hidden="false" customHeight="true" outlineLevel="0" collapsed="false">
      <c r="A343" s="120" t="n">
        <f aca="false">EDATE(A342,1)</f>
        <v>47423</v>
      </c>
      <c r="B343" s="121" t="n">
        <v>0</v>
      </c>
      <c r="C343" s="122"/>
      <c r="D343" s="123" t="n">
        <f aca="false">B343+C343</f>
        <v>0</v>
      </c>
      <c r="E343" s="111" t="n">
        <f aca="false">IF(Z343=0,0,IF(AND(Z343=1,$H$3=1),D343*U343,IF($H$3=2,D343,"N/A")))</f>
        <v>0</v>
      </c>
      <c r="F343" s="111" t="n">
        <f aca="false">E343*Y343</f>
        <v>0</v>
      </c>
      <c r="G343" s="124" t="n">
        <f aca="false">VLOOKUP($A343,Table,MATCH(G$4,Curves,0))</f>
        <v>3</v>
      </c>
      <c r="H343" s="125" t="n">
        <f aca="false">G343+$H$7</f>
        <v>3</v>
      </c>
      <c r="I343" s="124" t="n">
        <f aca="false">H343</f>
        <v>3</v>
      </c>
      <c r="J343" s="124" t="n">
        <f aca="false">VLOOKUP($A343,Table,MATCH(J$4,Curves,0))</f>
        <v>4</v>
      </c>
      <c r="K343" s="125" t="n">
        <f aca="false">J343+$K$7</f>
        <v>4</v>
      </c>
      <c r="L343" s="126" t="n">
        <f aca="false">K343</f>
        <v>4</v>
      </c>
      <c r="M343" s="124" t="n">
        <f aca="false">VLOOKUP($A343,Table,MATCH(M$4,Curves,0))</f>
        <v>4</v>
      </c>
      <c r="N343" s="125" t="n">
        <f aca="false">M343+$N$7</f>
        <v>4</v>
      </c>
      <c r="O343" s="126" t="n">
        <f aca="false">IF(B343&gt;0,(1000/B343*0.25)+((B343-1000)/B343*0.12),0)</f>
        <v>0</v>
      </c>
      <c r="P343" s="114"/>
      <c r="Q343" s="126" t="n">
        <f aca="false">M343+J343+G343</f>
        <v>11</v>
      </c>
      <c r="R343" s="126" t="n">
        <f aca="false">N343+K343+H343</f>
        <v>11</v>
      </c>
      <c r="S343" s="126" t="n">
        <f aca="false">O343+L343+I343</f>
        <v>7</v>
      </c>
      <c r="T343" s="127"/>
      <c r="U343" s="5" t="n">
        <f aca="false">A344-A343</f>
        <v>30</v>
      </c>
      <c r="V343" s="128" t="n">
        <f aca="false">CHOOSE(F$3,A344+24,A343)</f>
        <v>47423</v>
      </c>
      <c r="W343" s="5" t="n">
        <f aca="false">V343-C$3</f>
        <v>10192</v>
      </c>
      <c r="X343" s="124" t="n">
        <f aca="false">VLOOKUP($A343,Table,MATCH(X$4,Curves,0))</f>
        <v>2</v>
      </c>
      <c r="Y343" s="129" t="n">
        <f aca="false">1/(1+CHOOSE(F$3,(X344+($K$3/10000))/2,(X343+($K$3/10000))/2))^(2*W343/365.25)</f>
        <v>1.58493883759166E-017</v>
      </c>
      <c r="Z343" s="5" t="n">
        <f aca="false">IF(AND(mthbeg&lt;=A343,mthend&gt;=A343),1,0)</f>
        <v>0</v>
      </c>
      <c r="AA343" s="5" t="n">
        <f aca="false">U343*Z343</f>
        <v>0</v>
      </c>
      <c r="AC343" s="115" t="n">
        <f aca="false">IF(G336=2,F343*(S343-Q343),F343*(Q343-S343))</f>
        <v>0</v>
      </c>
      <c r="AE343" s="116" t="n">
        <f aca="false">IF($G$3=1,F343*(R343-Q343),F343*(Q343-R343))</f>
        <v>0</v>
      </c>
      <c r="AG343" s="116" t="n">
        <f aca="false">AC343+AE343</f>
        <v>0</v>
      </c>
    </row>
    <row r="344" customFormat="false" ht="12" hidden="false" customHeight="true" outlineLevel="0" collapsed="false">
      <c r="A344" s="120" t="n">
        <f aca="false">EDATE(A343,1)</f>
        <v>47453</v>
      </c>
      <c r="B344" s="121" t="n">
        <v>0</v>
      </c>
      <c r="C344" s="122"/>
      <c r="D344" s="123" t="n">
        <f aca="false">B344+C344</f>
        <v>0</v>
      </c>
      <c r="E344" s="111" t="n">
        <f aca="false">IF(Z344=0,0,IF(AND(Z344=1,$H$3=1),D344*U344,IF($H$3=2,D344,"N/A")))</f>
        <v>0</v>
      </c>
      <c r="F344" s="111" t="n">
        <f aca="false">E344*Y344</f>
        <v>0</v>
      </c>
      <c r="G344" s="124" t="n">
        <f aca="false">VLOOKUP($A344,Table,MATCH(G$4,Curves,0))</f>
        <v>3</v>
      </c>
      <c r="H344" s="125" t="n">
        <f aca="false">G344+$H$7</f>
        <v>3</v>
      </c>
      <c r="I344" s="124" t="n">
        <f aca="false">H344</f>
        <v>3</v>
      </c>
      <c r="J344" s="124" t="n">
        <f aca="false">VLOOKUP($A344,Table,MATCH(J$4,Curves,0))</f>
        <v>4</v>
      </c>
      <c r="K344" s="125" t="n">
        <f aca="false">J344+$K$7</f>
        <v>4</v>
      </c>
      <c r="L344" s="126" t="n">
        <f aca="false">K344</f>
        <v>4</v>
      </c>
      <c r="M344" s="124" t="n">
        <f aca="false">VLOOKUP($A344,Table,MATCH(M$4,Curves,0))</f>
        <v>4</v>
      </c>
      <c r="N344" s="125" t="n">
        <f aca="false">M344+$N$7</f>
        <v>4</v>
      </c>
      <c r="O344" s="126" t="n">
        <f aca="false">IF(B344&gt;0,(1000/B344*0.25)+((B344-1000)/B344*0.12),0)</f>
        <v>0</v>
      </c>
      <c r="P344" s="114"/>
      <c r="Q344" s="126" t="n">
        <f aca="false">M344+J344+G344</f>
        <v>11</v>
      </c>
      <c r="R344" s="126" t="n">
        <f aca="false">N344+K344+H344</f>
        <v>11</v>
      </c>
      <c r="S344" s="126" t="n">
        <f aca="false">O344+L344+I344</f>
        <v>7</v>
      </c>
      <c r="T344" s="127"/>
      <c r="U344" s="5" t="n">
        <f aca="false">A345-A344</f>
        <v>31</v>
      </c>
      <c r="V344" s="128" t="n">
        <f aca="false">CHOOSE(F$3,A345+24,A344)</f>
        <v>47453</v>
      </c>
      <c r="W344" s="5" t="n">
        <f aca="false">V344-C$3</f>
        <v>10222</v>
      </c>
      <c r="X344" s="124" t="n">
        <f aca="false">VLOOKUP($A344,Table,MATCH(X$4,Curves,0))</f>
        <v>2</v>
      </c>
      <c r="Y344" s="129" t="n">
        <f aca="false">1/(1+CHOOSE(F$3,(X345+($K$3/10000))/2,(X344+($K$3/10000))/2))^(2*W344/365.25)</f>
        <v>1.41436660949288E-017</v>
      </c>
      <c r="Z344" s="5" t="n">
        <f aca="false">IF(AND(mthbeg&lt;=A344,mthend&gt;=A344),1,0)</f>
        <v>0</v>
      </c>
      <c r="AA344" s="5" t="n">
        <f aca="false">U344*Z344</f>
        <v>0</v>
      </c>
      <c r="AC344" s="115" t="n">
        <f aca="false">IF(G337=2,F344*(S344-Q344),F344*(Q344-S344))</f>
        <v>0</v>
      </c>
      <c r="AE344" s="116" t="n">
        <f aca="false">IF($G$3=1,F344*(R344-Q344),F344*(Q344-R344))</f>
        <v>0</v>
      </c>
      <c r="AG344" s="116" t="n">
        <f aca="false">AC344+AE344</f>
        <v>0</v>
      </c>
    </row>
    <row r="345" customFormat="false" ht="12" hidden="false" customHeight="true" outlineLevel="0" collapsed="false">
      <c r="A345" s="120" t="n">
        <f aca="false">EDATE(A344,1)</f>
        <v>47484</v>
      </c>
      <c r="B345" s="121" t="n">
        <v>0</v>
      </c>
      <c r="C345" s="122"/>
      <c r="D345" s="123" t="n">
        <f aca="false">B345+C345</f>
        <v>0</v>
      </c>
      <c r="E345" s="111" t="n">
        <f aca="false">IF(Z345=0,0,IF(AND(Z345=1,$H$3=1),D345*U345,IF($H$3=2,D345,"N/A")))</f>
        <v>0</v>
      </c>
      <c r="F345" s="111" t="n">
        <f aca="false">E345*Y345</f>
        <v>0</v>
      </c>
      <c r="G345" s="124" t="n">
        <f aca="false">VLOOKUP($A345,Table,MATCH(G$4,Curves,0))</f>
        <v>3</v>
      </c>
      <c r="H345" s="125" t="n">
        <f aca="false">G345+$H$7</f>
        <v>3</v>
      </c>
      <c r="I345" s="124" t="n">
        <f aca="false">H345</f>
        <v>3</v>
      </c>
      <c r="J345" s="124" t="n">
        <f aca="false">VLOOKUP($A345,Table,MATCH(J$4,Curves,0))</f>
        <v>4</v>
      </c>
      <c r="K345" s="125" t="n">
        <f aca="false">J345+$K$7</f>
        <v>4</v>
      </c>
      <c r="L345" s="126" t="n">
        <f aca="false">K345</f>
        <v>4</v>
      </c>
      <c r="M345" s="124" t="n">
        <f aca="false">VLOOKUP($A345,Table,MATCH(M$4,Curves,0))</f>
        <v>4</v>
      </c>
      <c r="N345" s="125" t="n">
        <f aca="false">M345+$N$7</f>
        <v>4</v>
      </c>
      <c r="O345" s="126" t="n">
        <f aca="false">IF(B345&gt;0,(1000/B345*0.25)+((B345-1000)/B345*0.12),0)</f>
        <v>0</v>
      </c>
      <c r="P345" s="114"/>
      <c r="Q345" s="126" t="n">
        <f aca="false">M345+J345+G345</f>
        <v>11</v>
      </c>
      <c r="R345" s="126" t="n">
        <f aca="false">N345+K345+H345</f>
        <v>11</v>
      </c>
      <c r="S345" s="126" t="n">
        <f aca="false">O345+L345+I345</f>
        <v>7</v>
      </c>
      <c r="T345" s="127"/>
      <c r="U345" s="5" t="n">
        <f aca="false">A346-A345</f>
        <v>31</v>
      </c>
      <c r="V345" s="128" t="n">
        <f aca="false">CHOOSE(F$3,A346+24,A345)</f>
        <v>47484</v>
      </c>
      <c r="W345" s="5" t="n">
        <f aca="false">V345-C$3</f>
        <v>10253</v>
      </c>
      <c r="X345" s="124" t="n">
        <f aca="false">VLOOKUP($A345,Table,MATCH(X$4,Curves,0))</f>
        <v>2</v>
      </c>
      <c r="Y345" s="129" t="n">
        <f aca="false">1/(1+CHOOSE(F$3,(X346+($K$3/10000))/2,(X345+($K$3/10000))/2))^(2*W345/365.25)</f>
        <v>1.25737010915643E-017</v>
      </c>
      <c r="Z345" s="5" t="n">
        <f aca="false">IF(AND(mthbeg&lt;=A345,mthend&gt;=A345),1,0)</f>
        <v>0</v>
      </c>
      <c r="AA345" s="5" t="n">
        <f aca="false">U345*Z345</f>
        <v>0</v>
      </c>
      <c r="AC345" s="115" t="n">
        <f aca="false">IF(G338=2,F345*(S345-Q345),F345*(Q345-S345))</f>
        <v>0</v>
      </c>
      <c r="AE345" s="116" t="n">
        <f aca="false">IF($G$3=1,F345*(R345-Q345),F345*(Q345-R345))</f>
        <v>0</v>
      </c>
      <c r="AG345" s="116" t="n">
        <f aca="false">AC345+AE345</f>
        <v>0</v>
      </c>
    </row>
    <row r="346" customFormat="false" ht="12" hidden="false" customHeight="true" outlineLevel="0" collapsed="false">
      <c r="A346" s="120" t="n">
        <f aca="false">EDATE(A345,1)</f>
        <v>47515</v>
      </c>
      <c r="B346" s="121" t="n">
        <v>0</v>
      </c>
      <c r="C346" s="122"/>
      <c r="D346" s="123" t="n">
        <f aca="false">B346+C346</f>
        <v>0</v>
      </c>
      <c r="E346" s="111" t="n">
        <f aca="false">IF(Z346=0,0,IF(AND(Z346=1,$H$3=1),D346*U346,IF($H$3=2,D346,"N/A")))</f>
        <v>0</v>
      </c>
      <c r="F346" s="111" t="n">
        <f aca="false">E346*Y346</f>
        <v>0</v>
      </c>
      <c r="G346" s="124" t="n">
        <f aca="false">VLOOKUP($A346,Table,MATCH(G$4,Curves,0))</f>
        <v>3</v>
      </c>
      <c r="H346" s="125" t="n">
        <f aca="false">G346+$H$7</f>
        <v>3</v>
      </c>
      <c r="I346" s="124" t="n">
        <f aca="false">H346</f>
        <v>3</v>
      </c>
      <c r="J346" s="124" t="n">
        <f aca="false">VLOOKUP($A346,Table,MATCH(J$4,Curves,0))</f>
        <v>4</v>
      </c>
      <c r="K346" s="125" t="n">
        <f aca="false">J346+$K$7</f>
        <v>4</v>
      </c>
      <c r="L346" s="126" t="n">
        <f aca="false">K346</f>
        <v>4</v>
      </c>
      <c r="M346" s="124" t="n">
        <f aca="false">VLOOKUP($A346,Table,MATCH(M$4,Curves,0))</f>
        <v>4</v>
      </c>
      <c r="N346" s="125" t="n">
        <f aca="false">M346+$N$7</f>
        <v>4</v>
      </c>
      <c r="O346" s="126" t="n">
        <f aca="false">IF(B346&gt;0,(1000/B346*0.25)+((B346-1000)/B346*0.12),0)</f>
        <v>0</v>
      </c>
      <c r="P346" s="114"/>
      <c r="Q346" s="126" t="n">
        <f aca="false">M346+J346+G346</f>
        <v>11</v>
      </c>
      <c r="R346" s="126" t="n">
        <f aca="false">N346+K346+H346</f>
        <v>11</v>
      </c>
      <c r="S346" s="126" t="n">
        <f aca="false">O346+L346+I346</f>
        <v>7</v>
      </c>
      <c r="T346" s="127"/>
      <c r="U346" s="5" t="n">
        <f aca="false">A347-A346</f>
        <v>28</v>
      </c>
      <c r="V346" s="128" t="n">
        <f aca="false">CHOOSE(F$3,A347+24,A346)</f>
        <v>47515</v>
      </c>
      <c r="W346" s="5" t="n">
        <f aca="false">V346-C$3</f>
        <v>10284</v>
      </c>
      <c r="X346" s="124" t="n">
        <f aca="false">VLOOKUP($A346,Table,MATCH(X$4,Curves,0))</f>
        <v>2</v>
      </c>
      <c r="Y346" s="129" t="n">
        <f aca="false">1/(1+CHOOSE(F$3,(X347+($K$3/10000))/2,(X346+($K$3/10000))/2))^(2*W346/365.25)</f>
        <v>1.11780042090142E-017</v>
      </c>
      <c r="Z346" s="5" t="n">
        <f aca="false">IF(AND(mthbeg&lt;=A346,mthend&gt;=A346),1,0)</f>
        <v>0</v>
      </c>
      <c r="AA346" s="5" t="n">
        <f aca="false">U346*Z346</f>
        <v>0</v>
      </c>
      <c r="AC346" s="115" t="n">
        <f aca="false">IF(G339=2,F346*(S346-Q346),F346*(Q346-S346))</f>
        <v>0</v>
      </c>
      <c r="AE346" s="116" t="n">
        <f aca="false">IF($G$3=1,F346*(R346-Q346),F346*(Q346-R346))</f>
        <v>0</v>
      </c>
      <c r="AG346" s="116" t="n">
        <f aca="false">AC346+AE346</f>
        <v>0</v>
      </c>
    </row>
    <row r="347" customFormat="false" ht="12" hidden="false" customHeight="true" outlineLevel="0" collapsed="false">
      <c r="A347" s="120" t="n">
        <f aca="false">EDATE(A346,1)</f>
        <v>47543</v>
      </c>
      <c r="B347" s="121" t="n">
        <v>0</v>
      </c>
      <c r="C347" s="122"/>
      <c r="D347" s="123" t="n">
        <f aca="false">B347+C347</f>
        <v>0</v>
      </c>
      <c r="E347" s="111" t="n">
        <f aca="false">IF(Z347=0,0,IF(AND(Z347=1,$H$3=1),D347*U347,IF($H$3=2,D347,"N/A")))</f>
        <v>0</v>
      </c>
      <c r="F347" s="111" t="n">
        <f aca="false">E347*Y347</f>
        <v>0</v>
      </c>
      <c r="G347" s="124" t="n">
        <f aca="false">VLOOKUP($A347,Table,MATCH(G$4,Curves,0))</f>
        <v>3</v>
      </c>
      <c r="H347" s="125" t="n">
        <f aca="false">G347+$H$7</f>
        <v>3</v>
      </c>
      <c r="I347" s="124" t="n">
        <f aca="false">H347</f>
        <v>3</v>
      </c>
      <c r="J347" s="124" t="n">
        <f aca="false">VLOOKUP($A347,Table,MATCH(J$4,Curves,0))</f>
        <v>4</v>
      </c>
      <c r="K347" s="125" t="n">
        <f aca="false">J347+$K$7</f>
        <v>4</v>
      </c>
      <c r="L347" s="126" t="n">
        <f aca="false">K347</f>
        <v>4</v>
      </c>
      <c r="M347" s="124" t="n">
        <f aca="false">VLOOKUP($A347,Table,MATCH(M$4,Curves,0))</f>
        <v>4</v>
      </c>
      <c r="N347" s="125" t="n">
        <f aca="false">M347+$N$7</f>
        <v>4</v>
      </c>
      <c r="O347" s="126" t="n">
        <f aca="false">IF(B347&gt;0,(1000/B347*0.25)+((B347-1000)/B347*0.12),0)</f>
        <v>0</v>
      </c>
      <c r="P347" s="114"/>
      <c r="Q347" s="126" t="n">
        <f aca="false">M347+J347+G347</f>
        <v>11</v>
      </c>
      <c r="R347" s="126" t="n">
        <f aca="false">N347+K347+H347</f>
        <v>11</v>
      </c>
      <c r="S347" s="126" t="n">
        <f aca="false">O347+L347+I347</f>
        <v>7</v>
      </c>
      <c r="T347" s="127"/>
      <c r="U347" s="5" t="n">
        <f aca="false">A348-A347</f>
        <v>31</v>
      </c>
      <c r="V347" s="128" t="n">
        <f aca="false">CHOOSE(F$3,A348+24,A347)</f>
        <v>47543</v>
      </c>
      <c r="W347" s="5" t="n">
        <f aca="false">V347-C$3</f>
        <v>10312</v>
      </c>
      <c r="X347" s="124" t="n">
        <f aca="false">VLOOKUP($A347,Table,MATCH(X$4,Curves,0))</f>
        <v>2</v>
      </c>
      <c r="Y347" s="129" t="n">
        <f aca="false">1/(1+CHOOSE(F$3,(X348+($K$3/10000))/2,(X347+($K$3/10000))/2))^(2*W347/365.25)</f>
        <v>1.00510274023925E-017</v>
      </c>
      <c r="Z347" s="5" t="n">
        <f aca="false">IF(AND(mthbeg&lt;=A347,mthend&gt;=A347),1,0)</f>
        <v>0</v>
      </c>
      <c r="AA347" s="5" t="n">
        <f aca="false">U347*Z347</f>
        <v>0</v>
      </c>
      <c r="AC347" s="115" t="n">
        <f aca="false">IF(G340=2,F347*(S347-Q347),F347*(Q347-S347))</f>
        <v>0</v>
      </c>
      <c r="AE347" s="116" t="n">
        <f aca="false">IF($G$3=1,F347*(R347-Q347),F347*(Q347-R347))</f>
        <v>0</v>
      </c>
      <c r="AG347" s="116" t="n">
        <f aca="false">AC347+AE347</f>
        <v>0</v>
      </c>
    </row>
    <row r="348" customFormat="false" ht="12" hidden="false" customHeight="true" outlineLevel="0" collapsed="false">
      <c r="A348" s="120" t="n">
        <f aca="false">EDATE(A347,1)</f>
        <v>47574</v>
      </c>
      <c r="B348" s="121" t="n">
        <v>0</v>
      </c>
      <c r="C348" s="122"/>
      <c r="D348" s="123" t="n">
        <f aca="false">B348+C348</f>
        <v>0</v>
      </c>
      <c r="E348" s="111" t="n">
        <f aca="false">IF(Z348=0,0,IF(AND(Z348=1,$H$3=1),D348*U348,IF($H$3=2,D348,"N/A")))</f>
        <v>0</v>
      </c>
      <c r="F348" s="111" t="n">
        <f aca="false">E348*Y348</f>
        <v>0</v>
      </c>
      <c r="G348" s="124" t="n">
        <f aca="false">VLOOKUP($A348,Table,MATCH(G$4,Curves,0))</f>
        <v>3</v>
      </c>
      <c r="H348" s="125" t="n">
        <f aca="false">G348+$H$7</f>
        <v>3</v>
      </c>
      <c r="I348" s="124" t="n">
        <f aca="false">H348</f>
        <v>3</v>
      </c>
      <c r="J348" s="124" t="n">
        <f aca="false">VLOOKUP($A348,Table,MATCH(J$4,Curves,0))</f>
        <v>4</v>
      </c>
      <c r="K348" s="125" t="n">
        <f aca="false">J348+$K$7</f>
        <v>4</v>
      </c>
      <c r="L348" s="126" t="n">
        <f aca="false">K348</f>
        <v>4</v>
      </c>
      <c r="M348" s="124" t="n">
        <f aca="false">VLOOKUP($A348,Table,MATCH(M$4,Curves,0))</f>
        <v>4</v>
      </c>
      <c r="N348" s="125" t="n">
        <f aca="false">M348+$N$7</f>
        <v>4</v>
      </c>
      <c r="O348" s="126" t="n">
        <f aca="false">IF(B348&gt;0,(1000/B348*0.25)+((B348-1000)/B348*0.12),0)</f>
        <v>0</v>
      </c>
      <c r="P348" s="114"/>
      <c r="Q348" s="126" t="n">
        <f aca="false">M348+J348+G348</f>
        <v>11</v>
      </c>
      <c r="R348" s="126" t="n">
        <f aca="false">N348+K348+H348</f>
        <v>11</v>
      </c>
      <c r="S348" s="126" t="n">
        <f aca="false">O348+L348+I348</f>
        <v>7</v>
      </c>
      <c r="T348" s="127"/>
      <c r="U348" s="5" t="n">
        <f aca="false">A349-A348</f>
        <v>30</v>
      </c>
      <c r="V348" s="128" t="n">
        <f aca="false">CHOOSE(F$3,A349+24,A348)</f>
        <v>47574</v>
      </c>
      <c r="W348" s="5" t="n">
        <f aca="false">V348-C$3</f>
        <v>10343</v>
      </c>
      <c r="X348" s="124" t="n">
        <f aca="false">VLOOKUP($A348,Table,MATCH(X$4,Curves,0))</f>
        <v>2</v>
      </c>
      <c r="Y348" s="129" t="n">
        <f aca="false">1/(1+CHOOSE(F$3,(X349+($K$3/10000))/2,(X348+($K$3/10000))/2))^(2*W348/365.25)</f>
        <v>8.93535052175182E-018</v>
      </c>
      <c r="Z348" s="5" t="n">
        <f aca="false">IF(AND(mthbeg&lt;=A348,mthend&gt;=A348),1,0)</f>
        <v>0</v>
      </c>
      <c r="AA348" s="5" t="n">
        <f aca="false">U348*Z348</f>
        <v>0</v>
      </c>
      <c r="AC348" s="115" t="n">
        <f aca="false">IF(G341=2,F348*(S348-Q348),F348*(Q348-S348))</f>
        <v>0</v>
      </c>
      <c r="AE348" s="116" t="n">
        <f aca="false">IF($G$3=1,F348*(R348-Q348),F348*(Q348-R348))</f>
        <v>0</v>
      </c>
      <c r="AG348" s="116" t="n">
        <f aca="false">AC348+AE348</f>
        <v>0</v>
      </c>
    </row>
    <row r="349" customFormat="false" ht="12" hidden="false" customHeight="true" outlineLevel="0" collapsed="false">
      <c r="A349" s="120" t="n">
        <f aca="false">EDATE(A348,1)</f>
        <v>47604</v>
      </c>
      <c r="B349" s="121" t="n">
        <v>0</v>
      </c>
      <c r="C349" s="122"/>
      <c r="D349" s="123" t="n">
        <f aca="false">B349+C349</f>
        <v>0</v>
      </c>
      <c r="E349" s="111" t="n">
        <f aca="false">IF(Z349=0,0,IF(AND(Z349=1,$H$3=1),D349*U349,IF($H$3=2,D349,"N/A")))</f>
        <v>0</v>
      </c>
      <c r="F349" s="111" t="n">
        <f aca="false">E349*Y349</f>
        <v>0</v>
      </c>
      <c r="G349" s="124" t="n">
        <f aca="false">VLOOKUP($A349,Table,MATCH(G$4,Curves,0))</f>
        <v>3</v>
      </c>
      <c r="H349" s="125" t="n">
        <f aca="false">G349+$H$7</f>
        <v>3</v>
      </c>
      <c r="I349" s="124" t="n">
        <f aca="false">H349</f>
        <v>3</v>
      </c>
      <c r="J349" s="124" t="n">
        <f aca="false">VLOOKUP($A349,Table,MATCH(J$4,Curves,0))</f>
        <v>4</v>
      </c>
      <c r="K349" s="125" t="n">
        <f aca="false">J349+$K$7</f>
        <v>4</v>
      </c>
      <c r="L349" s="126" t="n">
        <f aca="false">K349</f>
        <v>4</v>
      </c>
      <c r="M349" s="124" t="n">
        <f aca="false">VLOOKUP($A349,Table,MATCH(M$4,Curves,0))</f>
        <v>4</v>
      </c>
      <c r="N349" s="125" t="n">
        <f aca="false">M349+$N$7</f>
        <v>4</v>
      </c>
      <c r="O349" s="126" t="n">
        <f aca="false">IF(B349&gt;0,(1000/B349*0.25)+((B349-1000)/B349*0.12),0)</f>
        <v>0</v>
      </c>
      <c r="P349" s="114"/>
      <c r="Q349" s="126" t="n">
        <f aca="false">M349+J349+G349</f>
        <v>11</v>
      </c>
      <c r="R349" s="126" t="n">
        <f aca="false">N349+K349+H349</f>
        <v>11</v>
      </c>
      <c r="S349" s="126" t="n">
        <f aca="false">O349+L349+I349</f>
        <v>7</v>
      </c>
      <c r="T349" s="127"/>
      <c r="U349" s="5" t="n">
        <f aca="false">A350-A349</f>
        <v>31</v>
      </c>
      <c r="V349" s="128" t="n">
        <f aca="false">CHOOSE(F$3,A350+24,A349)</f>
        <v>47604</v>
      </c>
      <c r="W349" s="5" t="n">
        <f aca="false">V349-C$3</f>
        <v>10373</v>
      </c>
      <c r="X349" s="124" t="n">
        <f aca="false">VLOOKUP($A349,Table,MATCH(X$4,Curves,0))</f>
        <v>2</v>
      </c>
      <c r="Y349" s="129" t="n">
        <f aca="false">1/(1+CHOOSE(F$3,(X350+($K$3/10000))/2,(X349+($K$3/10000))/2))^(2*W349/365.25)</f>
        <v>7.97372183855626E-018</v>
      </c>
      <c r="Z349" s="5" t="n">
        <f aca="false">IF(AND(mthbeg&lt;=A349,mthend&gt;=A349),1,0)</f>
        <v>0</v>
      </c>
      <c r="AA349" s="5" t="n">
        <f aca="false">U349*Z349</f>
        <v>0</v>
      </c>
      <c r="AC349" s="115" t="n">
        <f aca="false">IF(G342=2,F349*(S349-Q349),F349*(Q349-S349))</f>
        <v>0</v>
      </c>
      <c r="AE349" s="116" t="n">
        <f aca="false">IF($G$3=1,F349*(R349-Q349),F349*(Q349-R349))</f>
        <v>0</v>
      </c>
      <c r="AG349" s="116" t="n">
        <f aca="false">AC349+AE349</f>
        <v>0</v>
      </c>
    </row>
    <row r="350" customFormat="false" ht="12" hidden="false" customHeight="true" outlineLevel="0" collapsed="false">
      <c r="A350" s="120" t="n">
        <f aca="false">EDATE(A349,1)</f>
        <v>47635</v>
      </c>
      <c r="B350" s="121" t="n">
        <v>0</v>
      </c>
      <c r="C350" s="122"/>
      <c r="D350" s="123" t="n">
        <f aca="false">B350+C350</f>
        <v>0</v>
      </c>
      <c r="E350" s="111" t="n">
        <f aca="false">IF(Z350=0,0,IF(AND(Z350=1,$H$3=1),D350*U350,IF($H$3=2,D350,"N/A")))</f>
        <v>0</v>
      </c>
      <c r="F350" s="111" t="n">
        <f aca="false">E350*Y350</f>
        <v>0</v>
      </c>
      <c r="G350" s="124" t="n">
        <f aca="false">VLOOKUP($A350,Table,MATCH(G$4,Curves,0))</f>
        <v>3</v>
      </c>
      <c r="H350" s="125" t="n">
        <f aca="false">G350+$H$7</f>
        <v>3</v>
      </c>
      <c r="I350" s="124" t="n">
        <f aca="false">H350</f>
        <v>3</v>
      </c>
      <c r="J350" s="124" t="n">
        <f aca="false">VLOOKUP($A350,Table,MATCH(J$4,Curves,0))</f>
        <v>4</v>
      </c>
      <c r="K350" s="125" t="n">
        <f aca="false">J350+$K$7</f>
        <v>4</v>
      </c>
      <c r="L350" s="126" t="n">
        <f aca="false">K350</f>
        <v>4</v>
      </c>
      <c r="M350" s="124" t="n">
        <f aca="false">VLOOKUP($A350,Table,MATCH(M$4,Curves,0))</f>
        <v>4</v>
      </c>
      <c r="N350" s="125" t="n">
        <f aca="false">M350+$N$7</f>
        <v>4</v>
      </c>
      <c r="O350" s="126" t="n">
        <f aca="false">IF(B350&gt;0,(1000/B350*0.25)+((B350-1000)/B350*0.12),0)</f>
        <v>0</v>
      </c>
      <c r="P350" s="114"/>
      <c r="Q350" s="126" t="n">
        <f aca="false">M350+J350+G350</f>
        <v>11</v>
      </c>
      <c r="R350" s="126" t="n">
        <f aca="false">N350+K350+H350</f>
        <v>11</v>
      </c>
      <c r="S350" s="126" t="n">
        <f aca="false">O350+L350+I350</f>
        <v>7</v>
      </c>
      <c r="T350" s="127"/>
      <c r="U350" s="5" t="n">
        <f aca="false">A351-A350</f>
        <v>30</v>
      </c>
      <c r="V350" s="128" t="n">
        <f aca="false">CHOOSE(F$3,A351+24,A350)</f>
        <v>47635</v>
      </c>
      <c r="W350" s="5" t="n">
        <f aca="false">V350-C$3</f>
        <v>10404</v>
      </c>
      <c r="X350" s="124" t="n">
        <f aca="false">VLOOKUP($A350,Table,MATCH(X$4,Curves,0))</f>
        <v>2</v>
      </c>
      <c r="Y350" s="129" t="n">
        <f aca="false">1/(1+CHOOSE(F$3,(X351+($K$3/10000))/2,(X350+($K$3/10000))/2))^(2*W350/365.25)</f>
        <v>7.08862852900868E-018</v>
      </c>
      <c r="Z350" s="5" t="n">
        <f aca="false">IF(AND(mthbeg&lt;=A350,mthend&gt;=A350),1,0)</f>
        <v>0</v>
      </c>
      <c r="AA350" s="5" t="n">
        <f aca="false">U350*Z350</f>
        <v>0</v>
      </c>
      <c r="AC350" s="115" t="n">
        <f aca="false">IF(G343=2,F350*(S350-Q350),F350*(Q350-S350))</f>
        <v>0</v>
      </c>
      <c r="AE350" s="116" t="n">
        <f aca="false">IF($G$3=1,F350*(R350-Q350),F350*(Q350-R350))</f>
        <v>0</v>
      </c>
      <c r="AG350" s="116" t="n">
        <f aca="false">AC350+AE350</f>
        <v>0</v>
      </c>
    </row>
    <row r="351" customFormat="false" ht="12" hidden="false" customHeight="true" outlineLevel="0" collapsed="false">
      <c r="A351" s="120" t="n">
        <f aca="false">EDATE(A350,1)</f>
        <v>47665</v>
      </c>
      <c r="B351" s="121" t="n">
        <v>0</v>
      </c>
      <c r="C351" s="122"/>
      <c r="D351" s="123" t="n">
        <f aca="false">B351+C351</f>
        <v>0</v>
      </c>
      <c r="E351" s="111" t="n">
        <f aca="false">IF(Z351=0,0,IF(AND(Z351=1,$H$3=1),D351*U351,IF($H$3=2,D351,"N/A")))</f>
        <v>0</v>
      </c>
      <c r="F351" s="111" t="n">
        <f aca="false">E351*Y351</f>
        <v>0</v>
      </c>
      <c r="G351" s="124" t="n">
        <f aca="false">VLOOKUP($A351,Table,MATCH(G$4,Curves,0))</f>
        <v>3</v>
      </c>
      <c r="H351" s="125" t="n">
        <f aca="false">G351+$H$7</f>
        <v>3</v>
      </c>
      <c r="I351" s="124" t="n">
        <f aca="false">H351</f>
        <v>3</v>
      </c>
      <c r="J351" s="124" t="n">
        <f aca="false">VLOOKUP($A351,Table,MATCH(J$4,Curves,0))</f>
        <v>4</v>
      </c>
      <c r="K351" s="125" t="n">
        <f aca="false">J351+$K$7</f>
        <v>4</v>
      </c>
      <c r="L351" s="126" t="n">
        <f aca="false">K351</f>
        <v>4</v>
      </c>
      <c r="M351" s="124" t="n">
        <f aca="false">VLOOKUP($A351,Table,MATCH(M$4,Curves,0))</f>
        <v>4</v>
      </c>
      <c r="N351" s="125" t="n">
        <f aca="false">M351+$N$7</f>
        <v>4</v>
      </c>
      <c r="O351" s="126" t="n">
        <f aca="false">IF(B351&gt;0,(1000/B351*0.25)+((B351-1000)/B351*0.12),0)</f>
        <v>0</v>
      </c>
      <c r="P351" s="114"/>
      <c r="Q351" s="126" t="n">
        <f aca="false">M351+J351+G351</f>
        <v>11</v>
      </c>
      <c r="R351" s="126" t="n">
        <f aca="false">N351+K351+H351</f>
        <v>11</v>
      </c>
      <c r="S351" s="126" t="n">
        <f aca="false">O351+L351+I351</f>
        <v>7</v>
      </c>
      <c r="T351" s="127"/>
      <c r="U351" s="5" t="n">
        <f aca="false">A352-A351</f>
        <v>31</v>
      </c>
      <c r="V351" s="128" t="n">
        <f aca="false">CHOOSE(F$3,A352+24,A351)</f>
        <v>47665</v>
      </c>
      <c r="W351" s="5" t="n">
        <f aca="false">V351-C$3</f>
        <v>10434</v>
      </c>
      <c r="X351" s="124" t="n">
        <f aca="false">VLOOKUP($A351,Table,MATCH(X$4,Curves,0))</f>
        <v>2</v>
      </c>
      <c r="Y351" s="129" t="n">
        <f aca="false">1/(1+CHOOSE(F$3,(X352+($K$3/10000))/2,(X351+($K$3/10000))/2))^(2*W351/365.25)</f>
        <v>6.32574536047276E-018</v>
      </c>
      <c r="Z351" s="5" t="n">
        <f aca="false">IF(AND(mthbeg&lt;=A351,mthend&gt;=A351),1,0)</f>
        <v>0</v>
      </c>
      <c r="AA351" s="5" t="n">
        <f aca="false">U351*Z351</f>
        <v>0</v>
      </c>
      <c r="AC351" s="115" t="n">
        <f aca="false">IF(G344=2,F351*(S351-Q351),F351*(Q351-S351))</f>
        <v>0</v>
      </c>
      <c r="AE351" s="116" t="n">
        <f aca="false">IF($G$3=1,F351*(R351-Q351),F351*(Q351-R351))</f>
        <v>0</v>
      </c>
      <c r="AG351" s="116" t="n">
        <f aca="false">AC351+AE351</f>
        <v>0</v>
      </c>
    </row>
    <row r="352" customFormat="false" ht="12" hidden="false" customHeight="true" outlineLevel="0" collapsed="false">
      <c r="A352" s="120" t="n">
        <f aca="false">EDATE(A351,1)</f>
        <v>47696</v>
      </c>
      <c r="B352" s="121" t="n">
        <v>0</v>
      </c>
      <c r="C352" s="122"/>
      <c r="D352" s="123" t="n">
        <f aca="false">B352+C352</f>
        <v>0</v>
      </c>
      <c r="E352" s="111" t="n">
        <f aca="false">IF(Z352=0,0,IF(AND(Z352=1,$H$3=1),D352*U352,IF($H$3=2,D352,"N/A")))</f>
        <v>0</v>
      </c>
      <c r="F352" s="111" t="n">
        <f aca="false">E352*Y352</f>
        <v>0</v>
      </c>
      <c r="G352" s="124" t="n">
        <f aca="false">VLOOKUP($A352,Table,MATCH(G$4,Curves,0))</f>
        <v>3</v>
      </c>
      <c r="H352" s="125" t="n">
        <f aca="false">G352+$H$7</f>
        <v>3</v>
      </c>
      <c r="I352" s="124" t="n">
        <f aca="false">H352</f>
        <v>3</v>
      </c>
      <c r="J352" s="124" t="n">
        <f aca="false">VLOOKUP($A352,Table,MATCH(J$4,Curves,0))</f>
        <v>4</v>
      </c>
      <c r="K352" s="125" t="n">
        <f aca="false">J352+$K$7</f>
        <v>4</v>
      </c>
      <c r="L352" s="126" t="n">
        <f aca="false">K352</f>
        <v>4</v>
      </c>
      <c r="M352" s="124" t="n">
        <f aca="false">VLOOKUP($A352,Table,MATCH(M$4,Curves,0))</f>
        <v>4</v>
      </c>
      <c r="N352" s="125" t="n">
        <f aca="false">M352+$N$7</f>
        <v>4</v>
      </c>
      <c r="O352" s="126" t="n">
        <f aca="false">IF(B352&gt;0,(1000/B352*0.25)+((B352-1000)/B352*0.12),0)</f>
        <v>0</v>
      </c>
      <c r="P352" s="114"/>
      <c r="Q352" s="126" t="n">
        <f aca="false">M352+J352+G352</f>
        <v>11</v>
      </c>
      <c r="R352" s="126" t="n">
        <f aca="false">N352+K352+H352</f>
        <v>11</v>
      </c>
      <c r="S352" s="126" t="n">
        <f aca="false">O352+L352+I352</f>
        <v>7</v>
      </c>
      <c r="T352" s="127"/>
      <c r="U352" s="5" t="n">
        <f aca="false">A353-A352</f>
        <v>31</v>
      </c>
      <c r="V352" s="128" t="n">
        <f aca="false">CHOOSE(F$3,A353+24,A352)</f>
        <v>47696</v>
      </c>
      <c r="W352" s="5" t="n">
        <f aca="false">V352-C$3</f>
        <v>10465</v>
      </c>
      <c r="X352" s="124" t="n">
        <f aca="false">VLOOKUP($A352,Table,MATCH(X$4,Curves,0))</f>
        <v>2</v>
      </c>
      <c r="Y352" s="129" t="n">
        <f aca="false">1/(1+CHOOSE(F$3,(X353+($K$3/10000))/2,(X352+($K$3/10000))/2))^(2*W352/365.25)</f>
        <v>5.62357954508362E-018</v>
      </c>
      <c r="Z352" s="5" t="n">
        <f aca="false">IF(AND(mthbeg&lt;=A352,mthend&gt;=A352),1,0)</f>
        <v>0</v>
      </c>
      <c r="AA352" s="5" t="n">
        <f aca="false">U352*Z352</f>
        <v>0</v>
      </c>
      <c r="AC352" s="115" t="n">
        <f aca="false">IF(G345=2,F352*(S352-Q352),F352*(Q352-S352))</f>
        <v>0</v>
      </c>
      <c r="AE352" s="116" t="n">
        <f aca="false">IF($G$3=1,F352*(R352-Q352),F352*(Q352-R352))</f>
        <v>0</v>
      </c>
      <c r="AG352" s="116" t="n">
        <f aca="false">AC352+AE352</f>
        <v>0</v>
      </c>
    </row>
    <row r="353" customFormat="false" ht="12" hidden="false" customHeight="true" outlineLevel="0" collapsed="false">
      <c r="A353" s="120" t="n">
        <f aca="false">EDATE(A352,1)</f>
        <v>47727</v>
      </c>
      <c r="B353" s="121" t="n">
        <v>0</v>
      </c>
      <c r="C353" s="122"/>
      <c r="D353" s="123" t="n">
        <f aca="false">B353+C353</f>
        <v>0</v>
      </c>
      <c r="E353" s="111" t="n">
        <f aca="false">IF(Z353=0,0,IF(AND(Z353=1,$H$3=1),D353*U353,IF($H$3=2,D353,"N/A")))</f>
        <v>0</v>
      </c>
      <c r="F353" s="111" t="n">
        <f aca="false">E353*Y353</f>
        <v>0</v>
      </c>
      <c r="G353" s="124" t="n">
        <f aca="false">VLOOKUP($A353,Table,MATCH(G$4,Curves,0))</f>
        <v>3</v>
      </c>
      <c r="H353" s="125" t="n">
        <f aca="false">G353+$H$7</f>
        <v>3</v>
      </c>
      <c r="I353" s="124" t="n">
        <f aca="false">H353</f>
        <v>3</v>
      </c>
      <c r="J353" s="124" t="n">
        <f aca="false">VLOOKUP($A353,Table,MATCH(J$4,Curves,0))</f>
        <v>4</v>
      </c>
      <c r="K353" s="125" t="n">
        <f aca="false">J353+$K$7</f>
        <v>4</v>
      </c>
      <c r="L353" s="126" t="n">
        <f aca="false">K353</f>
        <v>4</v>
      </c>
      <c r="M353" s="124" t="n">
        <f aca="false">VLOOKUP($A353,Table,MATCH(M$4,Curves,0))</f>
        <v>4</v>
      </c>
      <c r="N353" s="125" t="n">
        <f aca="false">M353+$N$7</f>
        <v>4</v>
      </c>
      <c r="O353" s="126" t="n">
        <f aca="false">IF(B353&gt;0,(1000/B353*0.25)+((B353-1000)/B353*0.12),0)</f>
        <v>0</v>
      </c>
      <c r="P353" s="114"/>
      <c r="Q353" s="126" t="n">
        <f aca="false">M353+J353+G353</f>
        <v>11</v>
      </c>
      <c r="R353" s="126" t="n">
        <f aca="false">N353+K353+H353</f>
        <v>11</v>
      </c>
      <c r="S353" s="126" t="n">
        <f aca="false">O353+L353+I353</f>
        <v>7</v>
      </c>
      <c r="T353" s="127"/>
      <c r="U353" s="5" t="n">
        <f aca="false">A354-A353</f>
        <v>30</v>
      </c>
      <c r="V353" s="128" t="n">
        <f aca="false">CHOOSE(F$3,A354+24,A353)</f>
        <v>47727</v>
      </c>
      <c r="W353" s="5" t="n">
        <f aca="false">V353-C$3</f>
        <v>10496</v>
      </c>
      <c r="X353" s="124" t="n">
        <f aca="false">VLOOKUP($A353,Table,MATCH(X$4,Curves,0))</f>
        <v>2</v>
      </c>
      <c r="Y353" s="129" t="n">
        <f aca="false">1/(1+CHOOSE(F$3,(X354+($K$3/10000))/2,(X353+($K$3/10000))/2))^(2*W353/365.25)</f>
        <v>4.9993550321348E-018</v>
      </c>
      <c r="Z353" s="5" t="n">
        <f aca="false">IF(AND(mthbeg&lt;=A353,mthend&gt;=A353),1,0)</f>
        <v>0</v>
      </c>
      <c r="AA353" s="5" t="n">
        <f aca="false">U353*Z353</f>
        <v>0</v>
      </c>
      <c r="AC353" s="115" t="n">
        <f aca="false">IF(G346=2,F353*(S353-Q353),F353*(Q353-S353))</f>
        <v>0</v>
      </c>
      <c r="AE353" s="116" t="n">
        <f aca="false">IF($G$3=1,F353*(R353-Q353),F353*(Q353-R353))</f>
        <v>0</v>
      </c>
      <c r="AG353" s="116" t="n">
        <f aca="false">AC353+AE353</f>
        <v>0</v>
      </c>
    </row>
    <row r="354" customFormat="false" ht="12" hidden="false" customHeight="true" outlineLevel="0" collapsed="false">
      <c r="A354" s="120" t="n">
        <f aca="false">EDATE(A353,1)</f>
        <v>47757</v>
      </c>
      <c r="B354" s="121" t="n">
        <v>0</v>
      </c>
      <c r="C354" s="122"/>
      <c r="D354" s="123" t="n">
        <f aca="false">B354+C354</f>
        <v>0</v>
      </c>
      <c r="E354" s="111" t="n">
        <f aca="false">IF(Z354=0,0,IF(AND(Z354=1,$H$3=1),D354*U354,IF($H$3=2,D354,"N/A")))</f>
        <v>0</v>
      </c>
      <c r="F354" s="111" t="n">
        <f aca="false">E354*Y354</f>
        <v>0</v>
      </c>
      <c r="G354" s="124" t="n">
        <f aca="false">VLOOKUP($A354,Table,MATCH(G$4,Curves,0))</f>
        <v>3</v>
      </c>
      <c r="H354" s="125" t="n">
        <f aca="false">G354+$H$7</f>
        <v>3</v>
      </c>
      <c r="I354" s="124" t="n">
        <f aca="false">H354</f>
        <v>3</v>
      </c>
      <c r="J354" s="124" t="n">
        <f aca="false">VLOOKUP($A354,Table,MATCH(J$4,Curves,0))</f>
        <v>4</v>
      </c>
      <c r="K354" s="125" t="n">
        <f aca="false">J354+$K$7</f>
        <v>4</v>
      </c>
      <c r="L354" s="126" t="n">
        <f aca="false">K354</f>
        <v>4</v>
      </c>
      <c r="M354" s="124" t="n">
        <f aca="false">VLOOKUP($A354,Table,MATCH(M$4,Curves,0))</f>
        <v>4</v>
      </c>
      <c r="N354" s="125" t="n">
        <f aca="false">M354+$N$7</f>
        <v>4</v>
      </c>
      <c r="O354" s="126" t="n">
        <f aca="false">IF(B354&gt;0,(1000/B354*0.25)+((B354-1000)/B354*0.12),0)</f>
        <v>0</v>
      </c>
      <c r="P354" s="114"/>
      <c r="Q354" s="126" t="n">
        <f aca="false">M354+J354+G354</f>
        <v>11</v>
      </c>
      <c r="R354" s="126" t="n">
        <f aca="false">N354+K354+H354</f>
        <v>11</v>
      </c>
      <c r="S354" s="126" t="n">
        <f aca="false">O354+L354+I354</f>
        <v>7</v>
      </c>
      <c r="T354" s="127"/>
      <c r="U354" s="5" t="n">
        <f aca="false">A355-A354</f>
        <v>31</v>
      </c>
      <c r="V354" s="128" t="n">
        <f aca="false">CHOOSE(F$3,A355+24,A354)</f>
        <v>47757</v>
      </c>
      <c r="W354" s="5" t="n">
        <f aca="false">V354-C$3</f>
        <v>10526</v>
      </c>
      <c r="X354" s="124" t="n">
        <f aca="false">VLOOKUP($A354,Table,MATCH(X$4,Curves,0))</f>
        <v>2</v>
      </c>
      <c r="Y354" s="129" t="n">
        <f aca="false">1/(1+CHOOSE(F$3,(X355+($K$3/10000))/2,(X354+($K$3/10000))/2))^(2*W354/365.25)</f>
        <v>4.46132094106298E-018</v>
      </c>
      <c r="Z354" s="5" t="n">
        <f aca="false">IF(AND(mthbeg&lt;=A354,mthend&gt;=A354),1,0)</f>
        <v>0</v>
      </c>
      <c r="AA354" s="5" t="n">
        <f aca="false">U354*Z354</f>
        <v>0</v>
      </c>
      <c r="AC354" s="115" t="n">
        <f aca="false">IF(G347=2,F354*(S354-Q354),F354*(Q354-S354))</f>
        <v>0</v>
      </c>
      <c r="AE354" s="116" t="n">
        <f aca="false">IF($G$3=1,F354*(R354-Q354),F354*(Q354-R354))</f>
        <v>0</v>
      </c>
      <c r="AG354" s="116" t="n">
        <f aca="false">AC354+AE354</f>
        <v>0</v>
      </c>
    </row>
    <row r="355" customFormat="false" ht="12" hidden="false" customHeight="true" outlineLevel="0" collapsed="false">
      <c r="A355" s="120" t="n">
        <f aca="false">EDATE(A354,1)</f>
        <v>47788</v>
      </c>
      <c r="B355" s="121" t="n">
        <v>0</v>
      </c>
      <c r="C355" s="122"/>
      <c r="D355" s="123" t="n">
        <f aca="false">B355+C355</f>
        <v>0</v>
      </c>
      <c r="E355" s="111" t="n">
        <f aca="false">IF(Z355=0,0,IF(AND(Z355=1,$H$3=1),D355*U355,IF($H$3=2,D355,"N/A")))</f>
        <v>0</v>
      </c>
      <c r="F355" s="111" t="n">
        <f aca="false">E355*Y355</f>
        <v>0</v>
      </c>
      <c r="G355" s="124" t="n">
        <f aca="false">VLOOKUP($A355,Table,MATCH(G$4,Curves,0))</f>
        <v>3</v>
      </c>
      <c r="H355" s="125" t="n">
        <f aca="false">G355+$H$7</f>
        <v>3</v>
      </c>
      <c r="I355" s="124" t="n">
        <f aca="false">H355</f>
        <v>3</v>
      </c>
      <c r="J355" s="124" t="n">
        <f aca="false">VLOOKUP($A355,Table,MATCH(J$4,Curves,0))</f>
        <v>4</v>
      </c>
      <c r="K355" s="125" t="n">
        <f aca="false">J355+$K$7</f>
        <v>4</v>
      </c>
      <c r="L355" s="126" t="n">
        <f aca="false">K355</f>
        <v>4</v>
      </c>
      <c r="M355" s="124" t="n">
        <f aca="false">VLOOKUP($A355,Table,MATCH(M$4,Curves,0))</f>
        <v>4</v>
      </c>
      <c r="N355" s="125" t="n">
        <f aca="false">M355+$N$7</f>
        <v>4</v>
      </c>
      <c r="O355" s="126" t="n">
        <f aca="false">IF(B355&gt;0,(1000/B355*0.25)+((B355-1000)/B355*0.12),0)</f>
        <v>0</v>
      </c>
      <c r="P355" s="114"/>
      <c r="Q355" s="126" t="n">
        <f aca="false">M355+J355+G355</f>
        <v>11</v>
      </c>
      <c r="R355" s="126" t="n">
        <f aca="false">N355+K355+H355</f>
        <v>11</v>
      </c>
      <c r="S355" s="126" t="n">
        <f aca="false">O355+L355+I355</f>
        <v>7</v>
      </c>
      <c r="T355" s="127"/>
      <c r="U355" s="5" t="n">
        <f aca="false">A356-A355</f>
        <v>30</v>
      </c>
      <c r="V355" s="128" t="n">
        <f aca="false">CHOOSE(F$3,A356+24,A355)</f>
        <v>47788</v>
      </c>
      <c r="W355" s="5" t="n">
        <f aca="false">V355-C$3</f>
        <v>10557</v>
      </c>
      <c r="X355" s="124" t="n">
        <f aca="false">VLOOKUP($A355,Table,MATCH(X$4,Curves,0))</f>
        <v>2</v>
      </c>
      <c r="Y355" s="129" t="n">
        <f aca="false">1/(1+CHOOSE(F$3,(X356+($K$3/10000))/2,(X355+($K$3/10000))/2))^(2*W355/365.25)</f>
        <v>3.96610861780562E-018</v>
      </c>
      <c r="Z355" s="5" t="n">
        <f aca="false">IF(AND(mthbeg&lt;=A355,mthend&gt;=A355),1,0)</f>
        <v>0</v>
      </c>
      <c r="AA355" s="5" t="n">
        <f aca="false">U355*Z355</f>
        <v>0</v>
      </c>
      <c r="AC355" s="115" t="n">
        <f aca="false">IF(G348=2,F355*(S355-Q355),F355*(Q355-S355))</f>
        <v>0</v>
      </c>
      <c r="AE355" s="116" t="n">
        <f aca="false">IF($G$3=1,F355*(R355-Q355),F355*(Q355-R355))</f>
        <v>0</v>
      </c>
      <c r="AG355" s="116" t="n">
        <f aca="false">AC355+AE355</f>
        <v>0</v>
      </c>
    </row>
    <row r="356" customFormat="false" ht="12" hidden="false" customHeight="true" outlineLevel="0" collapsed="false">
      <c r="A356" s="120" t="n">
        <f aca="false">EDATE(A355,1)</f>
        <v>47818</v>
      </c>
      <c r="B356" s="121" t="n">
        <v>0</v>
      </c>
      <c r="C356" s="122"/>
      <c r="D356" s="123" t="n">
        <f aca="false">B356+C356</f>
        <v>0</v>
      </c>
      <c r="E356" s="111" t="n">
        <f aca="false">IF(Z356=0,0,IF(AND(Z356=1,$H$3=1),D356*U356,IF($H$3=2,D356,"N/A")))</f>
        <v>0</v>
      </c>
      <c r="F356" s="111" t="n">
        <f aca="false">E356*Y356</f>
        <v>0</v>
      </c>
      <c r="G356" s="124" t="n">
        <f aca="false">VLOOKUP($A356,Table,MATCH(G$4,Curves,0))</f>
        <v>3</v>
      </c>
      <c r="H356" s="125" t="n">
        <f aca="false">G356+$H$7</f>
        <v>3</v>
      </c>
      <c r="I356" s="124" t="n">
        <f aca="false">H356</f>
        <v>3</v>
      </c>
      <c r="J356" s="124" t="n">
        <f aca="false">VLOOKUP($A356,Table,MATCH(J$4,Curves,0))</f>
        <v>4</v>
      </c>
      <c r="K356" s="125" t="n">
        <f aca="false">J356+$K$7</f>
        <v>4</v>
      </c>
      <c r="L356" s="126" t="n">
        <f aca="false">K356</f>
        <v>4</v>
      </c>
      <c r="M356" s="124" t="n">
        <f aca="false">VLOOKUP($A356,Table,MATCH(M$4,Curves,0))</f>
        <v>4</v>
      </c>
      <c r="N356" s="125" t="n">
        <f aca="false">M356+$N$7</f>
        <v>4</v>
      </c>
      <c r="O356" s="126" t="n">
        <f aca="false">IF(B356&gt;0,(1000/B356*0.25)+((B356-1000)/B356*0.12),0)</f>
        <v>0</v>
      </c>
      <c r="P356" s="114"/>
      <c r="Q356" s="126" t="n">
        <f aca="false">M356+J356+G356</f>
        <v>11</v>
      </c>
      <c r="R356" s="126" t="n">
        <f aca="false">N356+K356+H356</f>
        <v>11</v>
      </c>
      <c r="S356" s="126" t="n">
        <f aca="false">O356+L356+I356</f>
        <v>7</v>
      </c>
      <c r="T356" s="127"/>
      <c r="U356" s="5" t="n">
        <f aca="false">A357-A356</f>
        <v>31</v>
      </c>
      <c r="V356" s="128" t="n">
        <f aca="false">CHOOSE(F$3,A357+24,A356)</f>
        <v>47818</v>
      </c>
      <c r="W356" s="5" t="n">
        <f aca="false">V356-C$3</f>
        <v>10587</v>
      </c>
      <c r="X356" s="124" t="n">
        <f aca="false">VLOOKUP($A356,Table,MATCH(X$4,Curves,0))</f>
        <v>2</v>
      </c>
      <c r="Y356" s="129" t="n">
        <f aca="false">1/(1+CHOOSE(F$3,(X357+($K$3/10000))/2,(X356+($K$3/10000))/2))^(2*W356/365.25)</f>
        <v>3.5392732297292E-018</v>
      </c>
      <c r="Z356" s="5" t="n">
        <f aca="false">IF(AND(mthbeg&lt;=A356,mthend&gt;=A356),1,0)</f>
        <v>0</v>
      </c>
      <c r="AA356" s="5" t="n">
        <f aca="false">U356*Z356</f>
        <v>0</v>
      </c>
      <c r="AC356" s="115" t="n">
        <f aca="false">IF(G349=2,F356*(S356-Q356),F356*(Q356-S356))</f>
        <v>0</v>
      </c>
      <c r="AE356" s="116" t="n">
        <f aca="false">IF($G$3=1,F356*(R356-Q356),F356*(Q356-R356))</f>
        <v>0</v>
      </c>
      <c r="AG356" s="116" t="n">
        <f aca="false">AC356+AE356</f>
        <v>0</v>
      </c>
    </row>
    <row r="357" customFormat="false" ht="12" hidden="false" customHeight="true" outlineLevel="0" collapsed="false">
      <c r="A357" s="120" t="n">
        <f aca="false">EDATE(A356,1)</f>
        <v>47849</v>
      </c>
      <c r="B357" s="121" t="n">
        <v>0</v>
      </c>
      <c r="C357" s="122"/>
      <c r="D357" s="123" t="n">
        <f aca="false">B357+C357</f>
        <v>0</v>
      </c>
      <c r="E357" s="111" t="n">
        <f aca="false">IF(Z357=0,0,IF(AND(Z357=1,$H$3=1),D357*U357,IF($H$3=2,D357,"N/A")))</f>
        <v>0</v>
      </c>
      <c r="F357" s="111" t="n">
        <f aca="false">E357*Y357</f>
        <v>0</v>
      </c>
      <c r="G357" s="124" t="n">
        <f aca="false">VLOOKUP($A357,Table,MATCH(G$4,Curves,0))</f>
        <v>3</v>
      </c>
      <c r="H357" s="125" t="n">
        <f aca="false">G357+$H$7</f>
        <v>3</v>
      </c>
      <c r="I357" s="124" t="n">
        <f aca="false">H357</f>
        <v>3</v>
      </c>
      <c r="J357" s="124" t="n">
        <f aca="false">VLOOKUP($A357,Table,MATCH(J$4,Curves,0))</f>
        <v>4</v>
      </c>
      <c r="K357" s="125" t="n">
        <f aca="false">J357+$K$7</f>
        <v>4</v>
      </c>
      <c r="L357" s="126" t="n">
        <f aca="false">K357</f>
        <v>4</v>
      </c>
      <c r="M357" s="124" t="n">
        <f aca="false">VLOOKUP($A357,Table,MATCH(M$4,Curves,0))</f>
        <v>4</v>
      </c>
      <c r="N357" s="125" t="n">
        <f aca="false">M357+$N$7</f>
        <v>4</v>
      </c>
      <c r="O357" s="126" t="n">
        <f aca="false">IF(B357&gt;0,(1000/B357*0.25)+((B357-1000)/B357*0.12),0)</f>
        <v>0</v>
      </c>
      <c r="P357" s="114"/>
      <c r="Q357" s="126" t="n">
        <f aca="false">M357+J357+G357</f>
        <v>11</v>
      </c>
      <c r="R357" s="126" t="n">
        <f aca="false">N357+K357+H357</f>
        <v>11</v>
      </c>
      <c r="S357" s="126" t="n">
        <f aca="false">O357+L357+I357</f>
        <v>7</v>
      </c>
      <c r="T357" s="127"/>
      <c r="U357" s="5" t="n">
        <f aca="false">A358-A357</f>
        <v>31</v>
      </c>
      <c r="V357" s="128" t="n">
        <f aca="false">CHOOSE(F$3,A358+24,A357)</f>
        <v>47849</v>
      </c>
      <c r="W357" s="5" t="n">
        <f aca="false">V357-C$3</f>
        <v>10618</v>
      </c>
      <c r="X357" s="124" t="n">
        <f aca="false">VLOOKUP($A357,Table,MATCH(X$4,Curves,0))</f>
        <v>2</v>
      </c>
      <c r="Y357" s="129" t="n">
        <f aca="false">1/(1+CHOOSE(F$3,(X358+($K$3/10000))/2,(X357+($K$3/10000))/2))^(2*W357/365.25)</f>
        <v>3.14640938023462E-018</v>
      </c>
      <c r="Z357" s="5" t="n">
        <f aca="false">IF(AND(mthbeg&lt;=A357,mthend&gt;=A357),1,0)</f>
        <v>0</v>
      </c>
      <c r="AA357" s="5" t="n">
        <f aca="false">U357*Z357</f>
        <v>0</v>
      </c>
      <c r="AC357" s="115" t="n">
        <f aca="false">IF(G350=2,F357*(S357-Q357),F357*(Q357-S357))</f>
        <v>0</v>
      </c>
      <c r="AE357" s="116" t="n">
        <f aca="false">IF($G$3=1,F357*(R357-Q357),F357*(Q357-R357))</f>
        <v>0</v>
      </c>
      <c r="AG357" s="116" t="n">
        <f aca="false">AC357+AE357</f>
        <v>0</v>
      </c>
    </row>
    <row r="358" customFormat="false" ht="12" hidden="false" customHeight="true" outlineLevel="0" collapsed="false">
      <c r="A358" s="120" t="n">
        <f aca="false">EDATE(A357,1)</f>
        <v>47880</v>
      </c>
      <c r="B358" s="121" t="n">
        <v>0</v>
      </c>
      <c r="C358" s="122"/>
      <c r="D358" s="123" t="n">
        <f aca="false">B358+C358</f>
        <v>0</v>
      </c>
      <c r="E358" s="111" t="n">
        <f aca="false">IF(Z358=0,0,IF(AND(Z358=1,$H$3=1),D358*U358,IF($H$3=2,D358,"N/A")))</f>
        <v>0</v>
      </c>
      <c r="F358" s="111" t="n">
        <f aca="false">E358*Y358</f>
        <v>0</v>
      </c>
      <c r="G358" s="124" t="n">
        <f aca="false">VLOOKUP($A358,Table,MATCH(G$4,Curves,0))</f>
        <v>3</v>
      </c>
      <c r="H358" s="125" t="n">
        <f aca="false">G358+$H$7</f>
        <v>3</v>
      </c>
      <c r="I358" s="124" t="n">
        <f aca="false">H358</f>
        <v>3</v>
      </c>
      <c r="J358" s="124" t="n">
        <f aca="false">VLOOKUP($A358,Table,MATCH(J$4,Curves,0))</f>
        <v>4</v>
      </c>
      <c r="K358" s="125" t="n">
        <f aca="false">J358+$K$7</f>
        <v>4</v>
      </c>
      <c r="L358" s="126" t="n">
        <f aca="false">K358</f>
        <v>4</v>
      </c>
      <c r="M358" s="124" t="n">
        <f aca="false">VLOOKUP($A358,Table,MATCH(M$4,Curves,0))</f>
        <v>4</v>
      </c>
      <c r="N358" s="125" t="n">
        <f aca="false">M358+$N$7</f>
        <v>4</v>
      </c>
      <c r="O358" s="126" t="n">
        <f aca="false">IF(B358&gt;0,(1000/B358*0.25)+((B358-1000)/B358*0.12),0)</f>
        <v>0</v>
      </c>
      <c r="P358" s="114"/>
      <c r="Q358" s="126" t="n">
        <f aca="false">M358+J358+G358</f>
        <v>11</v>
      </c>
      <c r="R358" s="126" t="n">
        <f aca="false">N358+K358+H358</f>
        <v>11</v>
      </c>
      <c r="S358" s="126" t="n">
        <f aca="false">O358+L358+I358</f>
        <v>7</v>
      </c>
      <c r="T358" s="127"/>
      <c r="U358" s="5" t="n">
        <f aca="false">A359-A358</f>
        <v>28</v>
      </c>
      <c r="V358" s="128" t="n">
        <f aca="false">CHOOSE(F$3,A359+24,A358)</f>
        <v>47880</v>
      </c>
      <c r="W358" s="5" t="n">
        <f aca="false">V358-C$3</f>
        <v>10649</v>
      </c>
      <c r="X358" s="124" t="n">
        <f aca="false">VLOOKUP($A358,Table,MATCH(X$4,Curves,0))</f>
        <v>2</v>
      </c>
      <c r="Y358" s="129" t="n">
        <f aca="false">1/(1+CHOOSE(F$3,(X359+($K$3/10000))/2,(X358+($K$3/10000))/2))^(2*W358/365.25)</f>
        <v>2.79715391987012E-018</v>
      </c>
      <c r="Z358" s="5" t="n">
        <f aca="false">IF(AND(mthbeg&lt;=A358,mthend&gt;=A358),1,0)</f>
        <v>0</v>
      </c>
      <c r="AA358" s="5" t="n">
        <f aca="false">U358*Z358</f>
        <v>0</v>
      </c>
      <c r="AC358" s="115" t="n">
        <f aca="false">IF(G351=2,F358*(S358-Q358),F358*(Q358-S358))</f>
        <v>0</v>
      </c>
      <c r="AE358" s="116" t="n">
        <f aca="false">IF($G$3=1,F358*(R358-Q358),F358*(Q358-R358))</f>
        <v>0</v>
      </c>
      <c r="AG358" s="116" t="n">
        <f aca="false">AC358+AE358</f>
        <v>0</v>
      </c>
    </row>
    <row r="359" customFormat="false" ht="12" hidden="false" customHeight="true" outlineLevel="0" collapsed="false">
      <c r="A359" s="120" t="n">
        <f aca="false">EDATE(A358,1)</f>
        <v>47908</v>
      </c>
      <c r="B359" s="121" t="n">
        <v>0</v>
      </c>
      <c r="C359" s="122"/>
      <c r="D359" s="123" t="n">
        <f aca="false">B359+C359</f>
        <v>0</v>
      </c>
      <c r="E359" s="111" t="n">
        <f aca="false">IF(Z359=0,0,IF(AND(Z359=1,$H$3=1),D359*U359,IF($H$3=2,D359,"N/A")))</f>
        <v>0</v>
      </c>
      <c r="F359" s="111" t="n">
        <f aca="false">E359*Y359</f>
        <v>0</v>
      </c>
      <c r="G359" s="124" t="n">
        <f aca="false">VLOOKUP($A359,Table,MATCH(G$4,Curves,0))</f>
        <v>3</v>
      </c>
      <c r="H359" s="125" t="n">
        <f aca="false">G359+$H$7</f>
        <v>3</v>
      </c>
      <c r="I359" s="124" t="n">
        <f aca="false">H359</f>
        <v>3</v>
      </c>
      <c r="J359" s="124" t="n">
        <f aca="false">VLOOKUP($A359,Table,MATCH(J$4,Curves,0))</f>
        <v>4</v>
      </c>
      <c r="K359" s="125" t="n">
        <f aca="false">J359+$K$7</f>
        <v>4</v>
      </c>
      <c r="L359" s="126" t="n">
        <f aca="false">K359</f>
        <v>4</v>
      </c>
      <c r="M359" s="124" t="n">
        <f aca="false">VLOOKUP($A359,Table,MATCH(M$4,Curves,0))</f>
        <v>4</v>
      </c>
      <c r="N359" s="125" t="n">
        <f aca="false">M359+$N$7</f>
        <v>4</v>
      </c>
      <c r="O359" s="126" t="n">
        <f aca="false">IF(B359&gt;0,(1000/B359*0.25)+((B359-1000)/B359*0.12),0)</f>
        <v>0</v>
      </c>
      <c r="P359" s="114"/>
      <c r="Q359" s="126" t="n">
        <f aca="false">M359+J359+G359</f>
        <v>11</v>
      </c>
      <c r="R359" s="126" t="n">
        <f aca="false">N359+K359+H359</f>
        <v>11</v>
      </c>
      <c r="S359" s="126" t="n">
        <f aca="false">O359+L359+I359</f>
        <v>7</v>
      </c>
      <c r="T359" s="127"/>
      <c r="U359" s="5" t="n">
        <f aca="false">A360-A359</f>
        <v>31</v>
      </c>
      <c r="V359" s="128" t="n">
        <f aca="false">CHOOSE(F$3,A360+24,A359)</f>
        <v>47908</v>
      </c>
      <c r="W359" s="5" t="n">
        <f aca="false">V359-C$3</f>
        <v>10677</v>
      </c>
      <c r="X359" s="124" t="n">
        <f aca="false">VLOOKUP($A359,Table,MATCH(X$4,Curves,0))</f>
        <v>2</v>
      </c>
      <c r="Y359" s="129" t="n">
        <f aca="false">1/(1+CHOOSE(F$3,(X360+($K$3/10000))/2,(X359+($K$3/10000))/2))^(2*W359/365.25)</f>
        <v>2.51514225362807E-018</v>
      </c>
      <c r="Z359" s="5" t="n">
        <f aca="false">IF(AND(mthbeg&lt;=A359,mthend&gt;=A359),1,0)</f>
        <v>0</v>
      </c>
      <c r="AA359" s="5" t="n">
        <f aca="false">U359*Z359</f>
        <v>0</v>
      </c>
      <c r="AC359" s="115" t="n">
        <f aca="false">IF(G352=2,F359*(S359-Q359),F359*(Q359-S359))</f>
        <v>0</v>
      </c>
      <c r="AE359" s="116" t="n">
        <f aca="false">IF($G$3=1,F359*(R359-Q359),F359*(Q359-R359))</f>
        <v>0</v>
      </c>
      <c r="AG359" s="116" t="n">
        <f aca="false">AC359+AE359</f>
        <v>0</v>
      </c>
    </row>
    <row r="360" customFormat="false" ht="12" hidden="false" customHeight="true" outlineLevel="0" collapsed="false">
      <c r="A360" s="120" t="n">
        <f aca="false">EDATE(A359,1)</f>
        <v>47939</v>
      </c>
      <c r="B360" s="121" t="n">
        <v>0</v>
      </c>
      <c r="C360" s="122"/>
      <c r="D360" s="123" t="n">
        <f aca="false">B360+C360</f>
        <v>0</v>
      </c>
      <c r="E360" s="111" t="n">
        <f aca="false">IF(Z360=0,0,IF(AND(Z360=1,$H$3=1),D360*U360,IF($H$3=2,D360,"N/A")))</f>
        <v>0</v>
      </c>
      <c r="F360" s="111" t="n">
        <f aca="false">E360*Y360</f>
        <v>0</v>
      </c>
      <c r="G360" s="124" t="n">
        <f aca="false">VLOOKUP($A360,Table,MATCH(G$4,Curves,0))</f>
        <v>3</v>
      </c>
      <c r="H360" s="125" t="n">
        <f aca="false">G360+$H$7</f>
        <v>3</v>
      </c>
      <c r="I360" s="124" t="n">
        <f aca="false">H360</f>
        <v>3</v>
      </c>
      <c r="J360" s="124" t="n">
        <f aca="false">VLOOKUP($A360,Table,MATCH(J$4,Curves,0))</f>
        <v>4</v>
      </c>
      <c r="K360" s="125" t="n">
        <f aca="false">J360+$K$7</f>
        <v>4</v>
      </c>
      <c r="L360" s="126" t="n">
        <f aca="false">K360</f>
        <v>4</v>
      </c>
      <c r="M360" s="124" t="n">
        <f aca="false">VLOOKUP($A360,Table,MATCH(M$4,Curves,0))</f>
        <v>4</v>
      </c>
      <c r="N360" s="125" t="n">
        <f aca="false">M360+$N$7</f>
        <v>4</v>
      </c>
      <c r="O360" s="126" t="n">
        <f aca="false">IF(B360&gt;0,(1000/B360*0.25)+((B360-1000)/B360*0.12),0)</f>
        <v>0</v>
      </c>
      <c r="P360" s="114"/>
      <c r="Q360" s="126" t="n">
        <f aca="false">M360+J360+G360</f>
        <v>11</v>
      </c>
      <c r="R360" s="126" t="n">
        <f aca="false">N360+K360+H360</f>
        <v>11</v>
      </c>
      <c r="S360" s="126" t="n">
        <f aca="false">O360+L360+I360</f>
        <v>7</v>
      </c>
      <c r="T360" s="127"/>
      <c r="U360" s="5" t="n">
        <f aca="false">A361-A360</f>
        <v>30</v>
      </c>
      <c r="V360" s="128" t="n">
        <f aca="false">CHOOSE(F$3,A361+24,A360)</f>
        <v>47939</v>
      </c>
      <c r="W360" s="5" t="n">
        <f aca="false">V360-C$3</f>
        <v>10708</v>
      </c>
      <c r="X360" s="124" t="n">
        <f aca="false">VLOOKUP($A360,Table,MATCH(X$4,Curves,0))</f>
        <v>2</v>
      </c>
      <c r="Y360" s="129" t="n">
        <f aca="false">1/(1+CHOOSE(F$3,(X361+($K$3/10000))/2,(X360+($K$3/10000))/2))^(2*W360/365.25)</f>
        <v>2.23595825068451E-018</v>
      </c>
      <c r="Z360" s="5" t="n">
        <f aca="false">IF(AND(mthbeg&lt;=A360,mthend&gt;=A360),1,0)</f>
        <v>0</v>
      </c>
      <c r="AA360" s="5" t="n">
        <f aca="false">U360*Z360</f>
        <v>0</v>
      </c>
      <c r="AC360" s="115" t="n">
        <f aca="false">IF(G353=2,F360*(S360-Q360),F360*(Q360-S360))</f>
        <v>0</v>
      </c>
      <c r="AE360" s="116" t="n">
        <f aca="false">IF($G$3=1,F360*(R360-Q360),F360*(Q360-R360))</f>
        <v>0</v>
      </c>
      <c r="AG360" s="116" t="n">
        <f aca="false">AC360+AE360</f>
        <v>0</v>
      </c>
    </row>
    <row r="361" customFormat="false" ht="12" hidden="false" customHeight="true" outlineLevel="0" collapsed="false">
      <c r="A361" s="120" t="n">
        <f aca="false">EDATE(A360,1)</f>
        <v>47969</v>
      </c>
      <c r="B361" s="121" t="n">
        <v>0</v>
      </c>
      <c r="C361" s="122"/>
      <c r="D361" s="123" t="n">
        <f aca="false">B361+C361</f>
        <v>0</v>
      </c>
      <c r="E361" s="111" t="n">
        <f aca="false">IF(Z361=0,0,IF(AND(Z361=1,$H$3=1),D361*U361,IF($H$3=2,D361,"N/A")))</f>
        <v>0</v>
      </c>
      <c r="F361" s="111" t="n">
        <f aca="false">E361*Y361</f>
        <v>0</v>
      </c>
      <c r="G361" s="124" t="n">
        <f aca="false">VLOOKUP($A361,Table,MATCH(G$4,Curves,0))</f>
        <v>3</v>
      </c>
      <c r="H361" s="125" t="n">
        <f aca="false">G361+$H$7</f>
        <v>3</v>
      </c>
      <c r="I361" s="124" t="n">
        <f aca="false">H361</f>
        <v>3</v>
      </c>
      <c r="J361" s="124" t="n">
        <f aca="false">VLOOKUP($A361,Table,MATCH(J$4,Curves,0))</f>
        <v>4</v>
      </c>
      <c r="K361" s="125" t="n">
        <f aca="false">J361+$K$7</f>
        <v>4</v>
      </c>
      <c r="L361" s="126" t="n">
        <f aca="false">K361</f>
        <v>4</v>
      </c>
      <c r="M361" s="124" t="n">
        <f aca="false">VLOOKUP($A361,Table,MATCH(M$4,Curves,0))</f>
        <v>4</v>
      </c>
      <c r="N361" s="125" t="n">
        <f aca="false">M361+$N$7</f>
        <v>4</v>
      </c>
      <c r="O361" s="126" t="n">
        <f aca="false">IF(B361&gt;0,(1000/B361*0.25)+((B361-1000)/B361*0.12),0)</f>
        <v>0</v>
      </c>
      <c r="P361" s="114"/>
      <c r="Q361" s="126" t="n">
        <f aca="false">M361+J361+G361</f>
        <v>11</v>
      </c>
      <c r="R361" s="126" t="n">
        <f aca="false">N361+K361+H361</f>
        <v>11</v>
      </c>
      <c r="S361" s="126" t="n">
        <f aca="false">O361+L361+I361</f>
        <v>7</v>
      </c>
      <c r="T361" s="127"/>
      <c r="U361" s="5" t="n">
        <f aca="false">A362-A361</f>
        <v>31</v>
      </c>
      <c r="V361" s="128" t="n">
        <f aca="false">CHOOSE(F$3,A362+24,A361)</f>
        <v>47969</v>
      </c>
      <c r="W361" s="5" t="n">
        <f aca="false">V361-C$3</f>
        <v>10738</v>
      </c>
      <c r="X361" s="124" t="n">
        <f aca="false">VLOOKUP($A361,Table,MATCH(X$4,Curves,0))</f>
        <v>2</v>
      </c>
      <c r="Y361" s="129" t="n">
        <f aca="false">1/(1+CHOOSE(F$3,(X362+($K$3/10000))/2,(X361+($K$3/10000))/2))^(2*W361/365.25)</f>
        <v>1.99532285724899E-018</v>
      </c>
      <c r="Z361" s="5" t="n">
        <f aca="false">IF(AND(mthbeg&lt;=A361,mthend&gt;=A361),1,0)</f>
        <v>0</v>
      </c>
      <c r="AA361" s="5" t="n">
        <f aca="false">U361*Z361</f>
        <v>0</v>
      </c>
      <c r="AC361" s="115" t="n">
        <f aca="false">IF(G354=2,F361*(S361-Q361),F361*(Q361-S361))</f>
        <v>0</v>
      </c>
      <c r="AE361" s="116" t="n">
        <f aca="false">IF($G$3=1,F361*(R361-Q361),F361*(Q361-R361))</f>
        <v>0</v>
      </c>
      <c r="AG361" s="116" t="n">
        <f aca="false">AC361+AE361</f>
        <v>0</v>
      </c>
    </row>
    <row r="362" customFormat="false" ht="12" hidden="false" customHeight="true" outlineLevel="0" collapsed="false">
      <c r="A362" s="120" t="n">
        <f aca="false">EDATE(A361,1)</f>
        <v>48000</v>
      </c>
      <c r="B362" s="121" t="n">
        <v>0</v>
      </c>
      <c r="C362" s="122"/>
      <c r="D362" s="123" t="n">
        <f aca="false">B362+C362</f>
        <v>0</v>
      </c>
      <c r="E362" s="111" t="n">
        <f aca="false">IF(Z362=0,0,IF(AND(Z362=1,$H$3=1),D362*U362,IF($H$3=2,D362,"N/A")))</f>
        <v>0</v>
      </c>
      <c r="F362" s="111" t="n">
        <f aca="false">E362*Y362</f>
        <v>0</v>
      </c>
      <c r="G362" s="124" t="n">
        <f aca="false">VLOOKUP($A362,Table,MATCH(G$4,Curves,0))</f>
        <v>3</v>
      </c>
      <c r="H362" s="125" t="n">
        <f aca="false">G362+$H$7</f>
        <v>3</v>
      </c>
      <c r="I362" s="124" t="n">
        <f aca="false">H362</f>
        <v>3</v>
      </c>
      <c r="J362" s="124" t="n">
        <f aca="false">VLOOKUP($A362,Table,MATCH(J$4,Curves,0))</f>
        <v>4</v>
      </c>
      <c r="K362" s="125" t="n">
        <f aca="false">J362+$K$7</f>
        <v>4</v>
      </c>
      <c r="L362" s="126" t="n">
        <f aca="false">K362</f>
        <v>4</v>
      </c>
      <c r="M362" s="124" t="n">
        <f aca="false">VLOOKUP($A362,Table,MATCH(M$4,Curves,0))</f>
        <v>4</v>
      </c>
      <c r="N362" s="125" t="n">
        <f aca="false">M362+$N$7</f>
        <v>4</v>
      </c>
      <c r="O362" s="126" t="n">
        <f aca="false">IF(B362&gt;0,(1000/B362*0.25)+((B362-1000)/B362*0.12),0)</f>
        <v>0</v>
      </c>
      <c r="P362" s="114"/>
      <c r="Q362" s="126" t="n">
        <f aca="false">M362+J362+G362</f>
        <v>11</v>
      </c>
      <c r="R362" s="126" t="n">
        <f aca="false">N362+K362+H362</f>
        <v>11</v>
      </c>
      <c r="S362" s="126" t="n">
        <f aca="false">O362+L362+I362</f>
        <v>7</v>
      </c>
      <c r="T362" s="127"/>
      <c r="U362" s="5" t="n">
        <f aca="false">A363-A362</f>
        <v>30</v>
      </c>
      <c r="V362" s="128" t="n">
        <f aca="false">CHOOSE(F$3,A363+24,A362)</f>
        <v>48000</v>
      </c>
      <c r="W362" s="5" t="n">
        <f aca="false">V362-C$3</f>
        <v>10769</v>
      </c>
      <c r="X362" s="124" t="n">
        <f aca="false">VLOOKUP($A362,Table,MATCH(X$4,Curves,0))</f>
        <v>2</v>
      </c>
      <c r="Y362" s="129" t="n">
        <f aca="false">1/(1+CHOOSE(F$3,(X363+($K$3/10000))/2,(X362+($K$3/10000))/2))^(2*W362/365.25)</f>
        <v>1.77383947131009E-018</v>
      </c>
      <c r="Z362" s="5" t="n">
        <f aca="false">IF(AND(mthbeg&lt;=A362,mthend&gt;=A362),1,0)</f>
        <v>0</v>
      </c>
      <c r="AA362" s="5" t="n">
        <f aca="false">U362*Z362</f>
        <v>0</v>
      </c>
      <c r="AC362" s="115" t="n">
        <f aca="false">IF(G355=2,F362*(S362-Q362),F362*(Q362-S362))</f>
        <v>0</v>
      </c>
      <c r="AE362" s="116" t="n">
        <f aca="false">IF($G$3=1,F362*(R362-Q362),F362*(Q362-R362))</f>
        <v>0</v>
      </c>
      <c r="AG362" s="116" t="n">
        <f aca="false">AC362+AE362</f>
        <v>0</v>
      </c>
    </row>
    <row r="363" customFormat="false" ht="12" hidden="false" customHeight="true" outlineLevel="0" collapsed="false">
      <c r="A363" s="120" t="n">
        <f aca="false">EDATE(A362,1)</f>
        <v>48030</v>
      </c>
      <c r="B363" s="121" t="n">
        <v>0</v>
      </c>
      <c r="C363" s="122"/>
      <c r="D363" s="123" t="n">
        <f aca="false">B363+C363</f>
        <v>0</v>
      </c>
      <c r="E363" s="111" t="n">
        <f aca="false">IF(Z363=0,0,IF(AND(Z363=1,$H$3=1),D363*U363,IF($H$3=2,D363,"N/A")))</f>
        <v>0</v>
      </c>
      <c r="F363" s="111" t="n">
        <f aca="false">E363*Y363</f>
        <v>0</v>
      </c>
      <c r="G363" s="124" t="n">
        <f aca="false">VLOOKUP($A363,Table,MATCH(G$4,Curves,0))</f>
        <v>3</v>
      </c>
      <c r="H363" s="125" t="n">
        <f aca="false">G363+$H$7</f>
        <v>3</v>
      </c>
      <c r="I363" s="124" t="n">
        <f aca="false">H363</f>
        <v>3</v>
      </c>
      <c r="J363" s="124" t="n">
        <f aca="false">VLOOKUP($A363,Table,MATCH(J$4,Curves,0))</f>
        <v>4</v>
      </c>
      <c r="K363" s="125" t="n">
        <f aca="false">J363+$K$7</f>
        <v>4</v>
      </c>
      <c r="L363" s="126" t="n">
        <f aca="false">K363</f>
        <v>4</v>
      </c>
      <c r="M363" s="124" t="n">
        <f aca="false">VLOOKUP($A363,Table,MATCH(M$4,Curves,0))</f>
        <v>4</v>
      </c>
      <c r="N363" s="125" t="n">
        <f aca="false">M363+$N$7</f>
        <v>4</v>
      </c>
      <c r="O363" s="126" t="n">
        <f aca="false">IF(B363&gt;0,(1000/B363*0.25)+((B363-1000)/B363*0.12),0)</f>
        <v>0</v>
      </c>
      <c r="P363" s="114"/>
      <c r="Q363" s="126" t="n">
        <f aca="false">M363+J363+G363</f>
        <v>11</v>
      </c>
      <c r="R363" s="126" t="n">
        <f aca="false">N363+K363+H363</f>
        <v>11</v>
      </c>
      <c r="S363" s="126" t="n">
        <f aca="false">O363+L363+I363</f>
        <v>7</v>
      </c>
      <c r="T363" s="127"/>
      <c r="U363" s="5" t="n">
        <f aca="false">A364-A363</f>
        <v>31</v>
      </c>
      <c r="V363" s="128" t="n">
        <f aca="false">CHOOSE(F$3,A364+24,A363)</f>
        <v>48030</v>
      </c>
      <c r="W363" s="5" t="n">
        <f aca="false">V363-C$3</f>
        <v>10799</v>
      </c>
      <c r="X363" s="124" t="n">
        <f aca="false">VLOOKUP($A363,Table,MATCH(X$4,Curves,0))</f>
        <v>2</v>
      </c>
      <c r="Y363" s="129" t="n">
        <f aca="false">1/(1+CHOOSE(F$3,(X364+($K$3/10000))/2,(X363+($K$3/10000))/2))^(2*W363/365.25)</f>
        <v>1.58293762466807E-018</v>
      </c>
      <c r="Z363" s="5" t="n">
        <f aca="false">IF(AND(mthbeg&lt;=A363,mthend&gt;=A363),1,0)</f>
        <v>0</v>
      </c>
      <c r="AA363" s="5" t="n">
        <f aca="false">U363*Z363</f>
        <v>0</v>
      </c>
      <c r="AC363" s="115" t="n">
        <f aca="false">IF(G356=2,F363*(S363-Q363),F363*(Q363-S363))</f>
        <v>0</v>
      </c>
      <c r="AE363" s="116" t="n">
        <f aca="false">IF($G$3=1,F363*(R363-Q363),F363*(Q363-R363))</f>
        <v>0</v>
      </c>
      <c r="AG363" s="116" t="n">
        <f aca="false">AC363+AE363</f>
        <v>0</v>
      </c>
    </row>
    <row r="364" customFormat="false" ht="12" hidden="false" customHeight="true" outlineLevel="0" collapsed="false">
      <c r="A364" s="120" t="n">
        <f aca="false">EDATE(A363,1)</f>
        <v>48061</v>
      </c>
      <c r="B364" s="121" t="n">
        <v>0</v>
      </c>
      <c r="C364" s="122"/>
      <c r="D364" s="123" t="n">
        <f aca="false">B364+C364</f>
        <v>0</v>
      </c>
      <c r="E364" s="111" t="n">
        <f aca="false">IF(Z364=0,0,IF(AND(Z364=1,$H$3=1),D364*U364,IF($H$3=2,D364,"N/A")))</f>
        <v>0</v>
      </c>
      <c r="F364" s="111" t="n">
        <f aca="false">E364*Y364</f>
        <v>0</v>
      </c>
      <c r="G364" s="124" t="n">
        <f aca="false">VLOOKUP($A364,Table,MATCH(G$4,Curves,0))</f>
        <v>3</v>
      </c>
      <c r="H364" s="125" t="n">
        <f aca="false">G364+$H$7</f>
        <v>3</v>
      </c>
      <c r="I364" s="124" t="n">
        <f aca="false">H364</f>
        <v>3</v>
      </c>
      <c r="J364" s="124" t="n">
        <f aca="false">VLOOKUP($A364,Table,MATCH(J$4,Curves,0))</f>
        <v>4</v>
      </c>
      <c r="K364" s="125" t="n">
        <f aca="false">J364+$K$7</f>
        <v>4</v>
      </c>
      <c r="L364" s="126" t="n">
        <f aca="false">K364</f>
        <v>4</v>
      </c>
      <c r="M364" s="124" t="n">
        <f aca="false">VLOOKUP($A364,Table,MATCH(M$4,Curves,0))</f>
        <v>4</v>
      </c>
      <c r="N364" s="125" t="n">
        <f aca="false">M364+$N$7</f>
        <v>4</v>
      </c>
      <c r="O364" s="126" t="n">
        <f aca="false">IF(B364&gt;0,(1000/B364*0.25)+((B364-1000)/B364*0.12),0)</f>
        <v>0</v>
      </c>
      <c r="P364" s="114"/>
      <c r="Q364" s="126" t="n">
        <f aca="false">M364+J364+G364</f>
        <v>11</v>
      </c>
      <c r="R364" s="126" t="n">
        <f aca="false">N364+K364+H364</f>
        <v>11</v>
      </c>
      <c r="S364" s="126" t="n">
        <f aca="false">O364+L364+I364</f>
        <v>7</v>
      </c>
      <c r="T364" s="127"/>
      <c r="U364" s="5" t="n">
        <f aca="false">A365-A364</f>
        <v>31</v>
      </c>
      <c r="V364" s="128" t="n">
        <f aca="false">CHOOSE(F$3,A365+24,A364)</f>
        <v>48061</v>
      </c>
      <c r="W364" s="5" t="n">
        <f aca="false">V364-C$3</f>
        <v>10830</v>
      </c>
      <c r="X364" s="124" t="n">
        <f aca="false">VLOOKUP($A364,Table,MATCH(X$4,Curves,0))</f>
        <v>2</v>
      </c>
      <c r="Y364" s="129" t="n">
        <f aca="false">1/(1+CHOOSE(F$3,(X365+($K$3/10000))/2,(X364+($K$3/10000))/2))^(2*W364/365.25)</f>
        <v>1.40722952631803E-018</v>
      </c>
      <c r="Z364" s="5" t="n">
        <f aca="false">IF(AND(mthbeg&lt;=A364,mthend&gt;=A364),1,0)</f>
        <v>0</v>
      </c>
      <c r="AA364" s="5" t="n">
        <f aca="false">U364*Z364</f>
        <v>0</v>
      </c>
      <c r="AC364" s="115" t="n">
        <f aca="false">IF(G357=2,F364*(S364-Q364),F364*(Q364-S364))</f>
        <v>0</v>
      </c>
      <c r="AE364" s="116" t="n">
        <f aca="false">IF($G$3=1,F364*(R364-Q364),F364*(Q364-R364))</f>
        <v>0</v>
      </c>
      <c r="AG364" s="116" t="n">
        <f aca="false">AC364+AE364</f>
        <v>0</v>
      </c>
    </row>
    <row r="365" customFormat="false" ht="12" hidden="false" customHeight="true" outlineLevel="0" collapsed="false">
      <c r="A365" s="120" t="n">
        <f aca="false">EDATE(A364,1)</f>
        <v>48092</v>
      </c>
      <c r="B365" s="121" t="n">
        <v>0</v>
      </c>
      <c r="C365" s="122"/>
      <c r="D365" s="123" t="n">
        <f aca="false">B365+C365</f>
        <v>0</v>
      </c>
      <c r="E365" s="111" t="n">
        <f aca="false">IF(Z365=0,0,IF(AND(Z365=1,$H$3=1),D365*U365,IF($H$3=2,D365,"N/A")))</f>
        <v>0</v>
      </c>
      <c r="F365" s="111" t="n">
        <f aca="false">E365*Y365</f>
        <v>0</v>
      </c>
      <c r="G365" s="124" t="n">
        <f aca="false">VLOOKUP($A365,Table,MATCH(G$4,Curves,0))</f>
        <v>3</v>
      </c>
      <c r="H365" s="125" t="n">
        <f aca="false">G365+$H$7</f>
        <v>3</v>
      </c>
      <c r="I365" s="124" t="n">
        <f aca="false">H365</f>
        <v>3</v>
      </c>
      <c r="J365" s="124" t="n">
        <f aca="false">VLOOKUP($A365,Table,MATCH(J$4,Curves,0))</f>
        <v>4</v>
      </c>
      <c r="K365" s="125" t="n">
        <f aca="false">J365+$K$7</f>
        <v>4</v>
      </c>
      <c r="L365" s="126" t="n">
        <f aca="false">K365</f>
        <v>4</v>
      </c>
      <c r="M365" s="124" t="n">
        <f aca="false">VLOOKUP($A365,Table,MATCH(M$4,Curves,0))</f>
        <v>4</v>
      </c>
      <c r="N365" s="125" t="n">
        <f aca="false">M365+$N$7</f>
        <v>4</v>
      </c>
      <c r="O365" s="126" t="n">
        <f aca="false">IF(B365&gt;0,(1000/B365*0.25)+((B365-1000)/B365*0.12),0)</f>
        <v>0</v>
      </c>
      <c r="P365" s="114"/>
      <c r="Q365" s="126" t="n">
        <f aca="false">M365+J365+G365</f>
        <v>11</v>
      </c>
      <c r="R365" s="126" t="n">
        <f aca="false">N365+K365+H365</f>
        <v>11</v>
      </c>
      <c r="S365" s="126" t="n">
        <f aca="false">O365+L365+I365</f>
        <v>7</v>
      </c>
      <c r="T365" s="127"/>
      <c r="U365" s="5" t="n">
        <f aca="false">A366-A365</f>
        <v>30</v>
      </c>
      <c r="V365" s="128" t="n">
        <f aca="false">CHOOSE(F$3,A366+24,A365)</f>
        <v>48092</v>
      </c>
      <c r="W365" s="5" t="n">
        <f aca="false">V365-C$3</f>
        <v>10861</v>
      </c>
      <c r="X365" s="124" t="n">
        <f aca="false">VLOOKUP($A365,Table,MATCH(X$4,Curves,0))</f>
        <v>2</v>
      </c>
      <c r="Y365" s="129" t="n">
        <f aca="false">1/(1+CHOOSE(F$3,(X366+($K$3/10000))/2,(X365+($K$3/10000))/2))^(2*W365/365.25)</f>
        <v>1.25102525133076E-018</v>
      </c>
      <c r="Z365" s="5" t="n">
        <f aca="false">IF(AND(mthbeg&lt;=A365,mthend&gt;=A365),1,0)</f>
        <v>0</v>
      </c>
      <c r="AA365" s="5" t="n">
        <f aca="false">U365*Z365</f>
        <v>0</v>
      </c>
      <c r="AC365" s="115" t="n">
        <f aca="false">IF(G358=2,F365*(S365-Q365),F365*(Q365-S365))</f>
        <v>0</v>
      </c>
      <c r="AE365" s="116" t="n">
        <f aca="false">IF($G$3=1,F365*(R365-Q365),F365*(Q365-R365))</f>
        <v>0</v>
      </c>
      <c r="AG365" s="116" t="n">
        <f aca="false">AC365+AE365</f>
        <v>0</v>
      </c>
    </row>
    <row r="366" customFormat="false" ht="12" hidden="false" customHeight="true" outlineLevel="0" collapsed="false">
      <c r="A366" s="120" t="n">
        <f aca="false">EDATE(A365,1)</f>
        <v>48122</v>
      </c>
      <c r="B366" s="121" t="n">
        <v>0</v>
      </c>
      <c r="C366" s="122"/>
      <c r="D366" s="123" t="n">
        <f aca="false">B366+C366</f>
        <v>0</v>
      </c>
      <c r="E366" s="111" t="n">
        <f aca="false">IF(Z366=0,0,IF(AND(Z366=1,$H$3=1),D366*U366,IF($H$3=2,D366,"N/A")))</f>
        <v>0</v>
      </c>
      <c r="F366" s="111" t="n">
        <f aca="false">E366*Y366</f>
        <v>0</v>
      </c>
      <c r="G366" s="124" t="n">
        <f aca="false">VLOOKUP($A366,Table,MATCH(G$4,Curves,0))</f>
        <v>3</v>
      </c>
      <c r="H366" s="125" t="n">
        <f aca="false">G366+$H$7</f>
        <v>3</v>
      </c>
      <c r="I366" s="124" t="n">
        <f aca="false">H366</f>
        <v>3</v>
      </c>
      <c r="J366" s="124" t="n">
        <f aca="false">VLOOKUP($A366,Table,MATCH(J$4,Curves,0))</f>
        <v>4</v>
      </c>
      <c r="K366" s="125" t="n">
        <f aca="false">J366+$K$7</f>
        <v>4</v>
      </c>
      <c r="L366" s="126" t="n">
        <f aca="false">K366</f>
        <v>4</v>
      </c>
      <c r="M366" s="124" t="n">
        <f aca="false">VLOOKUP($A366,Table,MATCH(M$4,Curves,0))</f>
        <v>4</v>
      </c>
      <c r="N366" s="125" t="n">
        <f aca="false">M366+$N$7</f>
        <v>4</v>
      </c>
      <c r="O366" s="126" t="n">
        <f aca="false">IF(B366&gt;0,(1000/B366*0.25)+((B366-1000)/B366*0.12),0)</f>
        <v>0</v>
      </c>
      <c r="P366" s="114"/>
      <c r="Q366" s="126" t="n">
        <f aca="false">M366+J366+G366</f>
        <v>11</v>
      </c>
      <c r="R366" s="126" t="n">
        <f aca="false">N366+K366+H366</f>
        <v>11</v>
      </c>
      <c r="S366" s="126" t="n">
        <f aca="false">O366+L366+I366</f>
        <v>7</v>
      </c>
      <c r="T366" s="127"/>
      <c r="U366" s="5" t="n">
        <f aca="false">A367-A366</f>
        <v>31</v>
      </c>
      <c r="V366" s="128" t="n">
        <f aca="false">CHOOSE(F$3,A367+24,A366)</f>
        <v>48122</v>
      </c>
      <c r="W366" s="5" t="n">
        <f aca="false">V366-C$3</f>
        <v>10891</v>
      </c>
      <c r="X366" s="124" t="n">
        <f aca="false">VLOOKUP($A366,Table,MATCH(X$4,Curves,0))</f>
        <v>2</v>
      </c>
      <c r="Y366" s="129" t="n">
        <f aca="false">1/(1+CHOOSE(F$3,(X367+($K$3/10000))/2,(X366+($K$3/10000))/2))^(2*W366/365.25)</f>
        <v>1.11638903732292E-018</v>
      </c>
      <c r="Z366" s="5" t="n">
        <f aca="false">IF(AND(mthbeg&lt;=A366,mthend&gt;=A366),1,0)</f>
        <v>0</v>
      </c>
      <c r="AA366" s="5" t="n">
        <f aca="false">U366*Z366</f>
        <v>0</v>
      </c>
      <c r="AC366" s="115" t="n">
        <f aca="false">IF(G359=2,F366*(S366-Q366),F366*(Q366-S366))</f>
        <v>0</v>
      </c>
      <c r="AE366" s="116" t="n">
        <f aca="false">IF($G$3=1,F366*(R366-Q366),F366*(Q366-R366))</f>
        <v>0</v>
      </c>
      <c r="AG366" s="116" t="n">
        <f aca="false">AC366+AE366</f>
        <v>0</v>
      </c>
    </row>
    <row r="367" customFormat="false" ht="12" hidden="false" customHeight="true" outlineLevel="0" collapsed="false">
      <c r="A367" s="120" t="n">
        <f aca="false">EDATE(A366,1)</f>
        <v>48153</v>
      </c>
      <c r="B367" s="121" t="n">
        <v>0</v>
      </c>
      <c r="C367" s="122"/>
      <c r="D367" s="123" t="n">
        <f aca="false">B367+C367</f>
        <v>0</v>
      </c>
      <c r="E367" s="111" t="n">
        <f aca="false">IF(Z367=0,0,IF(AND(Z367=1,$H$3=1),D367*U367,IF($H$3=2,D367,"N/A")))</f>
        <v>0</v>
      </c>
      <c r="F367" s="111" t="n">
        <f aca="false">E367*Y367</f>
        <v>0</v>
      </c>
      <c r="G367" s="124" t="n">
        <f aca="false">VLOOKUP($A367,Table,MATCH(G$4,Curves,0))</f>
        <v>3</v>
      </c>
      <c r="H367" s="125" t="n">
        <f aca="false">G367+$H$7</f>
        <v>3</v>
      </c>
      <c r="I367" s="124" t="n">
        <f aca="false">H367</f>
        <v>3</v>
      </c>
      <c r="J367" s="124" t="n">
        <f aca="false">VLOOKUP($A367,Table,MATCH(J$4,Curves,0))</f>
        <v>4</v>
      </c>
      <c r="K367" s="125" t="n">
        <f aca="false">J367+$K$7</f>
        <v>4</v>
      </c>
      <c r="L367" s="126" t="n">
        <f aca="false">K367</f>
        <v>4</v>
      </c>
      <c r="M367" s="124" t="n">
        <f aca="false">VLOOKUP($A367,Table,MATCH(M$4,Curves,0))</f>
        <v>4</v>
      </c>
      <c r="N367" s="125" t="n">
        <f aca="false">M367+$N$7</f>
        <v>4</v>
      </c>
      <c r="O367" s="126" t="n">
        <f aca="false">IF(B367&gt;0,(1000/B367*0.25)+((B367-1000)/B367*0.12),0)</f>
        <v>0</v>
      </c>
      <c r="P367" s="114"/>
      <c r="Q367" s="126" t="n">
        <f aca="false">M367+J367+G367</f>
        <v>11</v>
      </c>
      <c r="R367" s="126" t="n">
        <f aca="false">N367+K367+H367</f>
        <v>11</v>
      </c>
      <c r="S367" s="126" t="n">
        <f aca="false">O367+L367+I367</f>
        <v>7</v>
      </c>
      <c r="T367" s="127"/>
      <c r="U367" s="5" t="n">
        <f aca="false">A368-A367</f>
        <v>30</v>
      </c>
      <c r="V367" s="128" t="n">
        <f aca="false">CHOOSE(F$3,A368+24,A367)</f>
        <v>48153</v>
      </c>
      <c r="W367" s="5" t="n">
        <f aca="false">V367-C$3</f>
        <v>10922</v>
      </c>
      <c r="X367" s="124" t="n">
        <f aca="false">VLOOKUP($A367,Table,MATCH(X$4,Curves,0))</f>
        <v>2</v>
      </c>
      <c r="Y367" s="129" t="n">
        <f aca="false">1/(1+CHOOSE(F$3,(X368+($K$3/10000))/2,(X367+($K$3/10000))/2))^(2*W367/365.25)</f>
        <v>9.92468428127745E-019</v>
      </c>
      <c r="Z367" s="5" t="n">
        <f aca="false">IF(AND(mthbeg&lt;=A367,mthend&gt;=A367),1,0)</f>
        <v>0</v>
      </c>
      <c r="AA367" s="5" t="n">
        <f aca="false">U367*Z367</f>
        <v>0</v>
      </c>
      <c r="AC367" s="115" t="n">
        <f aca="false">IF(G360=2,F367*(S367-Q367),F367*(Q367-S367))</f>
        <v>0</v>
      </c>
      <c r="AE367" s="116" t="n">
        <f aca="false">IF($G$3=1,F367*(R367-Q367),F367*(Q367-R367))</f>
        <v>0</v>
      </c>
      <c r="AG367" s="116" t="n">
        <f aca="false">AC367+AE367</f>
        <v>0</v>
      </c>
    </row>
    <row r="368" customFormat="false" ht="12" hidden="false" customHeight="true" outlineLevel="0" collapsed="false">
      <c r="A368" s="120" t="n">
        <f aca="false">EDATE(A367,1)</f>
        <v>48183</v>
      </c>
      <c r="B368" s="121" t="n">
        <v>0</v>
      </c>
      <c r="C368" s="122"/>
      <c r="D368" s="123" t="n">
        <f aca="false">B368+C368</f>
        <v>0</v>
      </c>
      <c r="E368" s="111" t="n">
        <f aca="false">IF(Z368=0,0,IF(AND(Z368=1,$H$3=1),D368*U368,IF($H$3=2,D368,"N/A")))</f>
        <v>0</v>
      </c>
      <c r="F368" s="111" t="n">
        <f aca="false">E368*Y368</f>
        <v>0</v>
      </c>
      <c r="G368" s="124" t="n">
        <f aca="false">VLOOKUP($A368,Table,MATCH(G$4,Curves,0))</f>
        <v>3</v>
      </c>
      <c r="H368" s="125" t="n">
        <f aca="false">G368+$H$7</f>
        <v>3</v>
      </c>
      <c r="I368" s="124" t="n">
        <f aca="false">H368</f>
        <v>3</v>
      </c>
      <c r="J368" s="124" t="n">
        <f aca="false">VLOOKUP($A368,Table,MATCH(J$4,Curves,0))</f>
        <v>4</v>
      </c>
      <c r="K368" s="125" t="n">
        <f aca="false">J368+$K$7</f>
        <v>4</v>
      </c>
      <c r="L368" s="126" t="n">
        <f aca="false">K368</f>
        <v>4</v>
      </c>
      <c r="M368" s="124" t="n">
        <f aca="false">VLOOKUP($A368,Table,MATCH(M$4,Curves,0))</f>
        <v>4</v>
      </c>
      <c r="N368" s="125" t="n">
        <f aca="false">M368+$N$7</f>
        <v>4</v>
      </c>
      <c r="O368" s="126" t="n">
        <f aca="false">IF(B368&gt;0,(1000/B368*0.25)+((B368-1000)/B368*0.12),0)</f>
        <v>0</v>
      </c>
      <c r="P368" s="114"/>
      <c r="Q368" s="126" t="n">
        <f aca="false">M368+J368+G368</f>
        <v>11</v>
      </c>
      <c r="R368" s="126" t="n">
        <f aca="false">N368+K368+H368</f>
        <v>11</v>
      </c>
      <c r="S368" s="126" t="n">
        <f aca="false">O368+L368+I368</f>
        <v>7</v>
      </c>
      <c r="T368" s="127"/>
      <c r="U368" s="5" t="n">
        <f aca="false">A369-A368</f>
        <v>31</v>
      </c>
      <c r="V368" s="128" t="n">
        <f aca="false">CHOOSE(F$3,A369+24,A368)</f>
        <v>48183</v>
      </c>
      <c r="W368" s="5" t="n">
        <f aca="false">V368-C$3</f>
        <v>10952</v>
      </c>
      <c r="X368" s="124" t="n">
        <f aca="false">VLOOKUP($A368,Table,MATCH(X$4,Curves,0))</f>
        <v>2</v>
      </c>
      <c r="Y368" s="129" t="n">
        <f aca="false">1/(1+CHOOSE(F$3,(X369+($K$3/10000))/2,(X368+($K$3/10000))/2))^(2*W368/365.25)</f>
        <v>8.85658280576137E-019</v>
      </c>
      <c r="Z368" s="5" t="n">
        <f aca="false">IF(AND(mthbeg&lt;=A368,mthend&gt;=A368),1,0)</f>
        <v>0</v>
      </c>
      <c r="AA368" s="5" t="n">
        <f aca="false">U368*Z368</f>
        <v>0</v>
      </c>
      <c r="AC368" s="115" t="n">
        <f aca="false">IF(G361=2,F368*(S368-Q368),F368*(Q368-S368))</f>
        <v>0</v>
      </c>
      <c r="AE368" s="116" t="n">
        <f aca="false">IF($G$3=1,F368*(R368-Q368),F368*(Q368-R368))</f>
        <v>0</v>
      </c>
      <c r="AG368" s="116" t="n">
        <f aca="false">AC368+AE368</f>
        <v>0</v>
      </c>
    </row>
    <row r="369" customFormat="false" ht="12" hidden="false" customHeight="true" outlineLevel="0" collapsed="false">
      <c r="A369" s="120" t="n">
        <f aca="false">EDATE(A368,1)</f>
        <v>48214</v>
      </c>
      <c r="B369" s="121" t="n">
        <v>0</v>
      </c>
      <c r="C369" s="122"/>
      <c r="D369" s="123" t="n">
        <f aca="false">B369+C369</f>
        <v>0</v>
      </c>
      <c r="E369" s="111" t="n">
        <f aca="false">IF(Z369=0,0,IF(AND(Z369=1,$H$3=1),D369*U369,IF($H$3=2,D369,"N/A")))</f>
        <v>0</v>
      </c>
      <c r="F369" s="111" t="n">
        <f aca="false">E369*Y369</f>
        <v>0</v>
      </c>
      <c r="G369" s="124" t="n">
        <f aca="false">VLOOKUP($A369,Table,MATCH(G$4,Curves,0))</f>
        <v>3</v>
      </c>
      <c r="H369" s="125" t="n">
        <f aca="false">G369+$H$7</f>
        <v>3</v>
      </c>
      <c r="I369" s="124" t="n">
        <f aca="false">H369</f>
        <v>3</v>
      </c>
      <c r="J369" s="124" t="n">
        <f aca="false">VLOOKUP($A369,Table,MATCH(J$4,Curves,0))</f>
        <v>4</v>
      </c>
      <c r="K369" s="125" t="n">
        <f aca="false">J369+$K$7</f>
        <v>4</v>
      </c>
      <c r="L369" s="126" t="n">
        <f aca="false">K369</f>
        <v>4</v>
      </c>
      <c r="M369" s="124" t="n">
        <f aca="false">VLOOKUP($A369,Table,MATCH(M$4,Curves,0))</f>
        <v>4</v>
      </c>
      <c r="N369" s="125" t="n">
        <f aca="false">M369+$N$7</f>
        <v>4</v>
      </c>
      <c r="O369" s="126" t="n">
        <f aca="false">IF(B369&gt;0,(1000/B369*0.25)+((B369-1000)/B369*0.12),0)</f>
        <v>0</v>
      </c>
      <c r="P369" s="114"/>
      <c r="Q369" s="126" t="n">
        <f aca="false">M369+J369+G369</f>
        <v>11</v>
      </c>
      <c r="R369" s="126" t="n">
        <f aca="false">N369+K369+H369</f>
        <v>11</v>
      </c>
      <c r="S369" s="126" t="n">
        <f aca="false">O369+L369+I369</f>
        <v>7</v>
      </c>
      <c r="T369" s="127"/>
      <c r="U369" s="5" t="n">
        <f aca="false">A370-A369</f>
        <v>31</v>
      </c>
      <c r="V369" s="128" t="n">
        <f aca="false">CHOOSE(F$3,A370+24,A369)</f>
        <v>48214</v>
      </c>
      <c r="W369" s="5" t="n">
        <f aca="false">V369-C$3</f>
        <v>10983</v>
      </c>
      <c r="X369" s="124" t="n">
        <f aca="false">VLOOKUP($A369,Table,MATCH(X$4,Curves,0))</f>
        <v>2</v>
      </c>
      <c r="Y369" s="129" t="n">
        <f aca="false">1/(1+CHOOSE(F$3,(X370+($K$3/10000))/2,(X369+($K$3/10000))/2))^(2*W369/365.25)</f>
        <v>7.87349080110563E-019</v>
      </c>
      <c r="Z369" s="5" t="n">
        <f aca="false">IF(AND(mthbeg&lt;=A369,mthend&gt;=A369),1,0)</f>
        <v>0</v>
      </c>
      <c r="AA369" s="5" t="n">
        <f aca="false">U369*Z369</f>
        <v>0</v>
      </c>
      <c r="AC369" s="115" t="n">
        <f aca="false">IF(G362=2,F369*(S369-Q369),F369*(Q369-S369))</f>
        <v>0</v>
      </c>
      <c r="AE369" s="116" t="n">
        <f aca="false">IF($G$3=1,F369*(R369-Q369),F369*(Q369-R369))</f>
        <v>0</v>
      </c>
      <c r="AG369" s="130" t="n">
        <f aca="false">AC369+AE369</f>
        <v>0</v>
      </c>
    </row>
    <row r="370" customFormat="false" ht="13.5" hidden="false" customHeight="false" outlineLevel="0" collapsed="false">
      <c r="A370" s="120" t="n">
        <f aca="false">EDATE(A369,1)</f>
        <v>48245</v>
      </c>
      <c r="X370" s="124" t="n">
        <f aca="false">VLOOKUP($A370,Table,MATCH(X$4,Curves,0))</f>
        <v>2</v>
      </c>
      <c r="AE370" s="130" t="n">
        <f aca="false">IF($G$3=1,F370*(R370-Q370),F370*(Q370-R370))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3.42"/>
    <col collapsed="false" customWidth="true" hidden="false" outlineLevel="0" max="8" min="8" style="0" width="3.7"/>
  </cols>
  <sheetData>
    <row r="4" customFormat="false" ht="12.75" hidden="false" customHeight="false" outlineLevel="0" collapsed="false">
      <c r="M4" s="178" t="s">
        <v>392</v>
      </c>
      <c r="N4" s="9" t="s">
        <v>392</v>
      </c>
    </row>
    <row r="5" customFormat="false" ht="12.75" hidden="false" customHeight="false" outlineLevel="0" collapsed="false">
      <c r="M5" s="179" t="s">
        <v>393</v>
      </c>
      <c r="N5" s="12" t="s">
        <v>393</v>
      </c>
    </row>
    <row r="6" customFormat="false" ht="12.75" hidden="false" customHeight="false" outlineLevel="0" collapsed="false">
      <c r="B6" s="9" t="s">
        <v>394</v>
      </c>
      <c r="C6" s="9" t="s">
        <v>394</v>
      </c>
      <c r="D6" s="9" t="s">
        <v>394</v>
      </c>
      <c r="E6" s="9" t="s">
        <v>394</v>
      </c>
      <c r="G6" s="180" t="s">
        <v>24</v>
      </c>
      <c r="I6" s="134" t="str">
        <f aca="false">B6</f>
        <v>Leg</v>
      </c>
      <c r="J6" s="134" t="str">
        <f aca="false">C6</f>
        <v>Leg</v>
      </c>
      <c r="K6" s="134" t="str">
        <f aca="false">D6</f>
        <v>Leg</v>
      </c>
      <c r="L6" s="134" t="str">
        <f aca="false">E6</f>
        <v>Leg</v>
      </c>
      <c r="M6" s="179" t="s">
        <v>395</v>
      </c>
      <c r="N6" s="12" t="s">
        <v>396</v>
      </c>
    </row>
    <row r="7" customFormat="false" ht="12.75" hidden="false" customHeight="false" outlineLevel="0" collapsed="false">
      <c r="A7" s="5"/>
      <c r="B7" s="181" t="n">
        <v>1</v>
      </c>
      <c r="C7" s="181" t="n">
        <v>2</v>
      </c>
      <c r="D7" s="181" t="n">
        <v>3</v>
      </c>
      <c r="E7" s="181" t="n">
        <v>4</v>
      </c>
      <c r="F7" s="5"/>
      <c r="G7" s="182" t="s">
        <v>397</v>
      </c>
      <c r="H7" s="5"/>
      <c r="I7" s="134" t="n">
        <f aca="false">B7</f>
        <v>1</v>
      </c>
      <c r="J7" s="134" t="n">
        <f aca="false">C7</f>
        <v>2</v>
      </c>
      <c r="K7" s="134" t="n">
        <f aca="false">D7</f>
        <v>3</v>
      </c>
      <c r="L7" s="134" t="n">
        <f aca="false">E7</f>
        <v>4</v>
      </c>
      <c r="M7" s="183"/>
      <c r="N7" s="181"/>
    </row>
    <row r="8" customFormat="false" ht="12.75" hidden="false" customHeight="false" outlineLevel="0" collapsed="false">
      <c r="A8" s="184" t="s">
        <v>35</v>
      </c>
      <c r="B8" s="185" t="n">
        <f aca="false">'Inputs-Summary'!D16</f>
        <v>0.07</v>
      </c>
      <c r="C8" s="185" t="n">
        <f aca="false">'Inputs-Summary'!D20</f>
        <v>0.12</v>
      </c>
      <c r="D8" s="185" t="n">
        <f aca="false">'Inputs-Summary'!D24</f>
        <v>0.25</v>
      </c>
      <c r="E8" s="185" t="n">
        <f aca="false">'Inputs-Summary'!D28</f>
        <v>-0.04</v>
      </c>
      <c r="F8" s="186"/>
      <c r="G8" s="187" t="n">
        <f aca="false">N19</f>
        <v>0.0930392257376612</v>
      </c>
      <c r="H8" s="186"/>
      <c r="M8" s="188"/>
      <c r="N8" s="189"/>
    </row>
    <row r="9" customFormat="false" ht="12.75" hidden="false" customHeight="false" outlineLevel="0" collapsed="false">
      <c r="M9" s="190"/>
      <c r="N9" s="13"/>
    </row>
    <row r="10" customFormat="false" ht="12.75" hidden="false" customHeight="false" outlineLevel="0" collapsed="false">
      <c r="A10" s="120" t="n">
        <f aca="false">leg1!A10</f>
        <v>37288</v>
      </c>
      <c r="B10" s="191" t="n">
        <f aca="false">VLOOKUP($A10,'Inputs-Summary'!$A$33:$E$41,1+B$7)</f>
        <v>3500</v>
      </c>
      <c r="C10" s="191" t="n">
        <f aca="false">VLOOKUP($A10,'Inputs-Summary'!$A$33:$E$41,1+C$7)</f>
        <v>4000</v>
      </c>
      <c r="D10" s="191" t="n">
        <f aca="false">VLOOKUP($A10,'Inputs-Summary'!$A$33:$E$41,1+D$7)</f>
        <v>1000</v>
      </c>
      <c r="E10" s="191" t="n">
        <f aca="false">VLOOKUP($A10,'Inputs-Summary'!$A$33:$E$41,1+E$7)</f>
        <v>1640</v>
      </c>
      <c r="G10" s="191" t="n">
        <f aca="false">SUM(B10:E10)</f>
        <v>10140</v>
      </c>
      <c r="I10" s="192" t="n">
        <f aca="false">B10/$G10*B$8</f>
        <v>0.0241617357001972</v>
      </c>
      <c r="J10" s="193" t="n">
        <f aca="false">C10/$G10*C$8</f>
        <v>0.0473372781065089</v>
      </c>
      <c r="K10" s="193" t="n">
        <f aca="false">D10/$G10*D$8</f>
        <v>0.02465483234714</v>
      </c>
      <c r="L10" s="193" t="n">
        <f aca="false">E10/$G10*E$8</f>
        <v>-0.00646942800788955</v>
      </c>
      <c r="M10" s="194" t="n">
        <f aca="false">SUM(I10:L10)</f>
        <v>0.0896844181459566</v>
      </c>
      <c r="N10" s="195" t="n">
        <f aca="false">G10/$G$19*M10</f>
        <v>0.0186470913900224</v>
      </c>
    </row>
    <row r="11" customFormat="false" ht="12.75" hidden="false" customHeight="false" outlineLevel="0" collapsed="false">
      <c r="A11" s="120" t="n">
        <f aca="false">leg1!A11</f>
        <v>37316</v>
      </c>
      <c r="B11" s="191" t="n">
        <f aca="false">VLOOKUP($A11,'Inputs-Summary'!$A$33:$E$41,1+B$7)</f>
        <v>2290</v>
      </c>
      <c r="C11" s="191" t="n">
        <f aca="false">VLOOKUP($A11,'Inputs-Summary'!$A$33:$E$41,1+C$7)</f>
        <v>2500</v>
      </c>
      <c r="D11" s="191" t="n">
        <f aca="false">VLOOKUP($A11,'Inputs-Summary'!$A$33:$E$41,1+D$7)</f>
        <v>1000</v>
      </c>
      <c r="E11" s="191" t="n">
        <f aca="false">VLOOKUP($A11,'Inputs-Summary'!$A$33:$E$41,1+E$7)</f>
        <v>1640</v>
      </c>
      <c r="G11" s="191" t="n">
        <f aca="false">SUM(B11:E11)</f>
        <v>7430</v>
      </c>
      <c r="I11" s="194" t="n">
        <f aca="false">B11/$G11*B$8</f>
        <v>0.0215746971736205</v>
      </c>
      <c r="J11" s="196" t="n">
        <f aca="false">C11/$G11*C$8</f>
        <v>0.0403768506056528</v>
      </c>
      <c r="K11" s="196" t="n">
        <f aca="false">D11/$G11*D$8</f>
        <v>0.0336473755047106</v>
      </c>
      <c r="L11" s="196" t="n">
        <f aca="false">E11/$G11*E$8</f>
        <v>-0.00882907133243607</v>
      </c>
      <c r="M11" s="194" t="n">
        <f aca="false">SUM(I11:L11)</f>
        <v>0.0867698519515478</v>
      </c>
      <c r="N11" s="195" t="n">
        <f aca="false">G11/$G$19*M11</f>
        <v>0.0132194631835797</v>
      </c>
    </row>
    <row r="12" customFormat="false" ht="12.75" hidden="false" customHeight="false" outlineLevel="0" collapsed="false">
      <c r="A12" s="120" t="n">
        <f aca="false">leg1!A12</f>
        <v>37347</v>
      </c>
      <c r="B12" s="191" t="n">
        <f aca="false">VLOOKUP($A12,'Inputs-Summary'!$A$33:$E$41,1+B$7)</f>
        <v>1145</v>
      </c>
      <c r="C12" s="191" t="n">
        <f aca="false">VLOOKUP($A12,'Inputs-Summary'!$A$33:$E$41,1+C$7)</f>
        <v>1500</v>
      </c>
      <c r="D12" s="191" t="n">
        <f aca="false">VLOOKUP($A12,'Inputs-Summary'!$A$33:$E$41,1+D$7)</f>
        <v>1000</v>
      </c>
      <c r="E12" s="191" t="n">
        <f aca="false">VLOOKUP($A12,'Inputs-Summary'!$A$33:$E$41,1+E$7)</f>
        <v>1280</v>
      </c>
      <c r="G12" s="191" t="n">
        <f aca="false">SUM(B12:E12)</f>
        <v>4925</v>
      </c>
      <c r="I12" s="194" t="n">
        <f aca="false">B12/$G12*B$8</f>
        <v>0.0162741116751269</v>
      </c>
      <c r="J12" s="196" t="n">
        <f aca="false">C12/$G12*C$8</f>
        <v>0.0365482233502538</v>
      </c>
      <c r="K12" s="196" t="n">
        <f aca="false">D12/$G12*D$8</f>
        <v>0.0507614213197969</v>
      </c>
      <c r="L12" s="196" t="n">
        <f aca="false">E12/$G12*E$8</f>
        <v>-0.0103959390862944</v>
      </c>
      <c r="M12" s="194" t="n">
        <f aca="false">SUM(I12:L12)</f>
        <v>0.0931878172588832</v>
      </c>
      <c r="N12" s="195" t="n">
        <f aca="false">G12/$G$19*M12</f>
        <v>0.00941069121778179</v>
      </c>
    </row>
    <row r="13" customFormat="false" ht="12.75" hidden="false" customHeight="false" outlineLevel="0" collapsed="false">
      <c r="A13" s="120" t="n">
        <f aca="false">leg1!A13</f>
        <v>37377</v>
      </c>
      <c r="B13" s="191" t="n">
        <f aca="false">VLOOKUP($A13,'Inputs-Summary'!$A$33:$E$41,1+B$7)</f>
        <v>470</v>
      </c>
      <c r="C13" s="191" t="n">
        <f aca="false">VLOOKUP($A13,'Inputs-Summary'!$A$33:$E$41,1+C$7)</f>
        <v>1500</v>
      </c>
      <c r="D13" s="191" t="n">
        <f aca="false">VLOOKUP($A13,'Inputs-Summary'!$A$33:$E$41,1+D$7)</f>
        <v>1000</v>
      </c>
      <c r="E13" s="191" t="n">
        <f aca="false">VLOOKUP($A13,'Inputs-Summary'!$A$33:$E$41,1+E$7)</f>
        <v>1280</v>
      </c>
      <c r="G13" s="191" t="n">
        <f aca="false">SUM(B13:E13)</f>
        <v>4250</v>
      </c>
      <c r="I13" s="194" t="n">
        <f aca="false">B13/$G13*B$8</f>
        <v>0.00774117647058824</v>
      </c>
      <c r="J13" s="196" t="n">
        <f aca="false">C13/$G13*C$8</f>
        <v>0.0423529411764706</v>
      </c>
      <c r="K13" s="196" t="n">
        <f aca="false">D13/$G13*D$8</f>
        <v>0.0588235294117647</v>
      </c>
      <c r="L13" s="196" t="n">
        <f aca="false">E13/$G13*E$8</f>
        <v>-0.0120470588235294</v>
      </c>
      <c r="M13" s="194" t="n">
        <f aca="false">SUM(I13:L13)</f>
        <v>0.0968705882352941</v>
      </c>
      <c r="N13" s="195" t="n">
        <f aca="false">G13/$G$19*M13</f>
        <v>0.00844183805286145</v>
      </c>
    </row>
    <row r="14" customFormat="false" ht="12.75" hidden="false" customHeight="false" outlineLevel="0" collapsed="false">
      <c r="A14" s="120" t="n">
        <f aca="false">leg1!A14</f>
        <v>37408</v>
      </c>
      <c r="B14" s="191" t="n">
        <f aca="false">VLOOKUP($A14,'Inputs-Summary'!$A$33:$E$41,1+B$7)</f>
        <v>270</v>
      </c>
      <c r="C14" s="191" t="n">
        <f aca="false">VLOOKUP($A14,'Inputs-Summary'!$A$33:$E$41,1+C$7)</f>
        <v>1500</v>
      </c>
      <c r="D14" s="191" t="n">
        <f aca="false">VLOOKUP($A14,'Inputs-Summary'!$A$33:$E$41,1+D$7)</f>
        <v>1000</v>
      </c>
      <c r="E14" s="191" t="n">
        <f aca="false">VLOOKUP($A14,'Inputs-Summary'!$A$33:$E$41,1+E$7)</f>
        <v>1280</v>
      </c>
      <c r="G14" s="191" t="n">
        <f aca="false">SUM(B14:E14)</f>
        <v>4050</v>
      </c>
      <c r="I14" s="194" t="n">
        <f aca="false">B14/$G14*B$8</f>
        <v>0.00466666666666667</v>
      </c>
      <c r="J14" s="196" t="n">
        <f aca="false">C14/$G14*C$8</f>
        <v>0.0444444444444444</v>
      </c>
      <c r="K14" s="196" t="n">
        <f aca="false">D14/$G14*D$8</f>
        <v>0.0617283950617284</v>
      </c>
      <c r="L14" s="196" t="n">
        <f aca="false">E14/$G14*E$8</f>
        <v>-0.012641975308642</v>
      </c>
      <c r="M14" s="194" t="n">
        <f aca="false">SUM(I14:L14)</f>
        <v>0.0981975308641975</v>
      </c>
      <c r="N14" s="195" t="n">
        <f aca="false">G14/$G$19*M14</f>
        <v>0.00815477044844061</v>
      </c>
    </row>
    <row r="15" customFormat="false" ht="12.75" hidden="false" customHeight="false" outlineLevel="0" collapsed="false">
      <c r="A15" s="120" t="n">
        <f aca="false">leg1!A15</f>
        <v>37438</v>
      </c>
      <c r="B15" s="191" t="n">
        <f aca="false">VLOOKUP($A15,'Inputs-Summary'!$A$33:$E$41,1+B$7)</f>
        <v>824</v>
      </c>
      <c r="C15" s="191" t="n">
        <f aca="false">VLOOKUP($A15,'Inputs-Summary'!$A$33:$E$41,1+C$7)</f>
        <v>1500</v>
      </c>
      <c r="D15" s="191" t="n">
        <f aca="false">VLOOKUP($A15,'Inputs-Summary'!$A$33:$E$41,1+D$7)</f>
        <v>1000</v>
      </c>
      <c r="E15" s="191" t="n">
        <f aca="false">VLOOKUP($A15,'Inputs-Summary'!$A$33:$E$41,1+E$7)</f>
        <v>1280</v>
      </c>
      <c r="G15" s="191" t="n">
        <f aca="false">SUM(B15:E15)</f>
        <v>4604</v>
      </c>
      <c r="I15" s="194" t="n">
        <f aca="false">B15/$G15*B$8</f>
        <v>0.0125282363162467</v>
      </c>
      <c r="J15" s="196" t="n">
        <f aca="false">C15/$G15*C$8</f>
        <v>0.0390964378801043</v>
      </c>
      <c r="K15" s="196" t="n">
        <f aca="false">D15/$G15*D$8</f>
        <v>0.0543006081668115</v>
      </c>
      <c r="L15" s="196" t="n">
        <f aca="false">E15/$G15*E$8</f>
        <v>-0.011120764552563</v>
      </c>
      <c r="M15" s="194" t="n">
        <f aca="false">SUM(I15:L15)</f>
        <v>0.0948045178105995</v>
      </c>
      <c r="N15" s="195" t="n">
        <f aca="false">G15/$G$19*M15</f>
        <v>0.00894994771268634</v>
      </c>
    </row>
    <row r="16" customFormat="false" ht="12.75" hidden="false" customHeight="false" outlineLevel="0" collapsed="false">
      <c r="A16" s="120" t="n">
        <f aca="false">leg1!A16</f>
        <v>37469</v>
      </c>
      <c r="B16" s="191" t="n">
        <f aca="false">VLOOKUP($A16,'Inputs-Summary'!$A$33:$E$41,1+B$7)</f>
        <v>495</v>
      </c>
      <c r="C16" s="191" t="n">
        <f aca="false">VLOOKUP($A16,'Inputs-Summary'!$A$33:$E$41,1+C$7)</f>
        <v>1500</v>
      </c>
      <c r="D16" s="191" t="n">
        <f aca="false">VLOOKUP($A16,'Inputs-Summary'!$A$33:$E$41,1+D$7)</f>
        <v>1000</v>
      </c>
      <c r="E16" s="191" t="n">
        <f aca="false">VLOOKUP($A16,'Inputs-Summary'!$A$33:$E$41,1+E$7)</f>
        <v>1280</v>
      </c>
      <c r="G16" s="191" t="n">
        <f aca="false">SUM(B16:E16)</f>
        <v>4275</v>
      </c>
      <c r="I16" s="194" t="n">
        <f aca="false">B16/$G16*B$8</f>
        <v>0.00810526315789474</v>
      </c>
      <c r="J16" s="196" t="n">
        <f aca="false">C16/$G16*C$8</f>
        <v>0.0421052631578947</v>
      </c>
      <c r="K16" s="196" t="n">
        <f aca="false">D16/$G16*D$8</f>
        <v>0.0584795321637427</v>
      </c>
      <c r="L16" s="196" t="n">
        <f aca="false">E16/$G16*E$8</f>
        <v>-0.0119766081871345</v>
      </c>
      <c r="M16" s="194" t="n">
        <f aca="false">SUM(I16:L16)</f>
        <v>0.0967134502923976</v>
      </c>
      <c r="N16" s="195" t="n">
        <f aca="false">G16/$G$19*M16</f>
        <v>0.00847772150341405</v>
      </c>
    </row>
    <row r="17" customFormat="false" ht="12.75" hidden="false" customHeight="false" outlineLevel="0" collapsed="false">
      <c r="A17" s="120" t="n">
        <f aca="false">leg1!A17</f>
        <v>37500</v>
      </c>
      <c r="B17" s="191" t="n">
        <f aca="false">VLOOKUP($A17,'Inputs-Summary'!$A$33:$E$41,1+B$7)</f>
        <v>440</v>
      </c>
      <c r="C17" s="191" t="n">
        <f aca="false">VLOOKUP($A17,'Inputs-Summary'!$A$33:$E$41,1+C$7)</f>
        <v>1500</v>
      </c>
      <c r="D17" s="191" t="n">
        <f aca="false">VLOOKUP($A17,'Inputs-Summary'!$A$33:$E$41,1+D$7)</f>
        <v>1000</v>
      </c>
      <c r="E17" s="191" t="n">
        <f aca="false">VLOOKUP($A17,'Inputs-Summary'!$A$33:$E$41,1+E$7)</f>
        <v>1280</v>
      </c>
      <c r="G17" s="191" t="n">
        <f aca="false">SUM(B17:E17)</f>
        <v>4220</v>
      </c>
      <c r="I17" s="194" t="n">
        <f aca="false">B17/$G17*B$8</f>
        <v>0.00729857819905213</v>
      </c>
      <c r="J17" s="196" t="n">
        <f aca="false">C17/$G17*C$8</f>
        <v>0.042654028436019</v>
      </c>
      <c r="K17" s="196" t="n">
        <f aca="false">D17/$G17*D$8</f>
        <v>0.0592417061611374</v>
      </c>
      <c r="L17" s="196" t="n">
        <f aca="false">E17/$G17*E$8</f>
        <v>-0.012132701421801</v>
      </c>
      <c r="M17" s="194" t="n">
        <f aca="false">SUM(I17:L17)</f>
        <v>0.0970616113744076</v>
      </c>
      <c r="N17" s="195" t="n">
        <f aca="false">G17/$G$19*M17</f>
        <v>0.00839877791219832</v>
      </c>
    </row>
    <row r="18" customFormat="false" ht="12.75" hidden="false" customHeight="false" outlineLevel="0" collapsed="false">
      <c r="A18" s="120" t="n">
        <f aca="false">leg1!A18</f>
        <v>37530</v>
      </c>
      <c r="B18" s="191" t="n">
        <f aca="false">VLOOKUP($A18,'Inputs-Summary'!$A$33:$E$41,1+B$7)</f>
        <v>1095</v>
      </c>
      <c r="C18" s="191" t="n">
        <f aca="false">VLOOKUP($A18,'Inputs-Summary'!$A$33:$E$41,1+C$7)</f>
        <v>1500</v>
      </c>
      <c r="D18" s="191" t="n">
        <f aca="false">VLOOKUP($A18,'Inputs-Summary'!$A$33:$E$41,1+D$7)</f>
        <v>1000</v>
      </c>
      <c r="E18" s="191" t="n">
        <f aca="false">VLOOKUP($A18,'Inputs-Summary'!$A$33:$E$41,1+E$7)</f>
        <v>1280</v>
      </c>
      <c r="G18" s="191" t="n">
        <f aca="false">SUM(B18:E18)</f>
        <v>4875</v>
      </c>
      <c r="I18" s="197" t="n">
        <f aca="false">B18/$G18*B$8</f>
        <v>0.0157230769230769</v>
      </c>
      <c r="J18" s="198" t="n">
        <f aca="false">C18/$G18*C$8</f>
        <v>0.0369230769230769</v>
      </c>
      <c r="K18" s="198" t="n">
        <f aca="false">D18/$G18*D$8</f>
        <v>0.0512820512820513</v>
      </c>
      <c r="L18" s="198" t="n">
        <f aca="false">E18/$G18*E$8</f>
        <v>-0.0105025641025641</v>
      </c>
      <c r="M18" s="197" t="n">
        <f aca="false">SUM(I18:L18)</f>
        <v>0.093425641025641</v>
      </c>
      <c r="N18" s="199" t="n">
        <f aca="false">G18/$G$19*M18</f>
        <v>0.00933892431667658</v>
      </c>
    </row>
    <row r="19" customFormat="false" ht="12.75" hidden="false" customHeight="false" outlineLevel="0" collapsed="false">
      <c r="A19" s="120"/>
      <c r="G19" s="191" t="n">
        <f aca="false">SUM(G10:G18)</f>
        <v>48769</v>
      </c>
      <c r="N19" s="199" t="n">
        <f aca="false">SUM(N10:N18)</f>
        <v>0.0930392257376612</v>
      </c>
    </row>
    <row r="20" customFormat="false" ht="12.75" hidden="false" customHeight="false" outlineLevel="0" collapsed="false">
      <c r="A20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Louis R. DiCarlo</cp:lastModifiedBy>
  <cp:lastPrinted>2002-01-09T13:32:51Z</cp:lastPrinted>
  <dcterms:modified xsi:type="dcterms:W3CDTF">2002-01-09T16:42:16Z</dcterms:modified>
  <cp:revision>0</cp:revision>
  <dc:subject/>
  <dc:title/>
</cp:coreProperties>
</file>