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Sheet1!$A$1:$M$55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<sst xmlns="http://schemas.openxmlformats.org/spreadsheetml/2006/main" count="60" uniqueCount="54">
  <si>
    <t xml:space="preserve">Gas Avails. - Powder River</t>
  </si>
  <si>
    <t xml:space="preserve">Final</t>
  </si>
  <si>
    <t xml:space="preserve">Mcf</t>
  </si>
  <si>
    <t xml:space="preserve">Mmbtu</t>
  </si>
  <si>
    <t xml:space="preserve">MMBtu</t>
  </si>
  <si>
    <t xml:space="preserve">Allocated </t>
  </si>
  <si>
    <t xml:space="preserve">Wellhead</t>
  </si>
  <si>
    <t xml:space="preserve">Less fuel </t>
  </si>
  <si>
    <t xml:space="preserve">mmBtu  at</t>
  </si>
  <si>
    <t xml:space="preserve">mmcf  at</t>
  </si>
  <si>
    <t xml:space="preserve">Nomination</t>
  </si>
  <si>
    <t xml:space="preserve">Firm Capacity</t>
  </si>
  <si>
    <t xml:space="preserve">IT</t>
  </si>
  <si>
    <t xml:space="preserve">Btu Factor</t>
  </si>
  <si>
    <t xml:space="preserve">Confirmation</t>
  </si>
  <si>
    <t xml:space="preserve">to Glennrock</t>
  </si>
  <si>
    <t xml:space="preserve">Glennrock</t>
  </si>
  <si>
    <t xml:space="preserve">Box Draw/So. Kitty/Maverick</t>
  </si>
  <si>
    <t xml:space="preserve">Kennedy #1</t>
  </si>
  <si>
    <t xml:space="preserve">Kennedy #2</t>
  </si>
  <si>
    <t xml:space="preserve">Kennedy #3</t>
  </si>
  <si>
    <t xml:space="preserve">Kennedy #4</t>
  </si>
  <si>
    <t xml:space="preserve">Kennedy Box Draw Total</t>
  </si>
  <si>
    <t xml:space="preserve">S. Kitty #1</t>
  </si>
  <si>
    <t xml:space="preserve">S. Kitty #2</t>
  </si>
  <si>
    <t xml:space="preserve">S. Kitty #4</t>
  </si>
  <si>
    <t xml:space="preserve">S. Kitty #5</t>
  </si>
  <si>
    <t xml:space="preserve">Kennedy S. Kitty Total</t>
  </si>
  <si>
    <t xml:space="preserve">Kennedy Total</t>
  </si>
  <si>
    <t xml:space="preserve">Wellstar #1</t>
  </si>
  <si>
    <t xml:space="preserve">Wellstar #2</t>
  </si>
  <si>
    <t xml:space="preserve">Wellstar Box Draw Total</t>
  </si>
  <si>
    <t xml:space="preserve">Box Draw Total</t>
  </si>
  <si>
    <t xml:space="preserve">Maverick Total</t>
  </si>
  <si>
    <t xml:space="preserve">Clydesdale</t>
  </si>
  <si>
    <t xml:space="preserve">Clydesdale #1</t>
  </si>
  <si>
    <t xml:space="preserve">Clydesdale #2</t>
  </si>
  <si>
    <t xml:space="preserve">Clydesdale #3</t>
  </si>
  <si>
    <t xml:space="preserve">Phillips Clydesdale Total</t>
  </si>
  <si>
    <t xml:space="preserve">Caballo</t>
  </si>
  <si>
    <t xml:space="preserve">MTG</t>
  </si>
  <si>
    <t xml:space="preserve">North Finn</t>
  </si>
  <si>
    <t xml:space="preserve">Palomino #1</t>
  </si>
  <si>
    <t xml:space="preserve">Palomino #2</t>
  </si>
  <si>
    <t xml:space="preserve">Phillips Palomino Total</t>
  </si>
  <si>
    <t xml:space="preserve">Quantum</t>
  </si>
  <si>
    <t xml:space="preserve">Independent</t>
  </si>
  <si>
    <t xml:space="preserve">Caballo Total</t>
  </si>
  <si>
    <t xml:space="preserve">TOTAL ENA</t>
  </si>
  <si>
    <t xml:space="preserve">Fixed Volume at Glennrock</t>
  </si>
  <si>
    <t xml:space="preserve">Phillips Total Production</t>
  </si>
  <si>
    <t xml:space="preserve">Kennedy</t>
  </si>
  <si>
    <t xml:space="preserve">Wellstar</t>
  </si>
  <si>
    <t xml:space="preserve">Independent Actual Flow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</si>
</sst>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mmm\-yy"/>
    <numFmt numFmtId="167" formatCode="_(* #,##0.00_);_(* \(#,##0.00\);_(* \-??_);_(@_)"/>
    <numFmt numFmtId="168" formatCode="_(* #,##0_);_(* \(#,##0\);_(* \-??_);_(@_)"/>
    <numFmt numFmtId="169" formatCode="0.000"/>
    <numFmt numFmtId="170" formatCode="0"/>
    <numFmt numFmtId="171" formatCode="_(* #,##0_);_(* \(#,##0\);_(* \-?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000000"/>
      <name val="Arial"/>
      <family val="2"/>
    </font>
    <font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28"/>
    <col collapsed="false" customWidth="true" hidden="false" outlineLevel="0" max="2" min="2" style="0" width="10.28"/>
    <col collapsed="false" customWidth="true" hidden="false" outlineLevel="0" max="3" min="3" style="0" width="12.56"/>
    <col collapsed="false" customWidth="true" hidden="false" outlineLevel="0" max="5" min="4" style="0" width="10.85"/>
    <col collapsed="false" customWidth="true" hidden="false" outlineLevel="0" max="7" min="6" style="0" width="11.7"/>
    <col collapsed="false" customWidth="true" hidden="false" outlineLevel="0" max="9" min="9" style="0" width="15.7"/>
    <col collapsed="false" customWidth="true" hidden="false" outlineLevel="0" max="12" min="10" style="0" width="10.71"/>
    <col collapsed="false" customWidth="true" hidden="false" outlineLevel="0" max="13" min="13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1" t="n">
        <v>37135</v>
      </c>
      <c r="B2" s="2"/>
      <c r="C2" s="2"/>
      <c r="D2" s="2"/>
      <c r="E2" s="2"/>
    </row>
    <row r="3" customFormat="false" ht="12.75" hidden="false" customHeight="false" outlineLevel="0" collapsed="false">
      <c r="A3" s="3" t="s">
        <v>1</v>
      </c>
      <c r="B3" s="4"/>
      <c r="C3" s="4"/>
      <c r="D3" s="4"/>
      <c r="E3" s="4"/>
    </row>
    <row r="4" customFormat="false" ht="12.75" hidden="false" customHeight="false" outlineLevel="0" collapsed="false">
      <c r="B4" s="0" t="s">
        <v>2</v>
      </c>
      <c r="F4" s="0" t="s">
        <v>3</v>
      </c>
      <c r="G4" s="0" t="s">
        <v>4</v>
      </c>
      <c r="H4" s="5"/>
      <c r="I4" s="5"/>
      <c r="J4" s="6" t="s">
        <v>5</v>
      </c>
      <c r="K4" s="7" t="s">
        <v>5</v>
      </c>
      <c r="L4" s="8" t="s">
        <v>5</v>
      </c>
    </row>
    <row r="5" customFormat="false" ht="12.75" hidden="false" customHeight="false" outlineLevel="0" collapsed="false">
      <c r="B5" s="9" t="s">
        <v>6</v>
      </c>
      <c r="C5" s="9"/>
      <c r="D5" s="9"/>
      <c r="E5" s="9"/>
      <c r="F5" s="9" t="s">
        <v>6</v>
      </c>
      <c r="G5" s="10" t="s">
        <v>7</v>
      </c>
      <c r="H5" s="5"/>
      <c r="I5" s="5"/>
      <c r="J5" s="11" t="s">
        <v>8</v>
      </c>
      <c r="K5" s="12" t="s">
        <v>8</v>
      </c>
      <c r="L5" s="13" t="s">
        <v>9</v>
      </c>
    </row>
    <row r="6" customFormat="false" ht="12.75" hidden="false" customHeight="false" outlineLevel="0" collapsed="false">
      <c r="B6" s="14" t="s">
        <v>10</v>
      </c>
      <c r="C6" s="14" t="s">
        <v>11</v>
      </c>
      <c r="D6" s="14" t="s">
        <v>12</v>
      </c>
      <c r="E6" s="14" t="s">
        <v>13</v>
      </c>
      <c r="F6" s="14" t="s">
        <v>14</v>
      </c>
      <c r="G6" s="15" t="s">
        <v>15</v>
      </c>
      <c r="H6" s="5"/>
      <c r="I6" s="5"/>
      <c r="J6" s="11" t="s">
        <v>16</v>
      </c>
      <c r="K6" s="12" t="s">
        <v>6</v>
      </c>
      <c r="L6" s="13" t="s">
        <v>6</v>
      </c>
    </row>
    <row r="7" customFormat="false" ht="13.5" hidden="false" customHeight="false" outlineLevel="0" collapsed="false">
      <c r="A7" s="4" t="s">
        <v>17</v>
      </c>
      <c r="B7" s="16"/>
      <c r="C7" s="16"/>
      <c r="D7" s="16"/>
      <c r="E7" s="16"/>
      <c r="F7" s="17"/>
      <c r="G7" s="18"/>
      <c r="H7" s="5"/>
      <c r="I7" s="5"/>
      <c r="J7" s="19"/>
      <c r="K7" s="5"/>
      <c r="L7" s="20"/>
    </row>
    <row r="8" customFormat="false" ht="12.75" hidden="false" customHeight="false" outlineLevel="0" collapsed="false">
      <c r="A8" s="21" t="s">
        <v>18</v>
      </c>
      <c r="B8" s="22" t="n">
        <v>3100</v>
      </c>
      <c r="C8" s="23"/>
      <c r="D8" s="23"/>
      <c r="E8" s="24" t="n">
        <v>0.956</v>
      </c>
      <c r="F8" s="25" t="n">
        <f aca="false">+B8*E8</f>
        <v>2963.6</v>
      </c>
      <c r="G8" s="26" t="n">
        <f aca="false">0.8877*F8</f>
        <v>2630.78772</v>
      </c>
      <c r="H8" s="27"/>
      <c r="I8" s="27"/>
      <c r="J8" s="28" t="n">
        <f aca="false">G8/($G$48-$G$46-$G$38)*($J$48-$J$46-$J$38)</f>
        <v>1588.72561448028</v>
      </c>
      <c r="K8" s="29" t="n">
        <f aca="false">J8/0.8877</f>
        <v>1789.71005348685</v>
      </c>
      <c r="L8" s="30" t="n">
        <f aca="false">K8/E8</f>
        <v>1872.08164590675</v>
      </c>
      <c r="M8" s="31"/>
    </row>
    <row r="9" customFormat="false" ht="12.75" hidden="false" customHeight="false" outlineLevel="0" collapsed="false">
      <c r="A9" s="32" t="s">
        <v>19</v>
      </c>
      <c r="B9" s="33" t="n">
        <v>3500</v>
      </c>
      <c r="C9" s="34"/>
      <c r="D9" s="34"/>
      <c r="E9" s="35" t="n">
        <v>0.954</v>
      </c>
      <c r="F9" s="29" t="n">
        <f aca="false">+B9*E9</f>
        <v>3339</v>
      </c>
      <c r="G9" s="36" t="n">
        <f aca="false">0.8877*F9</f>
        <v>2964.0303</v>
      </c>
      <c r="H9" s="27"/>
      <c r="I9" s="27"/>
      <c r="J9" s="28" t="n">
        <f aca="false">G9/($G$48-$G$46-$G$38)*($J$48-$J$46-$J$38)</f>
        <v>1789.96991049725</v>
      </c>
      <c r="K9" s="29" t="n">
        <f aca="false">J9/0.8877</f>
        <v>2016.41310183311</v>
      </c>
      <c r="L9" s="30" t="n">
        <f aca="false">K9/E9</f>
        <v>2113.64056795923</v>
      </c>
      <c r="M9" s="31"/>
    </row>
    <row r="10" customFormat="false" ht="12.75" hidden="false" customHeight="false" outlineLevel="0" collapsed="false">
      <c r="A10" s="32" t="s">
        <v>20</v>
      </c>
      <c r="B10" s="33" t="n">
        <v>3500</v>
      </c>
      <c r="C10" s="34"/>
      <c r="D10" s="34"/>
      <c r="E10" s="35" t="n">
        <v>0.958</v>
      </c>
      <c r="F10" s="29" t="n">
        <f aca="false">+B10*E10</f>
        <v>3353</v>
      </c>
      <c r="G10" s="36" t="n">
        <f aca="false">0.8877*F10</f>
        <v>2976.4581</v>
      </c>
      <c r="H10" s="27"/>
      <c r="I10" s="27"/>
      <c r="J10" s="28" t="n">
        <f aca="false">G10/($G$48-$G$46-$G$38)*($J$48-$J$46-$J$38)</f>
        <v>1797.47502542596</v>
      </c>
      <c r="K10" s="29" t="n">
        <f aca="false">J10/0.8877</f>
        <v>2024.86766410494</v>
      </c>
      <c r="L10" s="30" t="n">
        <f aca="false">K10/E10</f>
        <v>2113.64056795923</v>
      </c>
      <c r="M10" s="31"/>
    </row>
    <row r="11" customFormat="false" ht="13.5" hidden="false" customHeight="false" outlineLevel="0" collapsed="false">
      <c r="A11" s="32" t="s">
        <v>21</v>
      </c>
      <c r="B11" s="37" t="n">
        <v>4100</v>
      </c>
      <c r="C11" s="34"/>
      <c r="D11" s="34"/>
      <c r="E11" s="38" t="n">
        <v>0.957</v>
      </c>
      <c r="F11" s="39" t="n">
        <f aca="false">+B11*E11</f>
        <v>3923.7</v>
      </c>
      <c r="G11" s="40" t="n">
        <f aca="false">0.8877*F11</f>
        <v>3483.06849</v>
      </c>
      <c r="H11" s="27"/>
      <c r="I11" s="27"/>
      <c r="J11" s="41" t="n">
        <f aca="false">G11/($G$48-$G$46-$G$38)*($J$48-$J$46-$J$38)</f>
        <v>2103.41567469843</v>
      </c>
      <c r="K11" s="39" t="n">
        <f aca="false">J11/0.8877</f>
        <v>2369.51185614332</v>
      </c>
      <c r="L11" s="42" t="n">
        <f aca="false">K11/E11</f>
        <v>2475.97895103796</v>
      </c>
      <c r="M11" s="31"/>
    </row>
    <row r="12" customFormat="false" ht="12.75" hidden="false" customHeight="false" outlineLevel="0" collapsed="false">
      <c r="A12" s="32" t="s">
        <v>22</v>
      </c>
      <c r="B12" s="43" t="n">
        <f aca="false">SUM(B8:B11)</f>
        <v>14200</v>
      </c>
      <c r="C12" s="34"/>
      <c r="D12" s="34"/>
      <c r="E12" s="35" t="n">
        <f aca="false">AVERAGE(E8:E11)</f>
        <v>0.95625</v>
      </c>
      <c r="F12" s="29" t="n">
        <f aca="false">SUM(F8:F11)</f>
        <v>13579.3</v>
      </c>
      <c r="G12" s="36" t="n">
        <f aca="false">SUM(G8:G11)</f>
        <v>12054.34461</v>
      </c>
      <c r="H12" s="27"/>
      <c r="I12" s="27"/>
      <c r="J12" s="28" t="n">
        <f aca="false">G12/($G$48-$G$46-$G$38)*($J$48-$J$46-$J$38)</f>
        <v>7279.58622510191</v>
      </c>
      <c r="K12" s="29" t="n">
        <f aca="false">J12/0.8877</f>
        <v>8200.50267556822</v>
      </c>
      <c r="L12" s="30" t="n">
        <f aca="false">SUM(L8:L11)</f>
        <v>8575.34173286317</v>
      </c>
      <c r="M12" s="31"/>
    </row>
    <row r="13" customFormat="false" ht="12.75" hidden="false" customHeight="false" outlineLevel="0" collapsed="false">
      <c r="A13" s="32"/>
      <c r="B13" s="33"/>
      <c r="C13" s="34"/>
      <c r="D13" s="34"/>
      <c r="E13" s="35"/>
      <c r="F13" s="29"/>
      <c r="G13" s="36"/>
      <c r="H13" s="27"/>
      <c r="I13" s="27"/>
      <c r="J13" s="28"/>
      <c r="K13" s="29"/>
      <c r="L13" s="30"/>
      <c r="M13" s="31"/>
    </row>
    <row r="14" customFormat="false" ht="12.75" hidden="false" customHeight="false" outlineLevel="0" collapsed="false">
      <c r="A14" s="32" t="s">
        <v>23</v>
      </c>
      <c r="B14" s="33" t="n">
        <v>4700</v>
      </c>
      <c r="C14" s="34"/>
      <c r="D14" s="34"/>
      <c r="E14" s="35" t="n">
        <v>0.957</v>
      </c>
      <c r="F14" s="29" t="n">
        <f aca="false">+B14*E14</f>
        <v>4497.9</v>
      </c>
      <c r="G14" s="36" t="n">
        <f aca="false">0.9095*F14</f>
        <v>4090.84005</v>
      </c>
      <c r="H14" s="27"/>
      <c r="I14" s="27"/>
      <c r="J14" s="28" t="n">
        <f aca="false">G14/($G$48-$G$46-$G$38)*($J$48-$J$46-$J$38)</f>
        <v>2470.44728191782</v>
      </c>
      <c r="K14" s="29" t="n">
        <f aca="false">J14/0.9095</f>
        <v>2716.26968874966</v>
      </c>
      <c r="L14" s="30" t="n">
        <f aca="false">K14/E14</f>
        <v>2838.31733411668</v>
      </c>
      <c r="M14" s="31"/>
    </row>
    <row r="15" customFormat="false" ht="12.75" hidden="false" customHeight="false" outlineLevel="0" collapsed="false">
      <c r="A15" s="32" t="s">
        <v>24</v>
      </c>
      <c r="B15" s="33" t="n">
        <v>10000</v>
      </c>
      <c r="C15" s="34"/>
      <c r="D15" s="34"/>
      <c r="E15" s="35" t="n">
        <v>0.955</v>
      </c>
      <c r="F15" s="29" t="n">
        <f aca="false">+B15*E15</f>
        <v>9550</v>
      </c>
      <c r="G15" s="36" t="n">
        <f aca="false">0.9095*F15</f>
        <v>8685.725</v>
      </c>
      <c r="H15" s="27"/>
      <c r="I15" s="27"/>
      <c r="J15" s="28" t="n">
        <f aca="false">G15/($G$48-$G$46-$G$38)*($J$48-$J$46-$J$38)</f>
        <v>5245.28592061077</v>
      </c>
      <c r="K15" s="29" t="n">
        <f aca="false">J15/0.9095</f>
        <v>5767.21926400304</v>
      </c>
      <c r="L15" s="30" t="n">
        <f aca="false">K15/E15</f>
        <v>6038.97305131209</v>
      </c>
      <c r="M15" s="31"/>
    </row>
    <row r="16" customFormat="false" ht="12.75" hidden="false" customHeight="false" outlineLevel="0" collapsed="false">
      <c r="A16" s="32" t="s">
        <v>25</v>
      </c>
      <c r="B16" s="33" t="n">
        <v>9800</v>
      </c>
      <c r="C16" s="34"/>
      <c r="D16" s="34"/>
      <c r="E16" s="35" t="n">
        <v>0.945</v>
      </c>
      <c r="F16" s="29" t="n">
        <f aca="false">+B16*E16</f>
        <v>9261</v>
      </c>
      <c r="G16" s="36" t="n">
        <f aca="false">0.9095*F16</f>
        <v>8422.8795</v>
      </c>
      <c r="H16" s="27"/>
      <c r="I16" s="27"/>
      <c r="J16" s="28" t="n">
        <f aca="false">G16/($G$48-$G$46-$G$38)*($J$48-$J$46-$J$38)</f>
        <v>5086.5542314949</v>
      </c>
      <c r="K16" s="29" t="n">
        <f aca="false">J16/0.9095</f>
        <v>5592.69294282012</v>
      </c>
      <c r="L16" s="30" t="n">
        <f aca="false">K16/E16</f>
        <v>5918.19359028585</v>
      </c>
      <c r="M16" s="31"/>
    </row>
    <row r="17" customFormat="false" ht="13.5" hidden="false" customHeight="false" outlineLevel="0" collapsed="false">
      <c r="A17" s="32" t="s">
        <v>26</v>
      </c>
      <c r="B17" s="37" t="n">
        <v>3200</v>
      </c>
      <c r="C17" s="34"/>
      <c r="D17" s="34"/>
      <c r="E17" s="38" t="n">
        <v>0.953</v>
      </c>
      <c r="F17" s="39" t="n">
        <f aca="false">+B17*E17</f>
        <v>3049.6</v>
      </c>
      <c r="G17" s="40" t="n">
        <f aca="false">0.9095*F17</f>
        <v>2773.6112</v>
      </c>
      <c r="H17" s="27"/>
      <c r="I17" s="27"/>
      <c r="J17" s="41" t="n">
        <f aca="false">G17/($G$48-$G$46-$G$38)*($J$48-$J$46-$J$38)</f>
        <v>1674.97632916174</v>
      </c>
      <c r="K17" s="39" t="n">
        <f aca="false">J17/0.9095</f>
        <v>1841.64522172813</v>
      </c>
      <c r="L17" s="42" t="n">
        <f aca="false">K17/E17</f>
        <v>1932.47137641987</v>
      </c>
      <c r="M17" s="31"/>
    </row>
    <row r="18" customFormat="false" ht="12.75" hidden="false" customHeight="false" outlineLevel="0" collapsed="false">
      <c r="A18" s="32" t="s">
        <v>27</v>
      </c>
      <c r="B18" s="43" t="n">
        <f aca="false">SUM(B14:B17)</f>
        <v>27700</v>
      </c>
      <c r="C18" s="34"/>
      <c r="D18" s="34"/>
      <c r="E18" s="35" t="n">
        <f aca="false">AVERAGE(E14:E17)</f>
        <v>0.9525</v>
      </c>
      <c r="F18" s="29" t="n">
        <f aca="false">SUM(F14:F17)</f>
        <v>26358.5</v>
      </c>
      <c r="G18" s="36" t="n">
        <f aca="false">SUM(G14:G17)</f>
        <v>23973.05575</v>
      </c>
      <c r="H18" s="27"/>
      <c r="I18" s="27"/>
      <c r="J18" s="28" t="n">
        <f aca="false">G18/($G$48-$G$46-$G$38)*($J$48-$J$46-$J$38)</f>
        <v>14477.2637631852</v>
      </c>
      <c r="K18" s="29" t="n">
        <f aca="false">J18/0.9095</f>
        <v>15917.827117301</v>
      </c>
      <c r="L18" s="30" t="n">
        <f aca="false">SUM(L14:L17)</f>
        <v>16727.9553521345</v>
      </c>
      <c r="M18" s="31"/>
    </row>
    <row r="19" customFormat="false" ht="12.75" hidden="false" customHeight="false" outlineLevel="0" collapsed="false">
      <c r="A19" s="32"/>
      <c r="B19" s="43"/>
      <c r="C19" s="34"/>
      <c r="D19" s="34"/>
      <c r="E19" s="35"/>
      <c r="F19" s="29"/>
      <c r="G19" s="36"/>
      <c r="H19" s="27"/>
      <c r="I19" s="27"/>
      <c r="J19" s="28"/>
      <c r="K19" s="29"/>
      <c r="L19" s="30"/>
      <c r="M19" s="31"/>
    </row>
    <row r="20" customFormat="false" ht="12.75" hidden="false" customHeight="false" outlineLevel="0" collapsed="false">
      <c r="A20" s="32" t="s">
        <v>28</v>
      </c>
      <c r="B20" s="44" t="n">
        <f aca="false">B18+B12</f>
        <v>41900</v>
      </c>
      <c r="C20" s="34"/>
      <c r="D20" s="34"/>
      <c r="E20" s="35"/>
      <c r="F20" s="45" t="n">
        <f aca="false">F18+F12</f>
        <v>39937.8</v>
      </c>
      <c r="G20" s="46" t="n">
        <f aca="false">G18+G12</f>
        <v>36027.40036</v>
      </c>
      <c r="H20" s="27"/>
      <c r="I20" s="27"/>
      <c r="J20" s="47" t="n">
        <f aca="false">J18+J12</f>
        <v>21756.8499882871</v>
      </c>
      <c r="K20" s="45" t="n">
        <f aca="false">K18+K12</f>
        <v>24118.3297928692</v>
      </c>
      <c r="L20" s="48" t="n">
        <f aca="false">L18+L12</f>
        <v>25303.2970849977</v>
      </c>
      <c r="M20" s="49"/>
      <c r="O20" s="31" t="n">
        <f aca="false">+P20*L20/J20</f>
        <v>10467.0333199695</v>
      </c>
      <c r="P20" s="31" t="n">
        <v>9000</v>
      </c>
    </row>
    <row r="21" customFormat="false" ht="12.75" hidden="false" customHeight="false" outlineLevel="0" collapsed="false">
      <c r="A21" s="32"/>
      <c r="B21" s="33"/>
      <c r="C21" s="34"/>
      <c r="D21" s="34"/>
      <c r="E21" s="35"/>
      <c r="F21" s="29"/>
      <c r="G21" s="36"/>
      <c r="H21" s="27"/>
      <c r="I21" s="27"/>
      <c r="J21" s="28"/>
      <c r="K21" s="29"/>
      <c r="L21" s="30"/>
      <c r="M21" s="31"/>
      <c r="O21" s="31" t="n">
        <f aca="false">+P21*L20/J20</f>
        <v>2326.00740443766</v>
      </c>
      <c r="P21" s="31" t="n">
        <v>2000</v>
      </c>
    </row>
    <row r="22" customFormat="false" ht="12.75" hidden="false" customHeight="false" outlineLevel="0" collapsed="false">
      <c r="A22" s="32" t="s">
        <v>29</v>
      </c>
      <c r="B22" s="33" t="n">
        <v>1100</v>
      </c>
      <c r="C22" s="34"/>
      <c r="D22" s="34"/>
      <c r="E22" s="35" t="n">
        <v>0.939</v>
      </c>
      <c r="F22" s="29" t="n">
        <f aca="false">+B22*E22</f>
        <v>1032.9</v>
      </c>
      <c r="G22" s="36" t="n">
        <f aca="false">0.8917*F22</f>
        <v>921.03693</v>
      </c>
      <c r="H22" s="27"/>
      <c r="I22" s="27"/>
      <c r="J22" s="28" t="n">
        <f aca="false">G22/($G$48-$G$46-$G$38)*($J$48-$J$46-$J$38)</f>
        <v>556.211719953322</v>
      </c>
      <c r="K22" s="29" t="n">
        <f aca="false">J22/0.8917</f>
        <v>623.765526470026</v>
      </c>
      <c r="L22" s="30" t="n">
        <f aca="false">K22/E22</f>
        <v>664.28703564433</v>
      </c>
      <c r="M22" s="31"/>
    </row>
    <row r="23" customFormat="false" ht="13.5" hidden="false" customHeight="false" outlineLevel="0" collapsed="false">
      <c r="A23" s="32" t="s">
        <v>30</v>
      </c>
      <c r="B23" s="37" t="n">
        <v>1500</v>
      </c>
      <c r="C23" s="34"/>
      <c r="D23" s="34"/>
      <c r="E23" s="38" t="n">
        <v>0.93</v>
      </c>
      <c r="F23" s="39" t="n">
        <f aca="false">+B23*E23</f>
        <v>1395</v>
      </c>
      <c r="G23" s="40" t="n">
        <f aca="false">0.8917*F23</f>
        <v>1243.9215</v>
      </c>
      <c r="H23" s="27"/>
      <c r="I23" s="27"/>
      <c r="J23" s="41" t="n">
        <f aca="false">G23/($G$48-$G$46-$G$38)*($J$48-$J$46-$J$38)</f>
        <v>751.200841644771</v>
      </c>
      <c r="K23" s="39" t="n">
        <f aca="false">J23/0.8917</f>
        <v>842.436740658036</v>
      </c>
      <c r="L23" s="42" t="n">
        <f aca="false">K23/E23</f>
        <v>905.845957696813</v>
      </c>
      <c r="M23" s="31"/>
    </row>
    <row r="24" customFormat="false" ht="12.75" hidden="false" customHeight="false" outlineLevel="0" collapsed="false">
      <c r="A24" s="50" t="s">
        <v>31</v>
      </c>
      <c r="B24" s="43" t="n">
        <f aca="false">SUM(B22:B23)</f>
        <v>2600</v>
      </c>
      <c r="C24" s="34"/>
      <c r="D24" s="34"/>
      <c r="E24" s="35" t="n">
        <f aca="false">AVERAGE(E20:E23)</f>
        <v>0.9345</v>
      </c>
      <c r="F24" s="29" t="n">
        <f aca="false">SUM(F22:F23)</f>
        <v>2427.9</v>
      </c>
      <c r="G24" s="36" t="n">
        <f aca="false">SUM(G22:G23)</f>
        <v>2164.95843</v>
      </c>
      <c r="H24" s="27"/>
      <c r="I24" s="27"/>
      <c r="J24" s="28" t="n">
        <f aca="false">SUM(J22:J23)</f>
        <v>1307.41256159809</v>
      </c>
      <c r="K24" s="29" t="n">
        <f aca="false">SUM(K22:K23)</f>
        <v>1466.20226712806</v>
      </c>
      <c r="L24" s="30" t="n">
        <f aca="false">SUM(L22:L23)</f>
        <v>1570.13299334114</v>
      </c>
      <c r="M24" s="49"/>
    </row>
    <row r="25" customFormat="false" ht="12.75" hidden="false" customHeight="false" outlineLevel="0" collapsed="false">
      <c r="A25" s="32"/>
      <c r="B25" s="33"/>
      <c r="C25" s="34"/>
      <c r="D25" s="34"/>
      <c r="E25" s="35"/>
      <c r="F25" s="29"/>
      <c r="G25" s="36"/>
      <c r="H25" s="27"/>
      <c r="I25" s="27"/>
      <c r="J25" s="28"/>
      <c r="K25" s="29"/>
      <c r="L25" s="30"/>
      <c r="M25" s="31"/>
    </row>
    <row r="26" customFormat="false" ht="12.75" hidden="false" customHeight="false" outlineLevel="0" collapsed="false">
      <c r="A26" s="51" t="s">
        <v>32</v>
      </c>
      <c r="B26" s="44" t="n">
        <f aca="false">B12+B24</f>
        <v>16800</v>
      </c>
      <c r="C26" s="52"/>
      <c r="D26" s="52"/>
      <c r="E26" s="52"/>
      <c r="F26" s="53" t="n">
        <f aca="false">F24+F12</f>
        <v>16007.2</v>
      </c>
      <c r="G26" s="54" t="n">
        <f aca="false">G24+G12</f>
        <v>14219.30304</v>
      </c>
      <c r="H26" s="55"/>
      <c r="I26" s="55"/>
      <c r="J26" s="56" t="n">
        <f aca="false">J24+J12</f>
        <v>8586.99878670001</v>
      </c>
      <c r="K26" s="45" t="n">
        <f aca="false">K24+K12</f>
        <v>9666.70494269628</v>
      </c>
      <c r="L26" s="48" t="n">
        <f aca="false">L24+L12</f>
        <v>10145.4747262043</v>
      </c>
      <c r="M26" s="31"/>
    </row>
    <row r="27" customFormat="false" ht="12.75" hidden="false" customHeight="false" outlineLevel="0" collapsed="false">
      <c r="A27" s="51"/>
      <c r="B27" s="44"/>
      <c r="C27" s="52"/>
      <c r="D27" s="52"/>
      <c r="E27" s="52"/>
      <c r="F27" s="57"/>
      <c r="G27" s="58"/>
      <c r="H27" s="55"/>
      <c r="I27" s="55"/>
      <c r="J27" s="59"/>
      <c r="K27" s="29"/>
      <c r="L27" s="30"/>
      <c r="M27" s="31"/>
    </row>
    <row r="28" customFormat="false" ht="12.75" hidden="false" customHeight="false" outlineLevel="0" collapsed="false">
      <c r="A28" s="51" t="s">
        <v>33</v>
      </c>
      <c r="B28" s="44" t="n">
        <f aca="false">B24+B18+B12</f>
        <v>44500</v>
      </c>
      <c r="C28" s="52"/>
      <c r="D28" s="52"/>
      <c r="E28" s="52"/>
      <c r="F28" s="53" t="n">
        <f aca="false">F24+F18+F12</f>
        <v>42365.7</v>
      </c>
      <c r="G28" s="54" t="n">
        <f aca="false">G24+G18+G12</f>
        <v>38192.35879</v>
      </c>
      <c r="H28" s="55"/>
      <c r="I28" s="55"/>
      <c r="J28" s="56" t="n">
        <f aca="false">J12+J18+J24</f>
        <v>23064.2625498852</v>
      </c>
      <c r="K28" s="45" t="n">
        <f aca="false">K24+K18+K12</f>
        <v>25584.5320599973</v>
      </c>
      <c r="L28" s="48" t="n">
        <f aca="false">L18+L24+L12</f>
        <v>26873.4300783388</v>
      </c>
      <c r="M28" s="31"/>
    </row>
    <row r="29" customFormat="false" ht="12.75" hidden="false" customHeight="false" outlineLevel="0" collapsed="false">
      <c r="A29" s="32"/>
      <c r="B29" s="44"/>
      <c r="C29" s="34"/>
      <c r="D29" s="34"/>
      <c r="E29" s="34"/>
      <c r="F29" s="34"/>
      <c r="G29" s="36"/>
      <c r="H29" s="27"/>
      <c r="I29" s="27"/>
      <c r="J29" s="60"/>
      <c r="K29" s="29"/>
      <c r="L29" s="30"/>
      <c r="M29" s="31"/>
    </row>
    <row r="30" customFormat="false" ht="13.5" hidden="false" customHeight="false" outlineLevel="0" collapsed="false">
      <c r="A30" s="61" t="s">
        <v>34</v>
      </c>
      <c r="B30" s="45"/>
      <c r="C30" s="34"/>
      <c r="D30" s="34"/>
      <c r="E30" s="34"/>
      <c r="F30" s="34"/>
      <c r="G30" s="36"/>
      <c r="H30" s="27"/>
      <c r="I30" s="27"/>
      <c r="J30" s="60"/>
      <c r="K30" s="29"/>
      <c r="L30" s="30"/>
      <c r="M30" s="31"/>
    </row>
    <row r="31" customFormat="false" ht="12.75" hidden="false" customHeight="false" outlineLevel="0" collapsed="false">
      <c r="A31" s="21" t="s">
        <v>35</v>
      </c>
      <c r="B31" s="22" t="n">
        <v>5800</v>
      </c>
      <c r="C31" s="23"/>
      <c r="D31" s="23"/>
      <c r="E31" s="24" t="n">
        <v>0.944</v>
      </c>
      <c r="F31" s="25" t="n">
        <f aca="false">+B31*E31</f>
        <v>5475.2</v>
      </c>
      <c r="G31" s="26" t="n">
        <f aca="false">0.9243*F31</f>
        <v>5060.72736</v>
      </c>
      <c r="H31" s="27"/>
      <c r="I31" s="27"/>
      <c r="J31" s="28" t="n">
        <f aca="false">G31/($G$48-$G$46-$G$38)*($J$48-$J$46-$J$38)</f>
        <v>3056.15961470778</v>
      </c>
      <c r="K31" s="29" t="n">
        <f aca="false">J31/0.93</f>
        <v>3286.19313409438</v>
      </c>
      <c r="L31" s="30" t="n">
        <f aca="false">K31/E31</f>
        <v>3481.13679459151</v>
      </c>
      <c r="M31" s="31"/>
    </row>
    <row r="32" customFormat="false" ht="12.75" hidden="false" customHeight="false" outlineLevel="0" collapsed="false">
      <c r="A32" s="32" t="s">
        <v>36</v>
      </c>
      <c r="B32" s="33" t="n">
        <v>2400</v>
      </c>
      <c r="C32" s="34"/>
      <c r="D32" s="34"/>
      <c r="E32" s="35" t="n">
        <v>0.952</v>
      </c>
      <c r="F32" s="29" t="n">
        <f aca="false">+B32*E32</f>
        <v>2284.8</v>
      </c>
      <c r="G32" s="36" t="n">
        <f aca="false">0.9243*F32</f>
        <v>2111.84064</v>
      </c>
      <c r="H32" s="27"/>
      <c r="I32" s="27"/>
      <c r="J32" s="28" t="n">
        <f aca="false">G32/($G$48-$G$46-$G$38)*($J$48-$J$46-$J$38)</f>
        <v>1275.33487136257</v>
      </c>
      <c r="K32" s="29" t="n">
        <f aca="false">J32/0.93</f>
        <v>1371.32781866943</v>
      </c>
      <c r="L32" s="30" t="n">
        <f aca="false">K32/E32</f>
        <v>1440.470397762</v>
      </c>
      <c r="M32" s="31"/>
    </row>
    <row r="33" customFormat="false" ht="13.5" hidden="false" customHeight="false" outlineLevel="0" collapsed="false">
      <c r="A33" s="62" t="s">
        <v>37</v>
      </c>
      <c r="B33" s="37" t="n">
        <v>3200</v>
      </c>
      <c r="C33" s="63"/>
      <c r="D33" s="63"/>
      <c r="E33" s="38" t="n">
        <v>0.946</v>
      </c>
      <c r="F33" s="39" t="n">
        <f aca="false">+B33*E33</f>
        <v>3027.2</v>
      </c>
      <c r="G33" s="40" t="n">
        <f aca="false">0.9243*F33</f>
        <v>2798.04096</v>
      </c>
      <c r="H33" s="27"/>
      <c r="I33" s="27"/>
      <c r="J33" s="41" t="n">
        <f aca="false">G33/($G$48-$G$46-$G$38)*($J$48-$J$46-$J$38)</f>
        <v>1689.72939539074</v>
      </c>
      <c r="K33" s="39" t="n">
        <f aca="false">J33/0.93</f>
        <v>1816.91332837714</v>
      </c>
      <c r="L33" s="42" t="n">
        <f aca="false">K33/E33</f>
        <v>1920.627197016</v>
      </c>
      <c r="M33" s="31"/>
    </row>
    <row r="34" customFormat="false" ht="12.75" hidden="false" customHeight="false" outlineLevel="0" collapsed="false">
      <c r="A34" s="64" t="s">
        <v>38</v>
      </c>
      <c r="B34" s="45" t="n">
        <f aca="false">SUM(B31:B33)</f>
        <v>11400</v>
      </c>
      <c r="C34" s="34"/>
      <c r="D34" s="34"/>
      <c r="E34" s="35" t="n">
        <f aca="false">AVERAGE(E31:E33)</f>
        <v>0.947333333333333</v>
      </c>
      <c r="F34" s="65" t="n">
        <f aca="false">SUM(F31:F33)</f>
        <v>10787.2</v>
      </c>
      <c r="G34" s="36" t="n">
        <f aca="false">SUM(G31:G33)</f>
        <v>9970.60896</v>
      </c>
      <c r="H34" s="27"/>
      <c r="I34" s="27"/>
      <c r="J34" s="28" t="n">
        <f aca="false">SUM(J31:J33)</f>
        <v>6021.22388146108</v>
      </c>
      <c r="K34" s="29" t="n">
        <f aca="false">SUM(K31:K33)</f>
        <v>6474.43428114095</v>
      </c>
      <c r="L34" s="30" t="n">
        <f aca="false">SUM(L31:L33)</f>
        <v>6842.23438936952</v>
      </c>
      <c r="M34" s="31"/>
    </row>
    <row r="35" customFormat="false" ht="12.75" hidden="false" customHeight="false" outlineLevel="0" collapsed="false">
      <c r="A35" s="34"/>
      <c r="B35" s="45"/>
      <c r="C35" s="34"/>
      <c r="D35" s="34"/>
      <c r="E35" s="34"/>
      <c r="F35" s="34"/>
      <c r="G35" s="36"/>
      <c r="H35" s="27"/>
      <c r="I35" s="27"/>
      <c r="J35" s="60"/>
      <c r="K35" s="29"/>
      <c r="L35" s="30"/>
      <c r="M35" s="31"/>
    </row>
    <row r="36" customFormat="false" ht="12.75" hidden="false" customHeight="false" outlineLevel="0" collapsed="false">
      <c r="A36" s="66"/>
      <c r="B36" s="67"/>
      <c r="C36" s="66"/>
      <c r="D36" s="66"/>
      <c r="E36" s="66"/>
      <c r="F36" s="66"/>
      <c r="G36" s="68"/>
      <c r="H36" s="55"/>
      <c r="I36" s="55"/>
      <c r="J36" s="69"/>
      <c r="K36" s="29"/>
      <c r="L36" s="30"/>
      <c r="M36" s="31"/>
    </row>
    <row r="37" customFormat="false" ht="13.5" hidden="false" customHeight="false" outlineLevel="0" collapsed="false">
      <c r="A37" s="70" t="s">
        <v>39</v>
      </c>
      <c r="B37" s="67"/>
      <c r="C37" s="66"/>
      <c r="D37" s="66"/>
      <c r="E37" s="66"/>
      <c r="F37" s="66"/>
      <c r="G37" s="68"/>
      <c r="H37" s="55"/>
      <c r="I37" s="55"/>
      <c r="J37" s="69"/>
      <c r="K37" s="29"/>
      <c r="L37" s="30"/>
      <c r="M37" s="31"/>
    </row>
    <row r="38" customFormat="false" ht="12.75" hidden="false" customHeight="false" outlineLevel="0" collapsed="false">
      <c r="A38" s="21" t="s">
        <v>40</v>
      </c>
      <c r="B38" s="22" t="n">
        <v>800</v>
      </c>
      <c r="C38" s="71"/>
      <c r="D38" s="71"/>
      <c r="E38" s="24" t="n">
        <v>0.945</v>
      </c>
      <c r="F38" s="25" t="n">
        <f aca="false">+B38*E38</f>
        <v>756</v>
      </c>
      <c r="G38" s="72" t="n">
        <f aca="false">0.9971*F38</f>
        <v>753.8076</v>
      </c>
      <c r="H38" s="27"/>
      <c r="I38" s="27"/>
      <c r="J38" s="60" t="n">
        <f aca="false">G38</f>
        <v>753.8076</v>
      </c>
      <c r="K38" s="27" t="n">
        <f aca="false">J38/0.9971</f>
        <v>756</v>
      </c>
      <c r="L38" s="73" t="n">
        <f aca="false">K38/E38</f>
        <v>800</v>
      </c>
      <c r="M38" s="31"/>
    </row>
    <row r="39" customFormat="false" ht="12.75" hidden="false" customHeight="false" outlineLevel="0" collapsed="false">
      <c r="A39" s="32" t="s">
        <v>41</v>
      </c>
      <c r="B39" s="33" t="n">
        <v>1060</v>
      </c>
      <c r="C39" s="16"/>
      <c r="D39" s="16"/>
      <c r="E39" s="35" t="n">
        <v>0.952</v>
      </c>
      <c r="F39" s="29" t="n">
        <f aca="false">+B39*E39</f>
        <v>1009.12</v>
      </c>
      <c r="G39" s="74" t="n">
        <f aca="false">0.937*F39</f>
        <v>945.54544</v>
      </c>
      <c r="H39" s="27"/>
      <c r="I39" s="27"/>
      <c r="J39" s="28" t="n">
        <v>0</v>
      </c>
      <c r="K39" s="29" t="n">
        <v>0</v>
      </c>
      <c r="L39" s="30" t="n">
        <v>0</v>
      </c>
      <c r="M39" s="31"/>
    </row>
    <row r="40" customFormat="false" ht="12.75" hidden="false" customHeight="false" outlineLevel="0" collapsed="false">
      <c r="A40" s="32"/>
      <c r="B40" s="33"/>
      <c r="C40" s="16"/>
      <c r="D40" s="16"/>
      <c r="E40" s="35"/>
      <c r="F40" s="29"/>
      <c r="G40" s="74"/>
      <c r="H40" s="27"/>
      <c r="I40" s="27"/>
      <c r="J40" s="28"/>
      <c r="K40" s="29"/>
      <c r="L40" s="30"/>
      <c r="M40" s="31"/>
    </row>
    <row r="41" customFormat="false" ht="12.75" hidden="false" customHeight="false" outlineLevel="0" collapsed="false">
      <c r="A41" s="32" t="s">
        <v>42</v>
      </c>
      <c r="B41" s="33" t="n">
        <v>1500</v>
      </c>
      <c r="C41" s="70"/>
      <c r="D41" s="70"/>
      <c r="E41" s="35" t="n">
        <v>0.937</v>
      </c>
      <c r="F41" s="29" t="n">
        <f aca="false">+B41*E41</f>
        <v>1405.5</v>
      </c>
      <c r="G41" s="36" t="n">
        <f aca="false">0.9008*F41</f>
        <v>1266.0744</v>
      </c>
      <c r="H41" s="27"/>
      <c r="I41" s="27"/>
      <c r="J41" s="28" t="n">
        <f aca="false">G41/($G$48-$G$46-$G$38)*($J$48-$J$46-$J$38)</f>
        <v>764.578918255612</v>
      </c>
      <c r="K41" s="29" t="n">
        <f aca="false">J41/0.9008</f>
        <v>848.777662361914</v>
      </c>
      <c r="L41" s="30" t="n">
        <f aca="false">K41/E41</f>
        <v>905.845957696813</v>
      </c>
      <c r="M41" s="31"/>
    </row>
    <row r="42" customFormat="false" ht="13.5" hidden="false" customHeight="false" outlineLevel="0" collapsed="false">
      <c r="A42" s="32" t="s">
        <v>43</v>
      </c>
      <c r="B42" s="37" t="n">
        <v>2500</v>
      </c>
      <c r="C42" s="70"/>
      <c r="D42" s="70"/>
      <c r="E42" s="35" t="n">
        <v>0.945</v>
      </c>
      <c r="F42" s="39" t="n">
        <f aca="false">+B42*E42</f>
        <v>2362.5</v>
      </c>
      <c r="G42" s="40" t="n">
        <f aca="false">0.9008*F42</f>
        <v>2128.14</v>
      </c>
      <c r="H42" s="27"/>
      <c r="I42" s="27"/>
      <c r="J42" s="41" t="n">
        <f aca="false">G42/($G$48-$G$46-$G$38)*($J$48-$J$46-$J$38)</f>
        <v>1285.17801094193</v>
      </c>
      <c r="K42" s="39" t="n">
        <f aca="false">J42/0.9008</f>
        <v>1426.70738337248</v>
      </c>
      <c r="L42" s="42" t="n">
        <f aca="false">K42/E42</f>
        <v>1509.74326282802</v>
      </c>
      <c r="M42" s="31"/>
    </row>
    <row r="43" customFormat="false" ht="12.75" hidden="false" customHeight="false" outlineLevel="0" collapsed="false">
      <c r="A43" s="51" t="s">
        <v>44</v>
      </c>
      <c r="B43" s="33" t="n">
        <f aca="false">SUM(B41:B42)</f>
        <v>4000</v>
      </c>
      <c r="C43" s="70"/>
      <c r="D43" s="70"/>
      <c r="E43" s="35" t="n">
        <f aca="false">AVERAGE(E41:E42)</f>
        <v>0.941</v>
      </c>
      <c r="F43" s="29" t="n">
        <f aca="false">SUM(F41:F42)</f>
        <v>3768</v>
      </c>
      <c r="G43" s="36" t="n">
        <f aca="false">SUM(G41:G42)</f>
        <v>3394.2144</v>
      </c>
      <c r="H43" s="27"/>
      <c r="I43" s="27"/>
      <c r="J43" s="28" t="n">
        <f aca="false">SUM(J41:J42)</f>
        <v>2049.75692919754</v>
      </c>
      <c r="K43" s="29" t="n">
        <f aca="false">SUM(K41:K42)</f>
        <v>2275.48504573439</v>
      </c>
      <c r="L43" s="30" t="n">
        <f aca="false">SUM(L41:L42)</f>
        <v>2415.58922052484</v>
      </c>
      <c r="M43" s="31"/>
    </row>
    <row r="44" customFormat="false" ht="12.75" hidden="false" customHeight="false" outlineLevel="0" collapsed="false">
      <c r="A44" s="32"/>
      <c r="B44" s="33"/>
      <c r="C44" s="70"/>
      <c r="D44" s="70"/>
      <c r="E44" s="35"/>
      <c r="F44" s="29"/>
      <c r="G44" s="36"/>
      <c r="H44" s="27"/>
      <c r="I44" s="27"/>
      <c r="J44" s="28"/>
      <c r="K44" s="29"/>
      <c r="L44" s="30"/>
      <c r="M44" s="31"/>
    </row>
    <row r="45" customFormat="false" ht="12.75" hidden="false" customHeight="false" outlineLevel="0" collapsed="false">
      <c r="A45" s="32" t="s">
        <v>45</v>
      </c>
      <c r="B45" s="33" t="n">
        <v>980</v>
      </c>
      <c r="C45" s="70"/>
      <c r="D45" s="70"/>
      <c r="E45" s="35" t="n">
        <v>0.971</v>
      </c>
      <c r="F45" s="29" t="n">
        <f aca="false">+B45*E45</f>
        <v>951.58</v>
      </c>
      <c r="G45" s="36" t="n">
        <f aca="false">0.8975*F45</f>
        <v>854.04305</v>
      </c>
      <c r="H45" s="27"/>
      <c r="I45" s="27"/>
      <c r="J45" s="28" t="n">
        <f aca="false">G45/($G$48-$G$46-$G$38)*($J$48-$J$46-$J$38)</f>
        <v>515.754296361038</v>
      </c>
      <c r="K45" s="29" t="n">
        <f aca="false">J45/0.8975</f>
        <v>574.656597616756</v>
      </c>
      <c r="L45" s="30" t="n">
        <f aca="false">K45/E45</f>
        <v>591.819359028585</v>
      </c>
      <c r="M45" s="49"/>
    </row>
    <row r="46" customFormat="false" ht="13.5" hidden="false" customHeight="false" outlineLevel="0" collapsed="false">
      <c r="A46" s="62" t="s">
        <v>46</v>
      </c>
      <c r="B46" s="75" t="n">
        <v>18000</v>
      </c>
      <c r="C46" s="76"/>
      <c r="D46" s="76"/>
      <c r="E46" s="38" t="n">
        <v>0.939</v>
      </c>
      <c r="F46" s="39" t="n">
        <f aca="false">+B46*E46</f>
        <v>16902</v>
      </c>
      <c r="G46" s="40" t="n">
        <f aca="false">0.9512*F46</f>
        <v>16077.1824</v>
      </c>
      <c r="H46" s="27"/>
      <c r="I46" s="27"/>
      <c r="J46" s="41" t="n">
        <f aca="false">G46</f>
        <v>16077.1824</v>
      </c>
      <c r="K46" s="39" t="n">
        <f aca="false">J46/0.9512</f>
        <v>16902</v>
      </c>
      <c r="L46" s="77" t="n">
        <f aca="false">K46/E46</f>
        <v>18000</v>
      </c>
      <c r="M46" s="49"/>
    </row>
    <row r="47" customFormat="false" ht="12.75" hidden="false" customHeight="false" outlineLevel="0" collapsed="false">
      <c r="A47" s="78" t="s">
        <v>47</v>
      </c>
      <c r="B47" s="79" t="n">
        <f aca="false">SUM(B38:B46)</f>
        <v>28840</v>
      </c>
      <c r="F47" s="80" t="n">
        <f aca="false">F46+F45+F42+F41+F39+F38</f>
        <v>23386.7</v>
      </c>
      <c r="G47" s="81" t="n">
        <f aca="false">G46+G45+G42+G41+G39+G38</f>
        <v>22024.79289</v>
      </c>
      <c r="H47" s="5"/>
      <c r="I47" s="5"/>
      <c r="J47" s="82" t="n">
        <f aca="false">J46+J45+J42+J41+J38</f>
        <v>19396.5012255586</v>
      </c>
      <c r="K47" s="79" t="n">
        <f aca="false">K46+K45+K42+K41+K38</f>
        <v>20508.1416433511</v>
      </c>
      <c r="L47" s="83" t="n">
        <f aca="false">L46+L45+L42+L41+L38</f>
        <v>21807.4085795534</v>
      </c>
    </row>
    <row r="48" customFormat="false" ht="30.75" hidden="false" customHeight="false" outlineLevel="0" collapsed="false">
      <c r="A48" s="4" t="s">
        <v>48</v>
      </c>
      <c r="B48" s="52"/>
      <c r="C48" s="52"/>
      <c r="D48" s="52"/>
      <c r="E48" s="52"/>
      <c r="F48" s="29" t="n">
        <f aca="false">F47+F34+F28</f>
        <v>76539.6</v>
      </c>
      <c r="G48" s="84" t="n">
        <f aca="false">G47+G34+G28</f>
        <v>70187.76064</v>
      </c>
      <c r="H48" s="85"/>
      <c r="I48" s="86" t="s">
        <v>49</v>
      </c>
      <c r="J48" s="87" t="n">
        <v>49053</v>
      </c>
      <c r="K48" s="88" t="n">
        <f aca="false">K47+K34+K28</f>
        <v>52567.1079844894</v>
      </c>
      <c r="L48" s="89" t="n">
        <f aca="false">L47+L34+L28</f>
        <v>55523.0730472617</v>
      </c>
    </row>
    <row r="49" customFormat="false" ht="12.75" hidden="false" customHeight="false" outlineLevel="0" collapsed="false">
      <c r="A49" s="78"/>
    </row>
    <row r="51" customFormat="false" ht="12.75" hidden="false" customHeight="false" outlineLevel="0" collapsed="false">
      <c r="A51" s="70" t="s">
        <v>50</v>
      </c>
      <c r="B51" s="79" t="n">
        <f aca="false">B43+B34</f>
        <v>15400</v>
      </c>
      <c r="C51" s="16"/>
      <c r="D51" s="16"/>
      <c r="E51" s="16"/>
      <c r="F51" s="90" t="n">
        <f aca="false">F43+F34</f>
        <v>14555.2</v>
      </c>
      <c r="G51" s="90" t="n">
        <f aca="false">G43+G34</f>
        <v>13364.82336</v>
      </c>
      <c r="J51" s="80" t="n">
        <f aca="false">J43+J34</f>
        <v>8070.98081065863</v>
      </c>
      <c r="K51" s="80" t="n">
        <f aca="false">K43+K34</f>
        <v>8749.91932687534</v>
      </c>
      <c r="L51" s="80" t="n">
        <f aca="false">L43+L34</f>
        <v>9257.82360989435</v>
      </c>
      <c r="M51" s="49"/>
    </row>
    <row r="52" customFormat="false" ht="12.75" hidden="false" customHeight="false" outlineLevel="0" collapsed="false">
      <c r="A52" s="34" t="s">
        <v>51</v>
      </c>
      <c r="B52" s="91"/>
      <c r="C52" s="16"/>
      <c r="D52" s="16"/>
      <c r="E52" s="35"/>
      <c r="F52" s="29"/>
      <c r="G52" s="29" t="n">
        <f aca="false">+G12+G18</f>
        <v>36027.40036</v>
      </c>
    </row>
    <row r="53" customFormat="false" ht="12.75" hidden="false" customHeight="false" outlineLevel="0" collapsed="false">
      <c r="A53" s="34" t="s">
        <v>52</v>
      </c>
      <c r="B53" s="91"/>
      <c r="C53" s="70"/>
      <c r="D53" s="70"/>
      <c r="E53" s="35"/>
      <c r="F53" s="29"/>
      <c r="G53" s="29" t="n">
        <f aca="false">+G24</f>
        <v>2164.95843</v>
      </c>
      <c r="H53" s="92"/>
      <c r="I53" s="92"/>
    </row>
    <row r="54" customFormat="false" ht="12.75" hidden="false" customHeight="false" outlineLevel="0" collapsed="false">
      <c r="A54" s="93" t="s">
        <v>53</v>
      </c>
      <c r="B54" s="33" t="n">
        <v>14275</v>
      </c>
      <c r="C54" s="70"/>
      <c r="D54" s="70"/>
      <c r="E54" s="35"/>
      <c r="F54" s="29"/>
      <c r="G54" s="94"/>
      <c r="M54" s="80"/>
    </row>
    <row r="55" customFormat="false" ht="12.75" hidden="false" customHeight="false" outlineLevel="0" collapsed="false">
      <c r="A55" s="16"/>
      <c r="B55" s="16"/>
      <c r="C55" s="16"/>
      <c r="D55" s="16"/>
      <c r="E55" s="16"/>
      <c r="F55" s="16"/>
      <c r="G55" s="16"/>
      <c r="M55" s="80"/>
    </row>
    <row r="56" customFormat="false" ht="12.75" hidden="false" customHeight="false" outlineLevel="0" collapsed="false">
      <c r="A56" s="70"/>
      <c r="B56" s="16"/>
      <c r="C56" s="16"/>
      <c r="D56" s="16"/>
      <c r="E56" s="16"/>
      <c r="F56" s="90"/>
      <c r="G56" s="95"/>
    </row>
    <row r="57" customFormat="false" ht="12.75" hidden="false" customHeight="false" outlineLevel="0" collapsed="false">
      <c r="A57" s="16"/>
      <c r="B57" s="16"/>
      <c r="C57" s="16"/>
      <c r="D57" s="16"/>
      <c r="E57" s="16"/>
      <c r="F57" s="16"/>
      <c r="G57" s="16"/>
    </row>
    <row r="58" customFormat="false" ht="12.75" hidden="false" customHeight="false" outlineLevel="0" collapsed="false">
      <c r="A58" s="16"/>
      <c r="B58" s="16"/>
      <c r="C58" s="16"/>
      <c r="D58" s="16"/>
      <c r="E58" s="16"/>
      <c r="F58" s="16"/>
      <c r="G58" s="16"/>
    </row>
    <row r="59" customFormat="false" ht="12.75" hidden="false" customHeight="false" outlineLevel="0" collapsed="false">
      <c r="A59" s="70"/>
      <c r="B59" s="16"/>
      <c r="C59" s="16"/>
      <c r="D59" s="16"/>
      <c r="E59" s="16"/>
      <c r="F59" s="16"/>
      <c r="G59" s="79"/>
    </row>
  </sheetData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2000-01-25T14:05:05Z</dcterms:created>
  <dc:creator>Scott Sitter</dc:creator>
  <dc:description/>
  <dc:language>en-US</dc:language>
  <cp:lastModifiedBy>wserran</cp:lastModifiedBy>
  <cp:lastPrinted>2001-08-30T18:15:49Z</cp:lastPrinted>
  <dcterms:modified xsi:type="dcterms:W3CDTF">2001-08-30T18:15:50Z</dcterms:modified>
  <cp:revision>0</cp:revision>
  <dc:subject/>
  <dc:title/>
</cp:coreProperties>
</file>