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Sheet1!$A$1:$M$57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<sst xmlns="http://schemas.openxmlformats.org/spreadsheetml/2006/main" count="62" uniqueCount="56">
  <si>
    <t xml:space="preserve">Gas Avails. - Powder River</t>
  </si>
  <si>
    <t xml:space="preserve">Preliminary</t>
  </si>
  <si>
    <t xml:space="preserve">Mcf</t>
  </si>
  <si>
    <t xml:space="preserve">Mmbtu</t>
  </si>
  <si>
    <t xml:space="preserve">MMBtu</t>
  </si>
  <si>
    <t xml:space="preserve">Allocated </t>
  </si>
  <si>
    <t xml:space="preserve">Wellhead</t>
  </si>
  <si>
    <t xml:space="preserve">Less fuel </t>
  </si>
  <si>
    <t xml:space="preserve">mmBtu  at</t>
  </si>
  <si>
    <t xml:space="preserve">mmcf  at</t>
  </si>
  <si>
    <t xml:space="preserve">Nomination</t>
  </si>
  <si>
    <t xml:space="preserve">Firm Capacity</t>
  </si>
  <si>
    <t xml:space="preserve">IT</t>
  </si>
  <si>
    <t xml:space="preserve">Btu Factor</t>
  </si>
  <si>
    <t xml:space="preserve">Confirmation</t>
  </si>
  <si>
    <t xml:space="preserve">to Glennrock</t>
  </si>
  <si>
    <t xml:space="preserve">Glennrock</t>
  </si>
  <si>
    <t xml:space="preserve">Box Draw/So. Kitty/Maverick</t>
  </si>
  <si>
    <t xml:space="preserve">Kennedy #1</t>
  </si>
  <si>
    <t xml:space="preserve">Kennedy #2</t>
  </si>
  <si>
    <t xml:space="preserve">Kennedy #3</t>
  </si>
  <si>
    <t xml:space="preserve">Kennedy #4</t>
  </si>
  <si>
    <t xml:space="preserve">Kennedy Box Draw Total</t>
  </si>
  <si>
    <t xml:space="preserve">S. Kitty #1</t>
  </si>
  <si>
    <t xml:space="preserve">S. Kitty #2</t>
  </si>
  <si>
    <t xml:space="preserve">S. Kitty #3</t>
  </si>
  <si>
    <t xml:space="preserve">S. Kitty #4</t>
  </si>
  <si>
    <t xml:space="preserve">S. Kitty #5</t>
  </si>
  <si>
    <t xml:space="preserve">Kennedy S. Kitty Total</t>
  </si>
  <si>
    <t xml:space="preserve">Kennedy Total</t>
  </si>
  <si>
    <t xml:space="preserve">Wellstar #1</t>
  </si>
  <si>
    <t xml:space="preserve">Wellstar #2</t>
  </si>
  <si>
    <t xml:space="preserve">Wellstar Box Draw Total</t>
  </si>
  <si>
    <t xml:space="preserve">Box Draw Total</t>
  </si>
  <si>
    <t xml:space="preserve">Maverick Total</t>
  </si>
  <si>
    <t xml:space="preserve">Clydesdale</t>
  </si>
  <si>
    <t xml:space="preserve">Clydesdale #1</t>
  </si>
  <si>
    <t xml:space="preserve">Clydesdale #2</t>
  </si>
  <si>
    <t xml:space="preserve">Clydesdale #3</t>
  </si>
  <si>
    <t xml:space="preserve">Phillips Clydesdale Total</t>
  </si>
  <si>
    <t xml:space="preserve">Caballo</t>
  </si>
  <si>
    <t xml:space="preserve">MTG</t>
  </si>
  <si>
    <t xml:space="preserve">North Finn</t>
  </si>
  <si>
    <t xml:space="preserve">Palomino #1</t>
  </si>
  <si>
    <t xml:space="preserve">Palomino #2</t>
  </si>
  <si>
    <t xml:space="preserve">Geer #1</t>
  </si>
  <si>
    <t xml:space="preserve">Phillips Palomino Total</t>
  </si>
  <si>
    <t xml:space="preserve">Quantum</t>
  </si>
  <si>
    <t xml:space="preserve">Independent</t>
  </si>
  <si>
    <t xml:space="preserve">Caballo Total</t>
  </si>
  <si>
    <t xml:space="preserve">TOTAL ENA</t>
  </si>
  <si>
    <t xml:space="preserve">Fixed Volume at Glennrock</t>
  </si>
  <si>
    <t xml:space="preserve">Phillips Total Production</t>
  </si>
  <si>
    <t xml:space="preserve">Kennedy</t>
  </si>
  <si>
    <t xml:space="preserve">Wellstar</t>
  </si>
  <si>
    <t xml:space="preserve">Independent Actual Flow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</si>
</sst>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mmm\-yy"/>
    <numFmt numFmtId="167" formatCode="_(* #,##0.00_);_(* \(#,##0.00\);_(* \-??_);_(@_)"/>
    <numFmt numFmtId="168" formatCode="_(* #,##0_);_(* \(#,##0\);_(* \-??_);_(@_)"/>
    <numFmt numFmtId="169" formatCode="0.000"/>
    <numFmt numFmtId="170" formatCode="0"/>
    <numFmt numFmtId="171" formatCode="_(* #,##0_);_(* \(#,##0\);_(* \-?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000000"/>
      <name val="Arial"/>
      <family val="2"/>
    </font>
    <font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28"/>
    <col collapsed="false" customWidth="true" hidden="false" outlineLevel="0" max="2" min="2" style="0" width="10.28"/>
    <col collapsed="false" customWidth="true" hidden="false" outlineLevel="0" max="3" min="3" style="0" width="12.56"/>
    <col collapsed="false" customWidth="true" hidden="false" outlineLevel="0" max="5" min="4" style="0" width="10.85"/>
    <col collapsed="false" customWidth="true" hidden="false" outlineLevel="0" max="7" min="6" style="0" width="11.7"/>
    <col collapsed="false" customWidth="true" hidden="false" outlineLevel="0" max="9" min="9" style="0" width="15.7"/>
    <col collapsed="false" customWidth="true" hidden="false" outlineLevel="0" max="12" min="10" style="0" width="10.71"/>
    <col collapsed="false" customWidth="true" hidden="false" outlineLevel="0" max="13" min="13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1" t="n">
        <v>37226</v>
      </c>
      <c r="B2" s="2"/>
      <c r="C2" s="2"/>
      <c r="D2" s="2"/>
      <c r="E2" s="2"/>
    </row>
    <row r="3" customFormat="false" ht="12.75" hidden="false" customHeight="false" outlineLevel="0" collapsed="false">
      <c r="A3" s="3" t="s">
        <v>1</v>
      </c>
      <c r="B3" s="4"/>
      <c r="C3" s="4"/>
      <c r="D3" s="4"/>
      <c r="E3" s="4"/>
    </row>
    <row r="4" customFormat="false" ht="12.75" hidden="false" customHeight="false" outlineLevel="0" collapsed="false">
      <c r="B4" s="0" t="s">
        <v>2</v>
      </c>
      <c r="F4" s="0" t="s">
        <v>3</v>
      </c>
      <c r="G4" s="0" t="s">
        <v>4</v>
      </c>
      <c r="H4" s="5"/>
      <c r="I4" s="5"/>
      <c r="J4" s="6" t="s">
        <v>5</v>
      </c>
      <c r="K4" s="7" t="s">
        <v>5</v>
      </c>
      <c r="L4" s="8" t="s">
        <v>5</v>
      </c>
    </row>
    <row r="5" customFormat="false" ht="12.75" hidden="false" customHeight="false" outlineLevel="0" collapsed="false">
      <c r="B5" s="9" t="s">
        <v>6</v>
      </c>
      <c r="C5" s="9"/>
      <c r="D5" s="9"/>
      <c r="E5" s="9"/>
      <c r="F5" s="9" t="s">
        <v>6</v>
      </c>
      <c r="G5" s="10" t="s">
        <v>7</v>
      </c>
      <c r="H5" s="5"/>
      <c r="I5" s="5"/>
      <c r="J5" s="11" t="s">
        <v>8</v>
      </c>
      <c r="K5" s="12" t="s">
        <v>8</v>
      </c>
      <c r="L5" s="13" t="s">
        <v>9</v>
      </c>
    </row>
    <row r="6" customFormat="false" ht="12.75" hidden="false" customHeight="false" outlineLevel="0" collapsed="false">
      <c r="B6" s="14" t="s">
        <v>10</v>
      </c>
      <c r="C6" s="14" t="s">
        <v>11</v>
      </c>
      <c r="D6" s="14" t="s">
        <v>12</v>
      </c>
      <c r="E6" s="14" t="s">
        <v>13</v>
      </c>
      <c r="F6" s="14" t="s">
        <v>14</v>
      </c>
      <c r="G6" s="15" t="s">
        <v>15</v>
      </c>
      <c r="H6" s="5"/>
      <c r="I6" s="5"/>
      <c r="J6" s="11" t="s">
        <v>16</v>
      </c>
      <c r="K6" s="12" t="s">
        <v>6</v>
      </c>
      <c r="L6" s="13" t="s">
        <v>6</v>
      </c>
    </row>
    <row r="7" customFormat="false" ht="13.5" hidden="false" customHeight="false" outlineLevel="0" collapsed="false">
      <c r="A7" s="4" t="s">
        <v>17</v>
      </c>
      <c r="B7" s="16"/>
      <c r="C7" s="16"/>
      <c r="D7" s="16"/>
      <c r="E7" s="16"/>
      <c r="F7" s="17"/>
      <c r="G7" s="18"/>
      <c r="H7" s="5"/>
      <c r="I7" s="5"/>
      <c r="J7" s="19"/>
      <c r="K7" s="5"/>
      <c r="L7" s="20"/>
    </row>
    <row r="8" customFormat="false" ht="12.75" hidden="false" customHeight="false" outlineLevel="0" collapsed="false">
      <c r="A8" s="21" t="s">
        <v>18</v>
      </c>
      <c r="B8" s="22" t="n">
        <v>3900</v>
      </c>
      <c r="C8" s="23"/>
      <c r="D8" s="23"/>
      <c r="E8" s="24" t="n">
        <v>0.958</v>
      </c>
      <c r="F8" s="25" t="n">
        <f aca="false">+B8*E8</f>
        <v>3736.2</v>
      </c>
      <c r="G8" s="26" t="n">
        <f aca="false">0.8877*F8</f>
        <v>3316.62474</v>
      </c>
      <c r="H8" s="27"/>
      <c r="I8" s="27"/>
      <c r="J8" s="28" t="n">
        <f aca="false">G8/($G$50-$G$48-$G$39)*($J$50-$J$48-$J$39)</f>
        <v>1749.2509425258</v>
      </c>
      <c r="K8" s="29" t="n">
        <f aca="false">J8/0.8877</f>
        <v>1970.54291148563</v>
      </c>
      <c r="L8" s="30" t="n">
        <f aca="false">K8/E8</f>
        <v>2056.93414560087</v>
      </c>
      <c r="M8" s="31"/>
    </row>
    <row r="9" customFormat="false" ht="12.75" hidden="false" customHeight="false" outlineLevel="0" collapsed="false">
      <c r="A9" s="32" t="s">
        <v>19</v>
      </c>
      <c r="B9" s="33" t="n">
        <v>3700</v>
      </c>
      <c r="C9" s="34"/>
      <c r="D9" s="34"/>
      <c r="E9" s="35" t="n">
        <v>0.956</v>
      </c>
      <c r="F9" s="29" t="n">
        <f aca="false">+B9*E9</f>
        <v>3537.2</v>
      </c>
      <c r="G9" s="36" t="n">
        <f aca="false">0.8877*F9</f>
        <v>3139.97244</v>
      </c>
      <c r="H9" s="27"/>
      <c r="I9" s="27"/>
      <c r="J9" s="28" t="n">
        <f aca="false">G9/($G$50-$G$48-$G$39)*($J$50-$J$48-$J$39)</f>
        <v>1656.08116104658</v>
      </c>
      <c r="K9" s="29" t="n">
        <f aca="false">J9/0.8877</f>
        <v>1865.58652815882</v>
      </c>
      <c r="L9" s="30" t="n">
        <f aca="false">K9/E9</f>
        <v>1951.45034326236</v>
      </c>
      <c r="M9" s="31"/>
    </row>
    <row r="10" customFormat="false" ht="12.75" hidden="false" customHeight="false" outlineLevel="0" collapsed="false">
      <c r="A10" s="32" t="s">
        <v>20</v>
      </c>
      <c r="B10" s="33" t="n">
        <v>2700</v>
      </c>
      <c r="C10" s="34"/>
      <c r="D10" s="34"/>
      <c r="E10" s="35" t="n">
        <v>0.953</v>
      </c>
      <c r="F10" s="29" t="n">
        <f aca="false">+B10*E10</f>
        <v>2573.1</v>
      </c>
      <c r="G10" s="36" t="n">
        <f aca="false">0.8877*F10</f>
        <v>2284.14087</v>
      </c>
      <c r="H10" s="27"/>
      <c r="I10" s="27"/>
      <c r="J10" s="28" t="n">
        <f aca="false">G10/($G$50-$G$48-$G$39)*($J$50-$J$48-$J$39)</f>
        <v>1204.69932022192</v>
      </c>
      <c r="K10" s="29" t="n">
        <f aca="false">J10/0.8877</f>
        <v>1357.10185898605</v>
      </c>
      <c r="L10" s="30" t="n">
        <f aca="false">K10/E10</f>
        <v>1424.03133156983</v>
      </c>
      <c r="M10" s="31"/>
    </row>
    <row r="11" customFormat="false" ht="13.5" hidden="false" customHeight="false" outlineLevel="0" collapsed="false">
      <c r="A11" s="32" t="s">
        <v>21</v>
      </c>
      <c r="B11" s="37" t="n">
        <v>3600</v>
      </c>
      <c r="C11" s="34"/>
      <c r="D11" s="34"/>
      <c r="E11" s="38" t="n">
        <v>0.955</v>
      </c>
      <c r="F11" s="39" t="n">
        <f aca="false">+B11*E11</f>
        <v>3438</v>
      </c>
      <c r="G11" s="40" t="n">
        <f aca="false">0.8877*F11</f>
        <v>3051.9126</v>
      </c>
      <c r="H11" s="27"/>
      <c r="I11" s="27"/>
      <c r="J11" s="41" t="n">
        <f aca="false">G11/($G$50-$G$48-$G$39)*($J$50-$J$48-$J$39)</f>
        <v>1609.63672726398</v>
      </c>
      <c r="K11" s="39" t="n">
        <f aca="false">J11/0.8877</f>
        <v>1813.26656219892</v>
      </c>
      <c r="L11" s="42" t="n">
        <f aca="false">K11/E11</f>
        <v>1898.70844209311</v>
      </c>
      <c r="M11" s="31"/>
    </row>
    <row r="12" customFormat="false" ht="12.75" hidden="false" customHeight="false" outlineLevel="0" collapsed="false">
      <c r="A12" s="32" t="s">
        <v>22</v>
      </c>
      <c r="B12" s="43" t="n">
        <f aca="false">SUM(B8:B11)</f>
        <v>13900</v>
      </c>
      <c r="C12" s="34"/>
      <c r="D12" s="34"/>
      <c r="E12" s="35" t="n">
        <f aca="false">AVERAGE(E8:E11)</f>
        <v>0.9555</v>
      </c>
      <c r="F12" s="29" t="n">
        <f aca="false">SUM(F8:F11)</f>
        <v>13284.5</v>
      </c>
      <c r="G12" s="36" t="n">
        <f aca="false">SUM(G8:G11)</f>
        <v>11792.65065</v>
      </c>
      <c r="H12" s="27"/>
      <c r="I12" s="27"/>
      <c r="J12" s="28" t="n">
        <f aca="false">G12/($G$50-$G$48-$G$39)*($J$50-$J$48-$J$39)</f>
        <v>6219.66815105828</v>
      </c>
      <c r="K12" s="29" t="n">
        <f aca="false">J12/0.8877</f>
        <v>7006.49786082942</v>
      </c>
      <c r="L12" s="30" t="n">
        <f aca="false">SUM(L8:L11)</f>
        <v>7331.12426252617</v>
      </c>
      <c r="M12" s="31"/>
    </row>
    <row r="13" customFormat="false" ht="12.75" hidden="false" customHeight="false" outlineLevel="0" collapsed="false">
      <c r="A13" s="32"/>
      <c r="B13" s="33"/>
      <c r="C13" s="34"/>
      <c r="D13" s="34"/>
      <c r="E13" s="35"/>
      <c r="F13" s="29"/>
      <c r="G13" s="36"/>
      <c r="H13" s="27"/>
      <c r="I13" s="27"/>
      <c r="J13" s="28"/>
      <c r="K13" s="29"/>
      <c r="L13" s="30"/>
      <c r="M13" s="31"/>
    </row>
    <row r="14" customFormat="false" ht="12.75" hidden="false" customHeight="false" outlineLevel="0" collapsed="false">
      <c r="A14" s="32" t="s">
        <v>23</v>
      </c>
      <c r="B14" s="33" t="n">
        <v>4300</v>
      </c>
      <c r="C14" s="34"/>
      <c r="D14" s="34"/>
      <c r="E14" s="35" t="n">
        <v>0.96</v>
      </c>
      <c r="F14" s="29" t="n">
        <f aca="false">+B14*E14</f>
        <v>4128</v>
      </c>
      <c r="G14" s="36" t="n">
        <f aca="false">0.9095*F14</f>
        <v>3754.416</v>
      </c>
      <c r="H14" s="27"/>
      <c r="I14" s="27"/>
      <c r="J14" s="28" t="n">
        <f aca="false">G14/($G$50-$G$48-$G$39)*($J$50-$J$48-$J$39)</f>
        <v>1980.15037620262</v>
      </c>
      <c r="K14" s="29" t="n">
        <f aca="false">J14/0.9095</f>
        <v>2177.18568026677</v>
      </c>
      <c r="L14" s="30" t="n">
        <f aca="false">K14/E14</f>
        <v>2267.90175027788</v>
      </c>
      <c r="M14" s="31"/>
    </row>
    <row r="15" customFormat="false" ht="12.75" hidden="false" customHeight="false" outlineLevel="0" collapsed="false">
      <c r="A15" s="32" t="s">
        <v>24</v>
      </c>
      <c r="B15" s="33" t="n">
        <v>9900</v>
      </c>
      <c r="C15" s="34"/>
      <c r="D15" s="34"/>
      <c r="E15" s="35" t="n">
        <v>0.959</v>
      </c>
      <c r="F15" s="29" t="n">
        <f aca="false">+B15*E15</f>
        <v>9494.1</v>
      </c>
      <c r="G15" s="36" t="n">
        <f aca="false">0.9095*F15</f>
        <v>8634.88395</v>
      </c>
      <c r="H15" s="27"/>
      <c r="I15" s="27"/>
      <c r="J15" s="28" t="n">
        <f aca="false">G15/($G$50-$G$48-$G$39)*($J$50-$J$48-$J$39)</f>
        <v>4554.20195898869</v>
      </c>
      <c r="K15" s="29" t="n">
        <f aca="false">J15/0.9095</f>
        <v>5007.36883891005</v>
      </c>
      <c r="L15" s="30" t="n">
        <f aca="false">K15/E15</f>
        <v>5221.44821575605</v>
      </c>
      <c r="M15" s="31"/>
    </row>
    <row r="16" customFormat="false" ht="12.75" hidden="false" customHeight="false" outlineLevel="0" collapsed="false">
      <c r="A16" s="32" t="s">
        <v>25</v>
      </c>
      <c r="B16" s="33" t="n">
        <v>4300</v>
      </c>
      <c r="C16" s="34"/>
      <c r="D16" s="34"/>
      <c r="E16" s="35" t="n">
        <v>0.959</v>
      </c>
      <c r="F16" s="29" t="n">
        <f aca="false">+B16*E16</f>
        <v>4123.7</v>
      </c>
      <c r="G16" s="36" t="n">
        <f aca="false">0.9095*F16</f>
        <v>3750.50515</v>
      </c>
      <c r="H16" s="27"/>
      <c r="I16" s="27"/>
      <c r="J16" s="28" t="n">
        <f aca="false">G16/($G$50-$G$48-$G$39)*($J$50-$J$48-$J$39)</f>
        <v>1978.08771956075</v>
      </c>
      <c r="K16" s="29" t="n">
        <f aca="false">J16/0.9095</f>
        <v>2174.91777851649</v>
      </c>
      <c r="L16" s="30" t="n">
        <f aca="false">K16/E16</f>
        <v>2267.90175027788</v>
      </c>
      <c r="M16" s="31"/>
    </row>
    <row r="17" customFormat="false" ht="12.75" hidden="false" customHeight="false" outlineLevel="0" collapsed="false">
      <c r="A17" s="32" t="s">
        <v>26</v>
      </c>
      <c r="B17" s="33" t="n">
        <v>9100</v>
      </c>
      <c r="C17" s="34"/>
      <c r="D17" s="34"/>
      <c r="E17" s="35" t="n">
        <v>0.949</v>
      </c>
      <c r="F17" s="29" t="n">
        <f aca="false">+B17*E17</f>
        <v>8635.9</v>
      </c>
      <c r="G17" s="36" t="n">
        <f aca="false">0.9095*F17</f>
        <v>7854.35105</v>
      </c>
      <c r="H17" s="27"/>
      <c r="I17" s="27"/>
      <c r="J17" s="28" t="n">
        <f aca="false">G17/($G$50-$G$48-$G$39)*($J$50-$J$48-$J$39)</f>
        <v>4142.53406827719</v>
      </c>
      <c r="K17" s="29" t="n">
        <f aca="false">J17/0.9095</f>
        <v>4554.73784307552</v>
      </c>
      <c r="L17" s="30" t="n">
        <f aca="false">K17/E17</f>
        <v>4799.51300640203</v>
      </c>
      <c r="M17" s="31"/>
    </row>
    <row r="18" customFormat="false" ht="13.5" hidden="false" customHeight="false" outlineLevel="0" collapsed="false">
      <c r="A18" s="32" t="s">
        <v>27</v>
      </c>
      <c r="B18" s="37" t="n">
        <v>3600</v>
      </c>
      <c r="C18" s="34"/>
      <c r="D18" s="34"/>
      <c r="E18" s="38" t="n">
        <v>0.954</v>
      </c>
      <c r="F18" s="39" t="n">
        <f aca="false">+B18*E18</f>
        <v>3434.4</v>
      </c>
      <c r="G18" s="40" t="n">
        <f aca="false">0.9095*F18</f>
        <v>3123.5868</v>
      </c>
      <c r="H18" s="27"/>
      <c r="I18" s="27"/>
      <c r="J18" s="41" t="n">
        <f aca="false">G18/($G$50-$G$48-$G$39)*($J$50-$J$48-$J$39)</f>
        <v>1647.43906299183</v>
      </c>
      <c r="K18" s="39" t="n">
        <f aca="false">J18/0.9095</f>
        <v>1811.36785375683</v>
      </c>
      <c r="L18" s="42" t="n">
        <f aca="false">K18/E18</f>
        <v>1898.70844209311</v>
      </c>
      <c r="M18" s="31"/>
    </row>
    <row r="19" customFormat="false" ht="12.75" hidden="false" customHeight="false" outlineLevel="0" collapsed="false">
      <c r="A19" s="32" t="s">
        <v>28</v>
      </c>
      <c r="B19" s="43" t="n">
        <f aca="false">SUM(B14:B18)</f>
        <v>31200</v>
      </c>
      <c r="C19" s="34"/>
      <c r="D19" s="34"/>
      <c r="E19" s="35" t="n">
        <f aca="false">AVERAGE(E14:E18)</f>
        <v>0.9562</v>
      </c>
      <c r="F19" s="29" t="n">
        <f aca="false">SUM(F14:F18)</f>
        <v>29816.1</v>
      </c>
      <c r="G19" s="36" t="n">
        <f aca="false">SUM(G14:G18)</f>
        <v>27117.74295</v>
      </c>
      <c r="H19" s="27"/>
      <c r="I19" s="27"/>
      <c r="J19" s="28" t="n">
        <f aca="false">G19/($G$50-$G$48-$G$39)*($J$50-$J$48-$J$39)</f>
        <v>14302.4131860211</v>
      </c>
      <c r="K19" s="29" t="n">
        <f aca="false">J19/0.9095</f>
        <v>15725.5779945257</v>
      </c>
      <c r="L19" s="30" t="n">
        <f aca="false">SUM(L14:L18)</f>
        <v>16455.4731648069</v>
      </c>
      <c r="M19" s="31"/>
    </row>
    <row r="20" customFormat="false" ht="12.75" hidden="false" customHeight="false" outlineLevel="0" collapsed="false">
      <c r="A20" s="32"/>
      <c r="B20" s="43"/>
      <c r="C20" s="34"/>
      <c r="D20" s="34"/>
      <c r="E20" s="35"/>
      <c r="F20" s="29"/>
      <c r="G20" s="36"/>
      <c r="H20" s="27"/>
      <c r="I20" s="27"/>
      <c r="J20" s="28"/>
      <c r="K20" s="29"/>
      <c r="L20" s="30"/>
      <c r="M20" s="31"/>
    </row>
    <row r="21" customFormat="false" ht="12.75" hidden="false" customHeight="false" outlineLevel="0" collapsed="false">
      <c r="A21" s="32" t="s">
        <v>29</v>
      </c>
      <c r="B21" s="44" t="n">
        <f aca="false">B19+B12</f>
        <v>45100</v>
      </c>
      <c r="C21" s="34"/>
      <c r="D21" s="34"/>
      <c r="E21" s="35"/>
      <c r="F21" s="45" t="n">
        <f aca="false">F19+F12</f>
        <v>43100.6</v>
      </c>
      <c r="G21" s="46" t="n">
        <f aca="false">G19+G12</f>
        <v>38910.3936</v>
      </c>
      <c r="H21" s="27"/>
      <c r="I21" s="27"/>
      <c r="J21" s="47" t="n">
        <f aca="false">J19+J12</f>
        <v>20522.0813370794</v>
      </c>
      <c r="K21" s="45" t="n">
        <f aca="false">K19+K12</f>
        <v>22732.0758553551</v>
      </c>
      <c r="L21" s="48" t="n">
        <f aca="false">L19+L12</f>
        <v>23786.5974273331</v>
      </c>
      <c r="M21" s="49"/>
      <c r="O21" s="31" t="n">
        <f aca="false">+P21*L21/J21</f>
        <v>10431.6600899149</v>
      </c>
      <c r="P21" s="31" t="n">
        <v>9000</v>
      </c>
    </row>
    <row r="22" customFormat="false" ht="12.75" hidden="false" customHeight="false" outlineLevel="0" collapsed="false">
      <c r="A22" s="32"/>
      <c r="B22" s="33"/>
      <c r="C22" s="34"/>
      <c r="D22" s="34"/>
      <c r="E22" s="35"/>
      <c r="F22" s="29"/>
      <c r="G22" s="36"/>
      <c r="H22" s="27"/>
      <c r="I22" s="27"/>
      <c r="J22" s="28"/>
      <c r="K22" s="29"/>
      <c r="L22" s="30"/>
      <c r="M22" s="31"/>
      <c r="O22" s="31" t="n">
        <f aca="false">+P22*L21/J21</f>
        <v>2318.14668664776</v>
      </c>
      <c r="P22" s="31" t="n">
        <v>2000</v>
      </c>
    </row>
    <row r="23" customFormat="false" ht="12.75" hidden="false" customHeight="false" outlineLevel="0" collapsed="false">
      <c r="A23" s="32" t="s">
        <v>30</v>
      </c>
      <c r="B23" s="33" t="n">
        <v>9000</v>
      </c>
      <c r="C23" s="34"/>
      <c r="D23" s="34"/>
      <c r="E23" s="35" t="n">
        <v>0.93</v>
      </c>
      <c r="F23" s="29" t="n">
        <f aca="false">+B23*E23</f>
        <v>8370</v>
      </c>
      <c r="G23" s="36" t="n">
        <f aca="false">0.8917*F23</f>
        <v>7463.529</v>
      </c>
      <c r="H23" s="27"/>
      <c r="I23" s="27"/>
      <c r="J23" s="28" t="n">
        <f aca="false">G23/($G$50-$G$48-$G$39)*($J$50-$J$48-$J$39)</f>
        <v>3936.40708891854</v>
      </c>
      <c r="K23" s="29" t="n">
        <f aca="false">J23/0.8917</f>
        <v>4414.49712786648</v>
      </c>
      <c r="L23" s="30" t="n">
        <f aca="false">K23/E23</f>
        <v>4746.77110523277</v>
      </c>
      <c r="M23" s="31"/>
    </row>
    <row r="24" customFormat="false" ht="13.5" hidden="false" customHeight="false" outlineLevel="0" collapsed="false">
      <c r="A24" s="32" t="s">
        <v>31</v>
      </c>
      <c r="B24" s="37" t="n">
        <v>1000</v>
      </c>
      <c r="C24" s="34"/>
      <c r="D24" s="34"/>
      <c r="E24" s="38" t="n">
        <v>0.926</v>
      </c>
      <c r="F24" s="39" t="n">
        <f aca="false">+B24*E24</f>
        <v>926</v>
      </c>
      <c r="G24" s="40" t="n">
        <f aca="false">0.8917*F24</f>
        <v>825.7142</v>
      </c>
      <c r="H24" s="27"/>
      <c r="I24" s="27"/>
      <c r="J24" s="41" t="n">
        <f aca="false">G24/($G$50-$G$48-$G$39)*($J$50-$J$48-$J$39)</f>
        <v>435.497367304488</v>
      </c>
      <c r="K24" s="39" t="n">
        <f aca="false">J24/0.8917</f>
        <v>488.390004827283</v>
      </c>
      <c r="L24" s="42" t="n">
        <f aca="false">K24/E24</f>
        <v>527.41901169253</v>
      </c>
      <c r="M24" s="31"/>
    </row>
    <row r="25" customFormat="false" ht="12.75" hidden="false" customHeight="false" outlineLevel="0" collapsed="false">
      <c r="A25" s="50" t="s">
        <v>32</v>
      </c>
      <c r="B25" s="43" t="n">
        <f aca="false">SUM(B23:B24)</f>
        <v>10000</v>
      </c>
      <c r="C25" s="34"/>
      <c r="D25" s="34"/>
      <c r="E25" s="35" t="n">
        <f aca="false">AVERAGE(E21:E24)</f>
        <v>0.928</v>
      </c>
      <c r="F25" s="29" t="n">
        <f aca="false">SUM(F23:F24)</f>
        <v>9296</v>
      </c>
      <c r="G25" s="36" t="n">
        <f aca="false">SUM(G23:G24)</f>
        <v>8289.2432</v>
      </c>
      <c r="H25" s="27"/>
      <c r="I25" s="27"/>
      <c r="J25" s="28" t="n">
        <f aca="false">SUM(J23:J24)</f>
        <v>4371.90445622303</v>
      </c>
      <c r="K25" s="29" t="n">
        <f aca="false">SUM(K23:K24)</f>
        <v>4902.88713269376</v>
      </c>
      <c r="L25" s="30" t="n">
        <f aca="false">SUM(L23:L24)</f>
        <v>5274.1901169253</v>
      </c>
      <c r="M25" s="49"/>
    </row>
    <row r="26" customFormat="false" ht="12.75" hidden="false" customHeight="false" outlineLevel="0" collapsed="false">
      <c r="A26" s="32"/>
      <c r="B26" s="33"/>
      <c r="C26" s="34"/>
      <c r="D26" s="34"/>
      <c r="E26" s="35"/>
      <c r="F26" s="29"/>
      <c r="G26" s="36"/>
      <c r="H26" s="27"/>
      <c r="I26" s="27"/>
      <c r="J26" s="28"/>
      <c r="K26" s="29"/>
      <c r="L26" s="30"/>
      <c r="M26" s="31"/>
    </row>
    <row r="27" customFormat="false" ht="12.75" hidden="false" customHeight="false" outlineLevel="0" collapsed="false">
      <c r="A27" s="51" t="s">
        <v>33</v>
      </c>
      <c r="B27" s="44" t="n">
        <f aca="false">B12+B25</f>
        <v>23900</v>
      </c>
      <c r="C27" s="52"/>
      <c r="D27" s="52"/>
      <c r="E27" s="52"/>
      <c r="F27" s="53" t="n">
        <f aca="false">F25+F12</f>
        <v>22580.5</v>
      </c>
      <c r="G27" s="54" t="n">
        <f aca="false">G25+G12</f>
        <v>20081.89385</v>
      </c>
      <c r="H27" s="55"/>
      <c r="I27" s="55"/>
      <c r="J27" s="56" t="n">
        <f aca="false">J25+J12</f>
        <v>10591.5726072813</v>
      </c>
      <c r="K27" s="45" t="n">
        <f aca="false">K25+K12</f>
        <v>11909.3849935232</v>
      </c>
      <c r="L27" s="48" t="n">
        <f aca="false">L25+L12</f>
        <v>12605.3143794515</v>
      </c>
      <c r="M27" s="31"/>
    </row>
    <row r="28" customFormat="false" ht="12.75" hidden="false" customHeight="false" outlineLevel="0" collapsed="false">
      <c r="A28" s="51"/>
      <c r="B28" s="44"/>
      <c r="C28" s="52"/>
      <c r="D28" s="52"/>
      <c r="E28" s="52"/>
      <c r="F28" s="57"/>
      <c r="G28" s="58"/>
      <c r="H28" s="55"/>
      <c r="I28" s="55"/>
      <c r="J28" s="59"/>
      <c r="K28" s="29"/>
      <c r="L28" s="30"/>
      <c r="M28" s="31"/>
    </row>
    <row r="29" customFormat="false" ht="12.75" hidden="false" customHeight="false" outlineLevel="0" collapsed="false">
      <c r="A29" s="51" t="s">
        <v>34</v>
      </c>
      <c r="B29" s="44" t="n">
        <f aca="false">B25+B19+B12</f>
        <v>55100</v>
      </c>
      <c r="C29" s="52"/>
      <c r="D29" s="52"/>
      <c r="E29" s="52"/>
      <c r="F29" s="53" t="n">
        <f aca="false">F25+F19+F12</f>
        <v>52396.6</v>
      </c>
      <c r="G29" s="54" t="n">
        <f aca="false">G25+G19+G12</f>
        <v>47199.6368</v>
      </c>
      <c r="H29" s="55"/>
      <c r="I29" s="55"/>
      <c r="J29" s="56" t="n">
        <f aca="false">J12+J19+J25</f>
        <v>24893.9857933024</v>
      </c>
      <c r="K29" s="45" t="n">
        <f aca="false">K25+K19+K12</f>
        <v>27634.9629880488</v>
      </c>
      <c r="L29" s="48" t="n">
        <f aca="false">L19+L25+L12</f>
        <v>29060.7875442584</v>
      </c>
      <c r="M29" s="31"/>
    </row>
    <row r="30" customFormat="false" ht="12.75" hidden="false" customHeight="false" outlineLevel="0" collapsed="false">
      <c r="A30" s="32"/>
      <c r="B30" s="44"/>
      <c r="C30" s="34"/>
      <c r="D30" s="34"/>
      <c r="E30" s="34"/>
      <c r="F30" s="34"/>
      <c r="G30" s="36"/>
      <c r="H30" s="27"/>
      <c r="I30" s="27"/>
      <c r="J30" s="60"/>
      <c r="K30" s="29"/>
      <c r="L30" s="30"/>
      <c r="M30" s="31"/>
    </row>
    <row r="31" customFormat="false" ht="13.5" hidden="false" customHeight="false" outlineLevel="0" collapsed="false">
      <c r="A31" s="61" t="s">
        <v>35</v>
      </c>
      <c r="B31" s="45"/>
      <c r="C31" s="34"/>
      <c r="D31" s="34"/>
      <c r="E31" s="34"/>
      <c r="F31" s="34"/>
      <c r="G31" s="36"/>
      <c r="H31" s="27"/>
      <c r="I31" s="27"/>
      <c r="J31" s="60"/>
      <c r="K31" s="29"/>
      <c r="L31" s="30"/>
      <c r="M31" s="31"/>
    </row>
    <row r="32" customFormat="false" ht="12.75" hidden="false" customHeight="false" outlineLevel="0" collapsed="false">
      <c r="A32" s="21" t="s">
        <v>36</v>
      </c>
      <c r="B32" s="22" t="n">
        <v>4500</v>
      </c>
      <c r="C32" s="23"/>
      <c r="D32" s="23"/>
      <c r="E32" s="24" t="n">
        <v>0.942</v>
      </c>
      <c r="F32" s="25" t="n">
        <f aca="false">+B32*E32</f>
        <v>4239</v>
      </c>
      <c r="G32" s="26" t="n">
        <f aca="false">0.9243*F32</f>
        <v>3918.1077</v>
      </c>
      <c r="H32" s="27"/>
      <c r="I32" s="27"/>
      <c r="J32" s="28" t="n">
        <f aca="false">G32/($G$50-$G$48-$G$39)*($J$50-$J$48-$J$39)</f>
        <v>2066.48449083889</v>
      </c>
      <c r="K32" s="29" t="n">
        <f aca="false">J32/0.93</f>
        <v>2222.02633423537</v>
      </c>
      <c r="L32" s="30" t="n">
        <f aca="false">K32/E32</f>
        <v>2358.83899600358</v>
      </c>
      <c r="M32" s="31"/>
    </row>
    <row r="33" customFormat="false" ht="12.75" hidden="false" customHeight="false" outlineLevel="0" collapsed="false">
      <c r="A33" s="32" t="s">
        <v>37</v>
      </c>
      <c r="B33" s="33" t="n">
        <v>4000</v>
      </c>
      <c r="C33" s="34"/>
      <c r="D33" s="34"/>
      <c r="E33" s="35" t="n">
        <v>0.951</v>
      </c>
      <c r="F33" s="29" t="n">
        <f aca="false">+B33*E33</f>
        <v>3804</v>
      </c>
      <c r="G33" s="36" t="n">
        <f aca="false">0.9243*F33</f>
        <v>3516.0372</v>
      </c>
      <c r="H33" s="27"/>
      <c r="I33" s="27"/>
      <c r="J33" s="28" t="n">
        <f aca="false">G33/($G$50-$G$48-$G$39)*($J$50-$J$48-$J$39)</f>
        <v>1854.42486509817</v>
      </c>
      <c r="K33" s="29" t="n">
        <f aca="false">J33/0.93</f>
        <v>1994.00523128836</v>
      </c>
      <c r="L33" s="30" t="n">
        <f aca="false">K33/E33</f>
        <v>2096.7457742254</v>
      </c>
      <c r="M33" s="31"/>
    </row>
    <row r="34" customFormat="false" ht="13.5" hidden="false" customHeight="false" outlineLevel="0" collapsed="false">
      <c r="A34" s="62" t="s">
        <v>38</v>
      </c>
      <c r="B34" s="37" t="n">
        <v>3100</v>
      </c>
      <c r="C34" s="63"/>
      <c r="D34" s="63"/>
      <c r="E34" s="38" t="n">
        <v>0.945</v>
      </c>
      <c r="F34" s="39" t="n">
        <f aca="false">+B34*E34</f>
        <v>2929.5</v>
      </c>
      <c r="G34" s="40" t="n">
        <f aca="false">0.9243*F34</f>
        <v>2707.73685</v>
      </c>
      <c r="H34" s="27"/>
      <c r="I34" s="27"/>
      <c r="J34" s="41" t="n">
        <f aca="false">G34/($G$50-$G$48-$G$39)*($J$50-$J$48-$J$39)</f>
        <v>1428.11189335045</v>
      </c>
      <c r="K34" s="39" t="n">
        <f aca="false">J34/0.93</f>
        <v>1535.60418639833</v>
      </c>
      <c r="L34" s="42" t="n">
        <f aca="false">K34/E34</f>
        <v>1624.97797502469</v>
      </c>
      <c r="M34" s="31"/>
    </row>
    <row r="35" customFormat="false" ht="12.75" hidden="false" customHeight="false" outlineLevel="0" collapsed="false">
      <c r="A35" s="64" t="s">
        <v>39</v>
      </c>
      <c r="B35" s="45" t="n">
        <f aca="false">SUM(B32:B34)</f>
        <v>11600</v>
      </c>
      <c r="C35" s="34"/>
      <c r="D35" s="34"/>
      <c r="E35" s="35" t="n">
        <f aca="false">AVERAGE(E32:E34)</f>
        <v>0.946</v>
      </c>
      <c r="F35" s="65" t="n">
        <f aca="false">SUM(F32:F34)</f>
        <v>10972.5</v>
      </c>
      <c r="G35" s="36" t="n">
        <f aca="false">SUM(G32:G34)</f>
        <v>10141.88175</v>
      </c>
      <c r="H35" s="27"/>
      <c r="I35" s="27"/>
      <c r="J35" s="28" t="n">
        <f aca="false">SUM(J32:J34)</f>
        <v>5349.02124928751</v>
      </c>
      <c r="K35" s="29" t="n">
        <f aca="false">SUM(K32:K34)</f>
        <v>5751.63575192205</v>
      </c>
      <c r="L35" s="30" t="n">
        <f aca="false">SUM(L32:L34)</f>
        <v>6080.56274525366</v>
      </c>
      <c r="M35" s="31"/>
    </row>
    <row r="36" customFormat="false" ht="12.75" hidden="false" customHeight="false" outlineLevel="0" collapsed="false">
      <c r="A36" s="34"/>
      <c r="B36" s="45"/>
      <c r="C36" s="34"/>
      <c r="D36" s="34"/>
      <c r="E36" s="34"/>
      <c r="F36" s="34"/>
      <c r="G36" s="36"/>
      <c r="H36" s="27"/>
      <c r="I36" s="27"/>
      <c r="J36" s="60"/>
      <c r="K36" s="29"/>
      <c r="L36" s="30"/>
      <c r="M36" s="31"/>
    </row>
    <row r="37" customFormat="false" ht="12.75" hidden="false" customHeight="false" outlineLevel="0" collapsed="false">
      <c r="A37" s="66"/>
      <c r="B37" s="67"/>
      <c r="C37" s="66"/>
      <c r="D37" s="66"/>
      <c r="E37" s="66"/>
      <c r="F37" s="66"/>
      <c r="G37" s="68"/>
      <c r="H37" s="55"/>
      <c r="I37" s="55"/>
      <c r="J37" s="69"/>
      <c r="K37" s="29"/>
      <c r="L37" s="30"/>
      <c r="M37" s="31"/>
    </row>
    <row r="38" customFormat="false" ht="13.5" hidden="false" customHeight="false" outlineLevel="0" collapsed="false">
      <c r="A38" s="70" t="s">
        <v>40</v>
      </c>
      <c r="B38" s="67"/>
      <c r="C38" s="66"/>
      <c r="D38" s="66"/>
      <c r="E38" s="66"/>
      <c r="F38" s="66"/>
      <c r="G38" s="68"/>
      <c r="H38" s="55"/>
      <c r="I38" s="55"/>
      <c r="J38" s="69"/>
      <c r="K38" s="29"/>
      <c r="L38" s="30"/>
      <c r="M38" s="31"/>
    </row>
    <row r="39" customFormat="false" ht="12.75" hidden="false" customHeight="false" outlineLevel="0" collapsed="false">
      <c r="A39" s="21" t="s">
        <v>41</v>
      </c>
      <c r="B39" s="22" t="n">
        <v>675</v>
      </c>
      <c r="C39" s="71"/>
      <c r="D39" s="71"/>
      <c r="E39" s="24" t="n">
        <v>0.945</v>
      </c>
      <c r="F39" s="25" t="n">
        <f aca="false">+B39*E39</f>
        <v>637.875</v>
      </c>
      <c r="G39" s="72" t="n">
        <f aca="false">0.9971*F39</f>
        <v>636.0251625</v>
      </c>
      <c r="H39" s="27"/>
      <c r="I39" s="27"/>
      <c r="J39" s="60" t="n">
        <f aca="false">G39</f>
        <v>636.0251625</v>
      </c>
      <c r="K39" s="27" t="n">
        <f aca="false">J39/0.9971</f>
        <v>637.875</v>
      </c>
      <c r="L39" s="73" t="n">
        <f aca="false">K39/E39</f>
        <v>675</v>
      </c>
      <c r="M39" s="31"/>
    </row>
    <row r="40" customFormat="false" ht="12.75" hidden="false" customHeight="false" outlineLevel="0" collapsed="false">
      <c r="A40" s="32" t="s">
        <v>42</v>
      </c>
      <c r="B40" s="33" t="n">
        <v>850</v>
      </c>
      <c r="C40" s="16"/>
      <c r="D40" s="16"/>
      <c r="E40" s="35" t="n">
        <v>0.938</v>
      </c>
      <c r="F40" s="29" t="n">
        <f aca="false">+B40*E40</f>
        <v>797.3</v>
      </c>
      <c r="G40" s="74" t="n">
        <f aca="false">0.937*F40</f>
        <v>747.0701</v>
      </c>
      <c r="H40" s="27"/>
      <c r="I40" s="27"/>
      <c r="J40" s="28" t="n">
        <v>0</v>
      </c>
      <c r="K40" s="29" t="n">
        <v>0</v>
      </c>
      <c r="L40" s="30" t="n">
        <v>0</v>
      </c>
      <c r="M40" s="31"/>
    </row>
    <row r="41" customFormat="false" ht="12.75" hidden="false" customHeight="false" outlineLevel="0" collapsed="false">
      <c r="A41" s="32"/>
      <c r="B41" s="33"/>
      <c r="C41" s="16"/>
      <c r="D41" s="16"/>
      <c r="E41" s="35"/>
      <c r="F41" s="29"/>
      <c r="G41" s="74"/>
      <c r="H41" s="27"/>
      <c r="I41" s="27"/>
      <c r="J41" s="28"/>
      <c r="K41" s="29"/>
      <c r="L41" s="30"/>
      <c r="M41" s="31"/>
    </row>
    <row r="42" customFormat="false" ht="12.75" hidden="false" customHeight="false" outlineLevel="0" collapsed="false">
      <c r="A42" s="32" t="s">
        <v>43</v>
      </c>
      <c r="B42" s="33" t="n">
        <v>2000</v>
      </c>
      <c r="C42" s="70"/>
      <c r="D42" s="70"/>
      <c r="E42" s="35" t="n">
        <v>0.936</v>
      </c>
      <c r="F42" s="29" t="n">
        <f aca="false">+B42*E42</f>
        <v>1872</v>
      </c>
      <c r="G42" s="36" t="n">
        <f aca="false">0.9008*F42</f>
        <v>1686.2976</v>
      </c>
      <c r="H42" s="27"/>
      <c r="I42" s="27"/>
      <c r="J42" s="28" t="n">
        <f aca="false">G42/($G$50-$G$48-$G$39)*($J$50-$J$48-$J$39)</f>
        <v>889.385413611486</v>
      </c>
      <c r="K42" s="29" t="n">
        <f aca="false">J42/0.9008</f>
        <v>987.328389888417</v>
      </c>
      <c r="L42" s="30" t="n">
        <f aca="false">K42/E42</f>
        <v>1054.83802338506</v>
      </c>
      <c r="M42" s="31"/>
    </row>
    <row r="43" customFormat="false" ht="12.75" hidden="false" customHeight="false" outlineLevel="0" collapsed="false">
      <c r="A43" s="32" t="s">
        <v>44</v>
      </c>
      <c r="B43" s="33" t="n">
        <v>1900</v>
      </c>
      <c r="C43" s="70"/>
      <c r="D43" s="70"/>
      <c r="E43" s="35" t="n">
        <v>0.939</v>
      </c>
      <c r="F43" s="29" t="n">
        <f aca="false">+B43*E43</f>
        <v>1784.1</v>
      </c>
      <c r="G43" s="36" t="n">
        <f aca="false">0.9008*F43</f>
        <v>1607.11728</v>
      </c>
      <c r="H43" s="27"/>
      <c r="I43" s="27"/>
      <c r="J43" s="28" t="n">
        <f aca="false">G43/($G$50-$G$48-$G$39)*($J$50-$J$48-$J$39)</f>
        <v>847.624207491588</v>
      </c>
      <c r="K43" s="29" t="n">
        <f aca="false">J43/0.9008</f>
        <v>940.968258760643</v>
      </c>
      <c r="L43" s="30" t="n">
        <f aca="false">K43/E43</f>
        <v>1002.09612221581</v>
      </c>
      <c r="M43" s="31"/>
    </row>
    <row r="44" customFormat="false" ht="13.5" hidden="false" customHeight="false" outlineLevel="0" collapsed="false">
      <c r="A44" s="32" t="s">
        <v>45</v>
      </c>
      <c r="B44" s="37" t="n">
        <v>1300</v>
      </c>
      <c r="C44" s="70"/>
      <c r="D44" s="70"/>
      <c r="E44" s="38" t="n">
        <v>0.925</v>
      </c>
      <c r="F44" s="39" t="n">
        <f aca="false">+B44*E44</f>
        <v>1202.5</v>
      </c>
      <c r="G44" s="40" t="n">
        <f aca="false">0.9008*F44</f>
        <v>1083.212</v>
      </c>
      <c r="H44" s="27"/>
      <c r="I44" s="27"/>
      <c r="J44" s="41" t="n">
        <f aca="false">G44/($G$50-$G$48-$G$39)*($J$50-$J$48-$J$39)</f>
        <v>571.306602493489</v>
      </c>
      <c r="K44" s="39" t="n">
        <f aca="false">J44/0.9008</f>
        <v>634.221361560268</v>
      </c>
      <c r="L44" s="42" t="n">
        <f aca="false">K44/E44</f>
        <v>685.644715200289</v>
      </c>
      <c r="M44" s="31"/>
    </row>
    <row r="45" customFormat="false" ht="12.75" hidden="false" customHeight="false" outlineLevel="0" collapsed="false">
      <c r="A45" s="51" t="s">
        <v>46</v>
      </c>
      <c r="B45" s="33" t="n">
        <f aca="false">SUM(B42:B44)</f>
        <v>5200</v>
      </c>
      <c r="C45" s="70"/>
      <c r="D45" s="70"/>
      <c r="E45" s="35" t="n">
        <f aca="false">AVERAGE(E42:E44)</f>
        <v>0.933333333333333</v>
      </c>
      <c r="F45" s="29" t="n">
        <f aca="false">SUM(F42:F44)</f>
        <v>4858.6</v>
      </c>
      <c r="G45" s="36" t="n">
        <f aca="false">SUM(G42:G44)</f>
        <v>4376.62688</v>
      </c>
      <c r="H45" s="27"/>
      <c r="I45" s="27"/>
      <c r="J45" s="28" t="n">
        <f aca="false">SUM(J42:J44)</f>
        <v>2308.31622359656</v>
      </c>
      <c r="K45" s="29" t="n">
        <f aca="false">SUM(K42:K44)</f>
        <v>2562.51801020933</v>
      </c>
      <c r="L45" s="30" t="n">
        <f aca="false">SUM(L42:L44)</f>
        <v>2742.57886080116</v>
      </c>
      <c r="M45" s="31"/>
    </row>
    <row r="46" customFormat="false" ht="12.75" hidden="false" customHeight="false" outlineLevel="0" collapsed="false">
      <c r="A46" s="32"/>
      <c r="B46" s="33"/>
      <c r="C46" s="70"/>
      <c r="D46" s="70"/>
      <c r="E46" s="35"/>
      <c r="F46" s="29"/>
      <c r="G46" s="36"/>
      <c r="H46" s="27"/>
      <c r="I46" s="27"/>
      <c r="J46" s="28"/>
      <c r="K46" s="29"/>
      <c r="L46" s="30"/>
      <c r="M46" s="31"/>
    </row>
    <row r="47" customFormat="false" ht="12.75" hidden="false" customHeight="false" outlineLevel="0" collapsed="false">
      <c r="A47" s="32" t="s">
        <v>47</v>
      </c>
      <c r="B47" s="33" t="n">
        <v>0</v>
      </c>
      <c r="C47" s="70"/>
      <c r="D47" s="70"/>
      <c r="E47" s="35" t="n">
        <v>0.967</v>
      </c>
      <c r="F47" s="29" t="n">
        <f aca="false">+B47*E47</f>
        <v>0</v>
      </c>
      <c r="G47" s="36" t="n">
        <f aca="false">0.8975*F47</f>
        <v>0</v>
      </c>
      <c r="H47" s="27"/>
      <c r="I47" s="27"/>
      <c r="J47" s="28" t="n">
        <f aca="false">G47/($G$50-$G$48-$G$39)*($J$50-$J$48-$J$39)</f>
        <v>0</v>
      </c>
      <c r="K47" s="29" t="n">
        <f aca="false">J47/0.8975</f>
        <v>0</v>
      </c>
      <c r="L47" s="30" t="n">
        <f aca="false">K47/E47</f>
        <v>0</v>
      </c>
      <c r="M47" s="49"/>
    </row>
    <row r="48" customFormat="false" ht="13.5" hidden="false" customHeight="false" outlineLevel="0" collapsed="false">
      <c r="A48" s="62" t="s">
        <v>48</v>
      </c>
      <c r="B48" s="75" t="n">
        <v>18000</v>
      </c>
      <c r="C48" s="76"/>
      <c r="D48" s="76"/>
      <c r="E48" s="38" t="n">
        <v>0.937</v>
      </c>
      <c r="F48" s="39" t="n">
        <f aca="false">+B48*E48</f>
        <v>16866</v>
      </c>
      <c r="G48" s="40" t="n">
        <f aca="false">0.9512*F48</f>
        <v>16042.9392</v>
      </c>
      <c r="H48" s="27"/>
      <c r="I48" s="27"/>
      <c r="J48" s="41" t="n">
        <f aca="false">G48</f>
        <v>16042.9392</v>
      </c>
      <c r="K48" s="39" t="n">
        <f aca="false">J48/0.9512</f>
        <v>16866</v>
      </c>
      <c r="L48" s="77" t="n">
        <f aca="false">K48/E48</f>
        <v>18000</v>
      </c>
      <c r="M48" s="49"/>
    </row>
    <row r="49" customFormat="false" ht="12.75" hidden="false" customHeight="false" outlineLevel="0" collapsed="false">
      <c r="A49" s="78" t="s">
        <v>49</v>
      </c>
      <c r="B49" s="79" t="n">
        <f aca="false">SUM(B39:B48)</f>
        <v>29925</v>
      </c>
      <c r="F49" s="80" t="n">
        <f aca="false">F48+F47+F43+F42+F40+F39</f>
        <v>21957.275</v>
      </c>
      <c r="G49" s="81" t="n">
        <f aca="false">G48+G47+G43+G42+G40+G39</f>
        <v>20719.4493425</v>
      </c>
      <c r="H49" s="5"/>
      <c r="I49" s="5"/>
      <c r="J49" s="82" t="n">
        <f aca="false">J48+J47+J43+J42+J39</f>
        <v>18415.9739836031</v>
      </c>
      <c r="K49" s="79" t="n">
        <f aca="false">K48+K47+K43+K42+K39</f>
        <v>19432.1716486491</v>
      </c>
      <c r="L49" s="83" t="n">
        <f aca="false">L48+L47+L43+L42+L39</f>
        <v>20731.9341456009</v>
      </c>
    </row>
    <row r="50" customFormat="false" ht="30.75" hidden="false" customHeight="false" outlineLevel="0" collapsed="false">
      <c r="A50" s="4" t="s">
        <v>50</v>
      </c>
      <c r="B50" s="52"/>
      <c r="C50" s="52"/>
      <c r="D50" s="52"/>
      <c r="E50" s="52"/>
      <c r="F50" s="29" t="n">
        <f aca="false">F49+F35+F29</f>
        <v>85326.375</v>
      </c>
      <c r="G50" s="84" t="n">
        <f aca="false">G49+G35+G29</f>
        <v>78060.9678925</v>
      </c>
      <c r="H50" s="85"/>
      <c r="I50" s="86" t="s">
        <v>51</v>
      </c>
      <c r="J50" s="87" t="n">
        <v>49053</v>
      </c>
      <c r="K50" s="88" t="n">
        <f aca="false">K49+K35+K29</f>
        <v>52818.77038862</v>
      </c>
      <c r="L50" s="89" t="n">
        <f aca="false">L49+L35+L29</f>
        <v>55873.284435113</v>
      </c>
    </row>
    <row r="51" customFormat="false" ht="12.75" hidden="false" customHeight="false" outlineLevel="0" collapsed="false">
      <c r="A51" s="78"/>
    </row>
    <row r="53" customFormat="false" ht="12.75" hidden="false" customHeight="false" outlineLevel="0" collapsed="false">
      <c r="A53" s="70" t="s">
        <v>52</v>
      </c>
      <c r="B53" s="79" t="n">
        <f aca="false">B45+B35</f>
        <v>16800</v>
      </c>
      <c r="C53" s="16"/>
      <c r="D53" s="16"/>
      <c r="E53" s="16"/>
      <c r="F53" s="90" t="n">
        <f aca="false">F45+F35</f>
        <v>15831.1</v>
      </c>
      <c r="G53" s="90" t="n">
        <f aca="false">G45+G35</f>
        <v>14518.50863</v>
      </c>
      <c r="J53" s="80" t="n">
        <f aca="false">J45+J35</f>
        <v>7657.33747288407</v>
      </c>
      <c r="K53" s="80" t="n">
        <f aca="false">K45+K35</f>
        <v>8314.15376213138</v>
      </c>
      <c r="L53" s="80" t="n">
        <f aca="false">L45+L35</f>
        <v>8823.14160605482</v>
      </c>
      <c r="M53" s="49"/>
    </row>
    <row r="54" customFormat="false" ht="12.75" hidden="false" customHeight="false" outlineLevel="0" collapsed="false">
      <c r="A54" s="34" t="s">
        <v>53</v>
      </c>
      <c r="B54" s="91"/>
      <c r="C54" s="16"/>
      <c r="D54" s="16"/>
      <c r="E54" s="35"/>
      <c r="F54" s="29"/>
      <c r="G54" s="29" t="n">
        <f aca="false">+G12+G19</f>
        <v>38910.3936</v>
      </c>
    </row>
    <row r="55" customFormat="false" ht="12.75" hidden="false" customHeight="false" outlineLevel="0" collapsed="false">
      <c r="A55" s="34" t="s">
        <v>54</v>
      </c>
      <c r="B55" s="91"/>
      <c r="C55" s="70"/>
      <c r="D55" s="70"/>
      <c r="E55" s="35"/>
      <c r="F55" s="29"/>
      <c r="G55" s="29" t="n">
        <f aca="false">+G25</f>
        <v>8289.2432</v>
      </c>
      <c r="H55" s="92"/>
      <c r="I55" s="92"/>
    </row>
    <row r="56" customFormat="false" ht="12.75" hidden="false" customHeight="false" outlineLevel="0" collapsed="false">
      <c r="A56" s="93" t="s">
        <v>55</v>
      </c>
      <c r="B56" s="33" t="n">
        <v>15500</v>
      </c>
      <c r="C56" s="70"/>
      <c r="D56" s="70"/>
      <c r="E56" s="35"/>
      <c r="F56" s="29"/>
      <c r="G56" s="94"/>
      <c r="M56" s="80"/>
    </row>
    <row r="57" customFormat="false" ht="12.75" hidden="false" customHeight="false" outlineLevel="0" collapsed="false">
      <c r="A57" s="16"/>
      <c r="B57" s="16"/>
      <c r="C57" s="16"/>
      <c r="D57" s="16"/>
      <c r="E57" s="16"/>
      <c r="F57" s="16"/>
      <c r="G57" s="16"/>
      <c r="M57" s="80"/>
    </row>
    <row r="58" customFormat="false" ht="12.75" hidden="false" customHeight="false" outlineLevel="0" collapsed="false">
      <c r="A58" s="70"/>
      <c r="B58" s="16"/>
      <c r="C58" s="16"/>
      <c r="D58" s="16"/>
      <c r="E58" s="16"/>
      <c r="F58" s="90"/>
      <c r="G58" s="95"/>
    </row>
    <row r="59" customFormat="false" ht="12.75" hidden="false" customHeight="false" outlineLevel="0" collapsed="false">
      <c r="A59" s="16"/>
      <c r="B59" s="16"/>
      <c r="C59" s="16"/>
      <c r="D59" s="16"/>
      <c r="E59" s="16"/>
      <c r="F59" s="16"/>
      <c r="G59" s="16"/>
    </row>
    <row r="60" customFormat="false" ht="12.75" hidden="false" customHeight="false" outlineLevel="0" collapsed="false">
      <c r="A60" s="16"/>
      <c r="B60" s="16"/>
      <c r="C60" s="16"/>
      <c r="D60" s="16"/>
      <c r="E60" s="16"/>
      <c r="F60" s="16"/>
      <c r="G60" s="16"/>
    </row>
    <row r="61" customFormat="false" ht="12.75" hidden="false" customHeight="false" outlineLevel="0" collapsed="false">
      <c r="A61" s="70"/>
      <c r="B61" s="16"/>
      <c r="C61" s="16"/>
      <c r="D61" s="16"/>
      <c r="E61" s="16"/>
      <c r="F61" s="16"/>
      <c r="G61" s="79"/>
    </row>
  </sheetData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2000-01-25T14:05:05Z</dcterms:created>
  <dc:creator>Scott Sitter</dc:creator>
  <dc:description/>
  <dc:language>en-US</dc:language>
  <cp:lastModifiedBy>wserran</cp:lastModifiedBy>
  <cp:lastPrinted>2001-10-25T10:41:51Z</cp:lastPrinted>
  <dcterms:modified xsi:type="dcterms:W3CDTF">2001-11-26T15:43:12Z</dcterms:modified>
  <cp:revision>0</cp:revision>
  <dc:subject/>
  <dc:title/>
</cp:coreProperties>
</file>