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" sheetId="1" state="visible" r:id="rId3"/>
    <sheet name="Sheet1" sheetId="2" state="visible" r:id="rId4"/>
    <sheet name="Sheet2" sheetId="3" state="visible" r:id="rId5"/>
  </sheets>
  <definedNames>
    <definedName function="false" hidden="false" localSheetId="0" name="_xlnm.Print_Area" vbProcedure="false">Demand!$A$1:$K$26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<sst xmlns="http://schemas.openxmlformats.org/spreadsheetml/2006/main" count="76" uniqueCount="71">
  <si>
    <t xml:space="preserve">Transwestern Pipeline Company</t>
  </si>
  <si>
    <t xml:space="preserve">ECS Rebate Reconciliation</t>
  </si>
  <si>
    <t xml:space="preserve">Demand Charges per Month</t>
  </si>
  <si>
    <t xml:space="preserve">Service Charge</t>
  </si>
  <si>
    <t xml:space="preserve">Generation  </t>
  </si>
  <si>
    <t xml:space="preserve">Transmission</t>
  </si>
  <si>
    <t xml:space="preserve">Distribution</t>
  </si>
  <si>
    <t xml:space="preserve">Total Demand</t>
  </si>
  <si>
    <t xml:space="preserve">Rate 19</t>
  </si>
  <si>
    <t xml:space="preserve">Rate 21</t>
  </si>
  <si>
    <t xml:space="preserve">Pass Through Credits</t>
  </si>
  <si>
    <t xml:space="preserve">Total Rate 19 Adjustments</t>
  </si>
  <si>
    <t xml:space="preserve">NMPUC Charge</t>
  </si>
  <si>
    <t xml:space="preserve">Gross Receipt Tax </t>
  </si>
  <si>
    <t xml:space="preserve">Total Cost</t>
  </si>
  <si>
    <t xml:space="preserve">Rebate</t>
  </si>
  <si>
    <t xml:space="preserve">Proposed Post-Merger Rate:</t>
  </si>
  <si>
    <t xml:space="preserve">Formula</t>
  </si>
  <si>
    <t xml:space="preserve">Horsepower (FERC)</t>
  </si>
  <si>
    <t xml:space="preserve">O&amp;M Cost per Horsepower</t>
  </si>
  <si>
    <t xml:space="preserve">Hp to Kw Conversion Factor</t>
  </si>
  <si>
    <t xml:space="preserve">Usage (Kwh)</t>
  </si>
  <si>
    <t xml:space="preserve">(10,000Hp*.7457/95.1%)</t>
  </si>
  <si>
    <t xml:space="preserve">Train Electrical Efficiency</t>
  </si>
  <si>
    <t xml:space="preserve">Max Usage Kwhr per day</t>
  </si>
  <si>
    <t xml:space="preserve">(7,843Kwh*24)</t>
  </si>
  <si>
    <t xml:space="preserve">Actual Usage Kwhr per month</t>
  </si>
  <si>
    <t xml:space="preserve">(188,320Khw*365)/12months</t>
  </si>
  <si>
    <t xml:space="preserve">Load Factor</t>
  </si>
  <si>
    <t xml:space="preserve">Gas Prices</t>
  </si>
  <si>
    <t xml:space="preserve">Customer Charge</t>
  </si>
  <si>
    <t xml:space="preserve">Generation Demand Charge</t>
  </si>
  <si>
    <t xml:space="preserve">Transmission Demand Charge</t>
  </si>
  <si>
    <t xml:space="preserve">($12.21-$8.86)</t>
  </si>
  <si>
    <t xml:space="preserve">Energy charge per month</t>
  </si>
  <si>
    <t xml:space="preserve">PRC Fees Surcharge</t>
  </si>
  <si>
    <t xml:space="preserve">Gross Receipts Tax</t>
  </si>
  <si>
    <t xml:space="preserve">Percent of Demand Charge Hit</t>
  </si>
  <si>
    <t xml:space="preserve">HPHR per Month</t>
  </si>
  <si>
    <t xml:space="preserve">Payment</t>
  </si>
  <si>
    <t xml:space="preserve">Cash</t>
  </si>
  <si>
    <t xml:space="preserve">Demand Payment</t>
  </si>
  <si>
    <t xml:space="preserve">($2,854,079*.19)/12</t>
  </si>
  <si>
    <t xml:space="preserve">Rebate wo Peak Charge per Agreement</t>
  </si>
  <si>
    <t xml:space="preserve">(((+10,000*(8.86+3.35))+1,050)*(1+.50%))*(1+5.62%)-((((8.86*0.25)+3.35)*(10,000*.7457/95.1%))+1,050)*(1+.50%)*(1+5.62%)</t>
  </si>
  <si>
    <t xml:space="preserve">Actual Rebate</t>
  </si>
  <si>
    <t xml:space="preserve">Rate Schedule 19 versus 21</t>
  </si>
  <si>
    <t xml:space="preserve">Rebate in Dispute</t>
  </si>
  <si>
    <t xml:space="preserve">O&amp;M Payment</t>
  </si>
  <si>
    <t xml:space="preserve">Gas</t>
  </si>
  <si>
    <t xml:space="preserve">(2854079*.81)/2.43799/12</t>
  </si>
  <si>
    <t xml:space="preserve">Add on</t>
  </si>
  <si>
    <t xml:space="preserve">Total Demand Payment</t>
  </si>
  <si>
    <t xml:space="preserve">Energy Charge</t>
  </si>
  <si>
    <t xml:space="preserve">Kilowatts per month</t>
  </si>
  <si>
    <t xml:space="preserve">HPHR per month</t>
  </si>
  <si>
    <t xml:space="preserve">Kwh * 1.34</t>
  </si>
  <si>
    <t xml:space="preserve">Energy Gas Payment</t>
  </si>
  <si>
    <t xml:space="preserve">(HPHR*5717)/1000000</t>
  </si>
  <si>
    <t xml:space="preserve">Total Gas Payments</t>
  </si>
  <si>
    <t xml:space="preserve">Total Cash Payments wo/dispute</t>
  </si>
  <si>
    <t xml:space="preserve">Total Cash Payments w/dispute</t>
  </si>
  <si>
    <t xml:space="preserve">Total Energy Cost wo/dispute @ 2.44</t>
  </si>
  <si>
    <t xml:space="preserve">Total Energy Cost w/dispute @2.44</t>
  </si>
  <si>
    <t xml:space="preserve">Load Management Fee</t>
  </si>
  <si>
    <t xml:space="preserve">Cost per Kwh wo/ Dispute</t>
  </si>
  <si>
    <t xml:space="preserve">Cost per Kwh w/ Dispute</t>
  </si>
  <si>
    <t xml:space="preserve">Actual Cost per KwH</t>
  </si>
  <si>
    <t xml:space="preserve">Transwestern Index Price</t>
  </si>
  <si>
    <t xml:space="preserve">Total Energy Cost wo/dispute @ index</t>
  </si>
  <si>
    <t xml:space="preserve">Total Energy Cost w/dispute @ index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</si>
</sst>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_(\$* #,##0.00_);_(\$* \(#,##0.00\);_(\$* \-??_);_(@_)"/>
    <numFmt numFmtId="167" formatCode="0%"/>
    <numFmt numFmtId="168" formatCode="_(* #,##0.00_);_(* \(#,##0.00\);_(* \-??_);_(@_)"/>
    <numFmt numFmtId="169" formatCode="_(* #,##0.0000_);_(* \(#,##0.0000\);_(* \-_);_(@_)"/>
    <numFmt numFmtId="170" formatCode="_(* #,##0_);_(* \(#,##0\);_(* \-??_);_(@_)"/>
    <numFmt numFmtId="171" formatCode="0.0%"/>
    <numFmt numFmtId="172" formatCode="_(\$* #,##0_);_(\$* \(#,##0\);_(\$* \-??_);_(@_)"/>
    <numFmt numFmtId="173" formatCode="0.00%"/>
    <numFmt numFmtId="174" formatCode="_(* #,##0.0000000_);_(* \(#,##0.0000000\);_(* \-???????_);_(@_)"/>
    <numFmt numFmtId="175" formatCode="_(* #,##0.0000_);_(* \(#,##0.0000\);_(* \-??_);_(@_)"/>
    <numFmt numFmtId="176" formatCode="_(\$* #,##0.000000000_);_(\$* \(#,##0.000000000\);_(\$* \-??_);_(@_)"/>
    <numFmt numFmtId="177" formatCode="_(\$* #,##0.000000_);_(\$* \(#,##0.000000\);_(\$* \-??_);_(@_)"/>
    <numFmt numFmtId="178" formatCode="_(* #,##0.000000_);_(* \(#,##0.0000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2"/>
      <name val="Book Antiqua"/>
      <family val="1"/>
    </font>
    <font>
      <b val="true"/>
      <sz val="11"/>
      <name val="Book Antiqua"/>
      <family val="1"/>
    </font>
    <font>
      <sz val="11"/>
      <name val="Book Antiqua"/>
      <family val="0"/>
    </font>
    <font>
      <sz val="11"/>
      <name val="Times New Roman"/>
      <family val="1"/>
    </font>
    <font>
      <sz val="11"/>
      <color rgb="FF000000"/>
      <name val="Book Antiqua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11" min="3" style="0" width="12.28"/>
  </cols>
  <sheetData>
    <row r="1" customFormat="false" ht="15.75" hidden="false" customHeight="fals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false" outlineLevel="0" collapsed="false">
      <c r="C2" s="1" t="s">
        <v>1</v>
      </c>
      <c r="D2" s="1"/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C3" s="2"/>
      <c r="D3" s="2"/>
      <c r="E3" s="2"/>
      <c r="F3" s="2"/>
      <c r="G3" s="2"/>
      <c r="H3" s="2"/>
      <c r="I3" s="2"/>
      <c r="J3" s="2"/>
      <c r="K3" s="2"/>
    </row>
    <row r="4" customFormat="false" ht="12.75" hidden="false" customHeight="false" outlineLevel="0" collapsed="false">
      <c r="C4" s="3" t="n">
        <v>36647</v>
      </c>
      <c r="D4" s="3" t="n">
        <v>36678</v>
      </c>
      <c r="E4" s="3" t="n">
        <v>36708</v>
      </c>
      <c r="F4" s="3" t="n">
        <v>36739</v>
      </c>
      <c r="G4" s="3" t="n">
        <v>36770</v>
      </c>
      <c r="H4" s="3" t="n">
        <v>36800</v>
      </c>
      <c r="I4" s="3" t="n">
        <v>36831</v>
      </c>
      <c r="J4" s="3" t="n">
        <v>36861</v>
      </c>
    </row>
    <row r="6" customFormat="false" ht="12.75" hidden="false" customHeight="false" outlineLevel="0" collapsed="false">
      <c r="A6" s="0" t="s">
        <v>2</v>
      </c>
      <c r="C6" s="4" t="n">
        <v>130721</v>
      </c>
      <c r="D6" s="4" t="n">
        <f aca="false">+C6</f>
        <v>130721</v>
      </c>
      <c r="E6" s="4" t="n">
        <f aca="false">+D6</f>
        <v>130721</v>
      </c>
      <c r="F6" s="4" t="n">
        <f aca="false">+E6</f>
        <v>130721</v>
      </c>
      <c r="G6" s="4" t="n">
        <f aca="false">+F6</f>
        <v>130721</v>
      </c>
      <c r="H6" s="4" t="n">
        <f aca="false">+G6</f>
        <v>130721</v>
      </c>
      <c r="I6" s="4" t="n">
        <f aca="false">+H6</f>
        <v>130721</v>
      </c>
      <c r="J6" s="5" t="n">
        <f aca="false">+I6</f>
        <v>130721</v>
      </c>
    </row>
    <row r="7" customFormat="false" ht="12.75" hidden="false" customHeight="false" outlineLevel="0" collapsed="false">
      <c r="C7" s="4"/>
      <c r="D7" s="4"/>
      <c r="E7" s="4"/>
      <c r="F7" s="4"/>
      <c r="G7" s="4"/>
      <c r="H7" s="4"/>
      <c r="I7" s="4"/>
    </row>
    <row r="8" customFormat="false" ht="13.5" hidden="false" customHeight="false" outlineLevel="0" collapsed="false">
      <c r="A8" s="0" t="s">
        <v>3</v>
      </c>
      <c r="C8" s="4" t="n">
        <v>750</v>
      </c>
      <c r="D8" s="4" t="n">
        <v>750</v>
      </c>
      <c r="E8" s="4"/>
      <c r="F8" s="4"/>
      <c r="G8" s="4"/>
      <c r="H8" s="4"/>
      <c r="I8" s="4"/>
    </row>
    <row r="9" customFormat="false" ht="13.5" hidden="false" customHeight="false" outlineLevel="0" collapsed="false">
      <c r="A9" s="0" t="s">
        <v>4</v>
      </c>
      <c r="C9" s="4" t="n">
        <v>0</v>
      </c>
      <c r="D9" s="4" t="n">
        <v>0</v>
      </c>
      <c r="E9" s="6" t="n">
        <v>43208.45</v>
      </c>
      <c r="F9" s="6" t="n">
        <v>78765.4</v>
      </c>
      <c r="G9" s="6" t="n">
        <v>79013.48</v>
      </c>
      <c r="H9" s="6" t="n">
        <v>60726.44</v>
      </c>
      <c r="I9" s="6" t="n">
        <v>44397.46</v>
      </c>
      <c r="J9" s="7" t="n">
        <f aca="false">8.86*5914</f>
        <v>52398.04</v>
      </c>
      <c r="K9" s="8" t="n">
        <f aca="false">(SUM(E9:J9)*(1+0.005))*(1+0.05875)</f>
        <v>381469.548060562</v>
      </c>
    </row>
    <row r="10" customFormat="false" ht="12.75" hidden="false" customHeight="false" outlineLevel="0" collapsed="false">
      <c r="A10" s="0" t="s">
        <v>5</v>
      </c>
      <c r="C10" s="4" t="n">
        <v>25735.87</v>
      </c>
      <c r="D10" s="4" t="n">
        <v>28779.94</v>
      </c>
      <c r="E10" s="4" t="n">
        <v>24698.88</v>
      </c>
      <c r="F10" s="4" t="n">
        <v>31581.12</v>
      </c>
      <c r="G10" s="4" t="n">
        <v>28880.35</v>
      </c>
      <c r="H10" s="4" t="n">
        <v>25372.9</v>
      </c>
      <c r="I10" s="4" t="n">
        <v>26307.55</v>
      </c>
      <c r="J10" s="0" t="n">
        <f aca="false">3.35*7565</f>
        <v>25342.75</v>
      </c>
    </row>
    <row r="11" customFormat="false" ht="12.75" hidden="false" customHeight="false" outlineLevel="0" collapsed="false">
      <c r="A11" s="0" t="s">
        <v>6</v>
      </c>
      <c r="C11" s="4" t="n">
        <v>4137.6</v>
      </c>
      <c r="D11" s="4" t="n">
        <v>4627</v>
      </c>
      <c r="E11" s="4" t="n">
        <v>0</v>
      </c>
      <c r="F11" s="4" t="n">
        <v>0</v>
      </c>
      <c r="G11" s="4" t="n">
        <v>0</v>
      </c>
      <c r="H11" s="4" t="n">
        <v>0</v>
      </c>
      <c r="I11" s="4" t="n">
        <v>0</v>
      </c>
    </row>
    <row r="12" customFormat="false" ht="12.75" hidden="false" customHeight="false" outlineLevel="0" collapsed="false">
      <c r="A12" s="0" t="s">
        <v>7</v>
      </c>
      <c r="C12" s="4" t="n">
        <f aca="false">SUM(C8:C11)</f>
        <v>30623.47</v>
      </c>
      <c r="D12" s="4" t="n">
        <f aca="false">SUM(D8:D11)</f>
        <v>34156.94</v>
      </c>
      <c r="E12" s="4" t="n">
        <f aca="false">SUM(E9:E11)</f>
        <v>67907.33</v>
      </c>
      <c r="F12" s="4" t="n">
        <f aca="false">SUM(F9:F11)</f>
        <v>110346.52</v>
      </c>
      <c r="G12" s="4" t="n">
        <f aca="false">SUM(G9:G11)</f>
        <v>107893.83</v>
      </c>
      <c r="H12" s="4" t="n">
        <f aca="false">SUM(H9:H11)</f>
        <v>86099.34</v>
      </c>
      <c r="I12" s="4" t="n">
        <f aca="false">SUM(I9:I11)</f>
        <v>70705.01</v>
      </c>
      <c r="J12" s="4" t="n">
        <f aca="false">SUM(J9:J11)</f>
        <v>77740.79</v>
      </c>
    </row>
    <row r="13" customFormat="false" ht="12.75" hidden="false" customHeight="false" outlineLevel="0" collapsed="false">
      <c r="C13" s="4"/>
      <c r="D13" s="4"/>
      <c r="E13" s="4"/>
      <c r="F13" s="4"/>
      <c r="G13" s="4"/>
      <c r="H13" s="4"/>
      <c r="I13" s="4"/>
    </row>
    <row r="14" customFormat="false" ht="12.75" hidden="false" customHeight="false" outlineLevel="0" collapsed="false">
      <c r="A14" s="0" t="s">
        <v>8</v>
      </c>
      <c r="B14" s="0" t="n">
        <v>0.033727</v>
      </c>
      <c r="C14" s="4" t="n">
        <f aca="false">+B14*4231512</f>
        <v>142716.205224</v>
      </c>
      <c r="D14" s="4" t="n">
        <f aca="false">+B14*5097423</f>
        <v>171920.785521</v>
      </c>
      <c r="E14" s="4"/>
      <c r="F14" s="4"/>
      <c r="G14" s="4" t="n">
        <f aca="false">+K14*4416381</f>
        <v>88857.58572</v>
      </c>
      <c r="H14" s="4" t="n">
        <f aca="false">+K14*5174218</f>
        <v>104105.26616</v>
      </c>
      <c r="I14" s="4" t="n">
        <f aca="false">+K14*3722520</f>
        <v>74897.1024</v>
      </c>
      <c r="J14" s="0" t="n">
        <f aca="false">+K14*5168655</f>
        <v>103993.3386</v>
      </c>
      <c r="K14" s="0" t="n">
        <v>0.02012</v>
      </c>
    </row>
    <row r="15" customFormat="false" ht="12.75" hidden="false" customHeight="false" outlineLevel="0" collapsed="false">
      <c r="A15" s="0" t="s">
        <v>9</v>
      </c>
      <c r="B15" s="0" t="n">
        <v>-0.01762</v>
      </c>
      <c r="C15" s="4" t="n">
        <f aca="false">+B15*4231512</f>
        <v>-74559.24144</v>
      </c>
      <c r="D15" s="4" t="n">
        <f aca="false">+B15*5097423</f>
        <v>-89816.59326</v>
      </c>
      <c r="E15" s="4"/>
      <c r="F15" s="4"/>
      <c r="G15" s="4" t="n">
        <f aca="false">+B15*4418381</f>
        <v>-77851.87322</v>
      </c>
      <c r="H15" s="4" t="n">
        <f aca="false">+B15*5174218</f>
        <v>-91169.72116</v>
      </c>
      <c r="I15" s="4" t="n">
        <f aca="false">+B15*3722520</f>
        <v>-65590.8024</v>
      </c>
      <c r="J15" s="0" t="n">
        <f aca="false">+B15*5168655</f>
        <v>-91071.7011</v>
      </c>
    </row>
    <row r="16" customFormat="false" ht="12.75" hidden="false" customHeight="false" outlineLevel="0" collapsed="false">
      <c r="A16" s="0" t="s">
        <v>10</v>
      </c>
      <c r="C16" s="4" t="n">
        <f aca="false">-0.0072917435*4231512</f>
        <v>-30855.100121172</v>
      </c>
      <c r="D16" s="4" t="n">
        <f aca="false">-0.009473893*5097423</f>
        <v>-48292.440077739</v>
      </c>
      <c r="E16" s="4"/>
      <c r="F16" s="4"/>
      <c r="G16" s="4"/>
      <c r="H16" s="4"/>
      <c r="I16" s="4"/>
    </row>
    <row r="17" customFormat="false" ht="12.75" hidden="false" customHeight="false" outlineLevel="0" collapsed="false">
      <c r="A17" s="0" t="s">
        <v>11</v>
      </c>
      <c r="C17" s="4" t="n">
        <f aca="false">SUM(C14:C16)</f>
        <v>37301.863662828</v>
      </c>
      <c r="D17" s="4" t="n">
        <f aca="false">SUM(D14:D16)</f>
        <v>33811.752183261</v>
      </c>
      <c r="E17" s="4" t="n">
        <f aca="false">SUM(E14:E16)</f>
        <v>0</v>
      </c>
      <c r="F17" s="4" t="n">
        <f aca="false">SUM(F14:F16)</f>
        <v>0</v>
      </c>
      <c r="G17" s="4" t="n">
        <f aca="false">SUM(G14:G16)</f>
        <v>11005.7125</v>
      </c>
      <c r="H17" s="4" t="n">
        <f aca="false">SUM(H14:H16)</f>
        <v>12935.545</v>
      </c>
      <c r="I17" s="4" t="n">
        <f aca="false">SUM(I14:I16)</f>
        <v>9306.3</v>
      </c>
      <c r="J17" s="4" t="n">
        <f aca="false">SUM(J14:J16)</f>
        <v>12921.6375</v>
      </c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  <c r="I18" s="4"/>
    </row>
    <row r="19" customFormat="false" ht="12.75" hidden="false" customHeight="false" outlineLevel="0" collapsed="false">
      <c r="A19" s="0" t="s">
        <v>12</v>
      </c>
      <c r="C19" s="4" t="n">
        <f aca="false">(C12+C17)*0.005</f>
        <v>339.62666831414</v>
      </c>
      <c r="D19" s="4" t="n">
        <f aca="false">(D12+D17)*0.005</f>
        <v>339.843460916305</v>
      </c>
      <c r="E19" s="4" t="n">
        <f aca="false">(E12+E17)*0.005</f>
        <v>339.53665</v>
      </c>
      <c r="F19" s="4" t="n">
        <f aca="false">(F12+F17)*0.005</f>
        <v>551.7326</v>
      </c>
      <c r="G19" s="4" t="n">
        <f aca="false">(G12+G17)*0.005</f>
        <v>594.4977125</v>
      </c>
      <c r="H19" s="4" t="n">
        <f aca="false">(H12+H17)*0.005</f>
        <v>495.174425</v>
      </c>
      <c r="I19" s="4" t="n">
        <f aca="false">(I12+I17)*0.005</f>
        <v>400.05655</v>
      </c>
      <c r="J19" s="4" t="n">
        <f aca="false">(J12+J17)*0.005</f>
        <v>453.3121375</v>
      </c>
    </row>
    <row r="20" customFormat="false" ht="12.75" hidden="false" customHeight="false" outlineLevel="0" collapsed="false">
      <c r="C20" s="4"/>
      <c r="D20" s="4"/>
      <c r="E20" s="4"/>
      <c r="F20" s="4"/>
      <c r="G20" s="4"/>
      <c r="H20" s="4"/>
      <c r="I20" s="4"/>
      <c r="J20" s="4"/>
    </row>
    <row r="21" customFormat="false" ht="12.75" hidden="false" customHeight="false" outlineLevel="0" collapsed="false">
      <c r="A21" s="0" t="s">
        <v>13</v>
      </c>
      <c r="C21" s="4" t="n">
        <f aca="false">(+C19+C17+C12)*5.875%</f>
        <v>4010.5664194546</v>
      </c>
      <c r="D21" s="4" t="n">
        <f aca="false">(+D19+D17+D12)*5.875%</f>
        <v>4013.12646909542</v>
      </c>
      <c r="E21" s="4" t="n">
        <f aca="false">(+E19+E17+E12)*5.875%</f>
        <v>4009.5034156875</v>
      </c>
      <c r="F21" s="4" t="n">
        <f aca="false">(+F19+F17+F12)*5.875%</f>
        <v>6515.27234025</v>
      </c>
      <c r="G21" s="4" t="n">
        <f aca="false">(+G19+G17+G12)*5.875%</f>
        <v>7020.27486248437</v>
      </c>
      <c r="H21" s="4" t="n">
        <f aca="false">(+H19+H17+H12)*5.875%</f>
        <v>5847.39099121875</v>
      </c>
      <c r="I21" s="4" t="n">
        <f aca="false">(+I19+I17+I12)*5.875%</f>
        <v>4724.1677848125</v>
      </c>
      <c r="J21" s="4" t="n">
        <f aca="false">(+J19+J17+J12)*5.875%</f>
        <v>5353.04970370312</v>
      </c>
    </row>
    <row r="22" customFormat="false" ht="12.75" hidden="false" customHeight="false" outlineLevel="0" collapsed="false">
      <c r="C22" s="4"/>
      <c r="D22" s="4"/>
      <c r="E22" s="4"/>
      <c r="F22" s="4"/>
      <c r="G22" s="4"/>
      <c r="H22" s="4"/>
      <c r="I22" s="4"/>
      <c r="J22" s="4"/>
    </row>
    <row r="23" customFormat="false" ht="12.75" hidden="false" customHeight="false" outlineLevel="0" collapsed="false">
      <c r="A23" s="0" t="s">
        <v>14</v>
      </c>
      <c r="C23" s="4" t="n">
        <f aca="false">+C21+C19+C17+C12</f>
        <v>72275.5267505968</v>
      </c>
      <c r="D23" s="4" t="n">
        <f aca="false">+D21+D19+D17+D12</f>
        <v>72321.6621132727</v>
      </c>
      <c r="E23" s="4" t="n">
        <f aca="false">+E21+E19+E17+E12</f>
        <v>72256.3700656875</v>
      </c>
      <c r="F23" s="4" t="n">
        <f aca="false">+F21+F19+F17+F12</f>
        <v>117413.52494025</v>
      </c>
      <c r="G23" s="4" t="n">
        <f aca="false">+G21+G19+G17+G12</f>
        <v>126514.315074984</v>
      </c>
      <c r="H23" s="4" t="n">
        <f aca="false">+H21+H19+H17+H12</f>
        <v>105377.450416219</v>
      </c>
      <c r="I23" s="4" t="n">
        <f aca="false">+I21+I19+I17+I12</f>
        <v>85135.5343348125</v>
      </c>
      <c r="J23" s="4" t="n">
        <f aca="false">+J21+J19+J17+J12</f>
        <v>96468.7893412031</v>
      </c>
    </row>
    <row r="24" customFormat="false" ht="12.75" hidden="false" customHeight="false" outlineLevel="0" collapsed="false">
      <c r="C24" s="4"/>
      <c r="D24" s="4"/>
      <c r="E24" s="4"/>
      <c r="F24" s="4"/>
      <c r="G24" s="4"/>
      <c r="H24" s="4"/>
      <c r="I24" s="4"/>
    </row>
    <row r="25" customFormat="false" ht="12.75" hidden="false" customHeight="false" outlineLevel="0" collapsed="false">
      <c r="A25" s="0" t="s">
        <v>15</v>
      </c>
      <c r="C25" s="4" t="n">
        <f aca="false">+C6-C23</f>
        <v>58445.4732494033</v>
      </c>
      <c r="D25" s="4" t="n">
        <f aca="false">+D6-D23</f>
        <v>58399.3378867273</v>
      </c>
      <c r="E25" s="4" t="n">
        <f aca="false">+E6-E23</f>
        <v>58464.6299343125</v>
      </c>
      <c r="F25" s="4" t="n">
        <f aca="false">+F6-F23</f>
        <v>13307.47505975</v>
      </c>
      <c r="G25" s="4" t="n">
        <f aca="false">+G6-G23</f>
        <v>4206.68492501564</v>
      </c>
      <c r="H25" s="4" t="n">
        <f aca="false">+H6-H23</f>
        <v>25343.5495837813</v>
      </c>
      <c r="I25" s="4" t="n">
        <f aca="false">+I6-I23</f>
        <v>45585.4656651875</v>
      </c>
      <c r="J25" s="4" t="n">
        <f aca="false">+J6-J23</f>
        <v>34252.2106587969</v>
      </c>
      <c r="K25" s="5" t="n">
        <f aca="false">SUM(C25:J25)</f>
        <v>298004.826962974</v>
      </c>
    </row>
    <row r="26" customFormat="false" ht="12.75" hidden="false" customHeight="false" outlineLevel="0" collapsed="false">
      <c r="C26" s="4"/>
      <c r="D26" s="4"/>
      <c r="E26" s="4"/>
      <c r="F26" s="4"/>
      <c r="G26" s="4"/>
      <c r="H26" s="4"/>
      <c r="I26" s="4"/>
    </row>
    <row r="27" customFormat="false" ht="12.75" hidden="false" customHeight="false" outlineLevel="0" collapsed="false">
      <c r="C27" s="4"/>
      <c r="D27" s="4"/>
      <c r="E27" s="4"/>
      <c r="F27" s="4"/>
      <c r="G27" s="4"/>
      <c r="H27" s="4"/>
      <c r="I27" s="4"/>
    </row>
    <row r="28" customFormat="false" ht="12.75" hidden="false" customHeight="false" outlineLevel="0" collapsed="false">
      <c r="C28" s="4"/>
      <c r="D28" s="4"/>
      <c r="E28" s="4"/>
      <c r="F28" s="4"/>
      <c r="G28" s="4"/>
      <c r="H28" s="4"/>
      <c r="I28" s="4"/>
    </row>
    <row r="29" customFormat="false" ht="12.75" hidden="false" customHeight="false" outlineLevel="0" collapsed="false">
      <c r="C29" s="4"/>
      <c r="D29" s="4"/>
      <c r="E29" s="4"/>
      <c r="F29" s="4"/>
      <c r="G29" s="4"/>
      <c r="H29" s="4"/>
      <c r="I29" s="4"/>
    </row>
    <row r="30" customFormat="false" ht="12.75" hidden="false" customHeight="false" outlineLevel="0" collapsed="false">
      <c r="C30" s="4"/>
      <c r="D30" s="4"/>
      <c r="E30" s="4"/>
      <c r="F30" s="4"/>
      <c r="G30" s="4"/>
      <c r="H30" s="4"/>
      <c r="I30" s="4"/>
    </row>
    <row r="31" customFormat="false" ht="12.75" hidden="false" customHeight="false" outlineLevel="0" collapsed="false">
      <c r="C31" s="4"/>
      <c r="D31" s="4"/>
      <c r="E31" s="4"/>
      <c r="F31" s="4"/>
      <c r="G31" s="4"/>
      <c r="H31" s="4"/>
      <c r="I31" s="4"/>
    </row>
    <row r="32" customFormat="false" ht="12.75" hidden="false" customHeight="false" outlineLevel="0" collapsed="false">
      <c r="C32" s="4"/>
      <c r="D32" s="4"/>
      <c r="E32" s="4"/>
      <c r="F32" s="4"/>
      <c r="G32" s="4"/>
      <c r="H32" s="4"/>
      <c r="I32" s="4"/>
    </row>
    <row r="33" customFormat="false" ht="12.75" hidden="false" customHeight="false" outlineLevel="0" collapsed="false">
      <c r="C33" s="4"/>
      <c r="D33" s="4"/>
      <c r="E33" s="4"/>
      <c r="F33" s="4"/>
      <c r="G33" s="4"/>
      <c r="H33" s="4"/>
      <c r="I33" s="4"/>
    </row>
    <row r="34" customFormat="false" ht="12.75" hidden="false" customHeight="false" outlineLevel="0" collapsed="false">
      <c r="C34" s="4"/>
      <c r="D34" s="4"/>
      <c r="E34" s="4"/>
      <c r="F34" s="4"/>
      <c r="G34" s="4"/>
      <c r="H34" s="4"/>
      <c r="I34" s="4"/>
    </row>
  </sheetData>
  <mergeCells count="2">
    <mergeCell ref="C1:K1"/>
    <mergeCell ref="C2:K2"/>
  </mergeCells>
  <printOptions headings="false" gridLines="false" gridLinesSet="true" horizontalCentered="false" verticalCentered="false"/>
  <pageMargins left="0.220138888888889" right="0.2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28"/>
    <col collapsed="false" customWidth="true" hidden="false" outlineLevel="0" max="2" min="2" style="0" width="17.99"/>
    <col collapsed="false" customWidth="true" hidden="false" outlineLevel="0" max="3" min="3" style="0" width="44.41"/>
    <col collapsed="false" customWidth="true" hidden="false" outlineLevel="0" max="4" min="4" style="0" width="12.99"/>
    <col collapsed="false" customWidth="true" hidden="false" outlineLevel="0" max="10" min="5" style="0" width="12.85"/>
    <col collapsed="false" customWidth="true" hidden="false" outlineLevel="0" max="12" min="11" style="0" width="12.28"/>
  </cols>
  <sheetData>
    <row r="1" customFormat="false" ht="15.75" hidden="false" customHeight="false" outlineLevel="0" collapsed="false">
      <c r="A1" s="9" t="s">
        <v>16</v>
      </c>
      <c r="C1" s="10" t="s">
        <v>17</v>
      </c>
    </row>
    <row r="2" customFormat="false" ht="12.75" hidden="false" customHeight="false" outlineLevel="0" collapsed="false">
      <c r="A2" s="0" t="s">
        <v>18</v>
      </c>
      <c r="B2" s="11" t="n">
        <v>10000</v>
      </c>
    </row>
    <row r="3" customFormat="false" ht="12.75" hidden="false" customHeight="false" outlineLevel="0" collapsed="false">
      <c r="A3" s="0" t="s">
        <v>19</v>
      </c>
      <c r="B3" s="12" t="n">
        <v>15</v>
      </c>
    </row>
    <row r="4" customFormat="false" ht="12.75" hidden="false" customHeight="false" outlineLevel="0" collapsed="false">
      <c r="A4" s="0" t="s">
        <v>20</v>
      </c>
      <c r="B4" s="13" t="n">
        <v>0.7457</v>
      </c>
    </row>
    <row r="5" customFormat="false" ht="15" hidden="false" customHeight="false" outlineLevel="0" collapsed="false">
      <c r="A5" s="14" t="s">
        <v>21</v>
      </c>
      <c r="B5" s="15" t="n">
        <f aca="false">+B2*B4/B6</f>
        <v>7842.90215777096</v>
      </c>
      <c r="C5" s="16" t="s">
        <v>22</v>
      </c>
    </row>
    <row r="6" customFormat="false" ht="15" hidden="false" customHeight="false" outlineLevel="0" collapsed="false">
      <c r="A6" s="17" t="s">
        <v>23</v>
      </c>
      <c r="B6" s="18" t="n">
        <f aca="false">0.98*0.98*0.99</f>
        <v>0.950796</v>
      </c>
    </row>
    <row r="7" customFormat="false" ht="12.75" hidden="false" customHeight="false" outlineLevel="0" collapsed="false">
      <c r="A7" s="0" t="s">
        <v>24</v>
      </c>
      <c r="B7" s="19" t="n">
        <f aca="false">+B5*24</f>
        <v>188229.651786503</v>
      </c>
      <c r="C7" s="16" t="s">
        <v>25</v>
      </c>
    </row>
    <row r="8" customFormat="false" ht="12.75" hidden="false" customHeight="false" outlineLevel="0" collapsed="false">
      <c r="A8" s="0" t="s">
        <v>26</v>
      </c>
      <c r="B8" s="11" t="n">
        <f aca="false">(+B7*365)/12</f>
        <v>5725318.5751728</v>
      </c>
      <c r="C8" s="16" t="s">
        <v>27</v>
      </c>
    </row>
    <row r="9" customFormat="false" ht="12.75" hidden="false" customHeight="false" outlineLevel="0" collapsed="false">
      <c r="A9" s="0" t="s">
        <v>28</v>
      </c>
      <c r="B9" s="20" t="n">
        <v>0.95</v>
      </c>
      <c r="C9" s="2"/>
    </row>
    <row r="10" customFormat="false" ht="12.75" hidden="false" customHeight="false" outlineLevel="0" collapsed="false">
      <c r="A10" s="0" t="s">
        <v>29</v>
      </c>
      <c r="B10" s="12" t="n">
        <v>2.43799</v>
      </c>
      <c r="C10" s="21"/>
    </row>
    <row r="11" customFormat="false" ht="15" hidden="false" customHeight="false" outlineLevel="0" collapsed="false">
      <c r="A11" s="0" t="s">
        <v>30</v>
      </c>
      <c r="B11" s="22" t="n">
        <v>1050</v>
      </c>
      <c r="C11" s="21"/>
    </row>
    <row r="12" customFormat="false" ht="12.75" hidden="false" customHeight="false" outlineLevel="0" collapsed="false">
      <c r="A12" s="0" t="s">
        <v>31</v>
      </c>
      <c r="B12" s="0" t="n">
        <v>8.86</v>
      </c>
      <c r="C12" s="21"/>
    </row>
    <row r="13" customFormat="false" ht="12.75" hidden="false" customHeight="false" outlineLevel="0" collapsed="false">
      <c r="A13" s="0" t="s">
        <v>32</v>
      </c>
      <c r="B13" s="0" t="n">
        <f aca="false">12.21-B12</f>
        <v>3.35</v>
      </c>
      <c r="C13" s="2" t="s">
        <v>33</v>
      </c>
    </row>
    <row r="14" customFormat="false" ht="12.75" hidden="false" customHeight="false" outlineLevel="0" collapsed="false">
      <c r="A14" s="0" t="s">
        <v>34</v>
      </c>
      <c r="B14" s="0" t="n">
        <v>0.01762</v>
      </c>
      <c r="C14" s="2" t="n">
        <f aca="false">(B14*(1+B15))*(1+B16)</f>
        <v>0.01870329522</v>
      </c>
    </row>
    <row r="15" customFormat="false" ht="12.75" hidden="false" customHeight="false" outlineLevel="0" collapsed="false">
      <c r="A15" s="0" t="s">
        <v>35</v>
      </c>
      <c r="B15" s="23" t="n">
        <v>0.005</v>
      </c>
      <c r="C15" s="2"/>
    </row>
    <row r="16" customFormat="false" ht="12.75" hidden="false" customHeight="false" outlineLevel="0" collapsed="false">
      <c r="A16" s="0" t="s">
        <v>36</v>
      </c>
      <c r="B16" s="23" t="n">
        <v>0.0562</v>
      </c>
      <c r="C16" s="2"/>
    </row>
    <row r="17" customFormat="false" ht="15" hidden="false" customHeight="false" outlineLevel="0" collapsed="false">
      <c r="A17" s="24" t="s">
        <v>37</v>
      </c>
      <c r="B17" s="25" t="n">
        <v>0.25</v>
      </c>
    </row>
    <row r="18" customFormat="false" ht="12.75" hidden="false" customHeight="false" outlineLevel="0" collapsed="false">
      <c r="A18" s="0" t="s">
        <v>38</v>
      </c>
      <c r="D18" s="0" t="n">
        <f aca="false">31*24*10000</f>
        <v>7440000</v>
      </c>
      <c r="E18" s="0" t="n">
        <f aca="false">30*24*10000</f>
        <v>7200000</v>
      </c>
      <c r="F18" s="0" t="n">
        <f aca="false">31*24*10000</f>
        <v>7440000</v>
      </c>
      <c r="G18" s="0" t="n">
        <f aca="false">31*24*10000</f>
        <v>7440000</v>
      </c>
      <c r="H18" s="0" t="n">
        <f aca="false">30*24*10000</f>
        <v>7200000</v>
      </c>
      <c r="I18" s="0" t="n">
        <f aca="false">31*24*10000</f>
        <v>7440000</v>
      </c>
      <c r="J18" s="0" t="n">
        <f aca="false">30*24*10000</f>
        <v>7200000</v>
      </c>
      <c r="K18" s="0" t="n">
        <f aca="false">31*24*10000</f>
        <v>7440000</v>
      </c>
    </row>
    <row r="20" customFormat="false" ht="12.75" hidden="false" customHeight="false" outlineLevel="0" collapsed="false">
      <c r="A20" s="26" t="s">
        <v>39</v>
      </c>
      <c r="C20" s="0" t="s">
        <v>17</v>
      </c>
      <c r="D20" s="3" t="n">
        <v>36647</v>
      </c>
      <c r="E20" s="3" t="n">
        <v>36678</v>
      </c>
      <c r="F20" s="3" t="n">
        <v>36708</v>
      </c>
      <c r="G20" s="3" t="n">
        <v>36739</v>
      </c>
      <c r="H20" s="3" t="n">
        <v>36770</v>
      </c>
      <c r="I20" s="3" t="n">
        <v>36800</v>
      </c>
      <c r="J20" s="3" t="n">
        <v>36831</v>
      </c>
      <c r="K20" s="3" t="n">
        <v>36861</v>
      </c>
    </row>
    <row r="22" customFormat="false" ht="12.75" hidden="false" customHeight="false" outlineLevel="0" collapsed="false">
      <c r="A22" s="26" t="s">
        <v>40</v>
      </c>
    </row>
    <row r="23" customFormat="false" ht="12.75" hidden="false" customHeight="false" outlineLevel="0" collapsed="false">
      <c r="A23" s="0" t="s">
        <v>41</v>
      </c>
      <c r="C23" s="0" t="s">
        <v>42</v>
      </c>
      <c r="D23" s="12" t="n">
        <f aca="false">(2854079*0.19)/12</f>
        <v>45189.5841666667</v>
      </c>
      <c r="E23" s="5" t="n">
        <f aca="false">+D23</f>
        <v>45189.5841666667</v>
      </c>
      <c r="F23" s="5" t="n">
        <f aca="false">+E23</f>
        <v>45189.5841666667</v>
      </c>
      <c r="G23" s="5" t="n">
        <f aca="false">+F23</f>
        <v>45189.5841666667</v>
      </c>
      <c r="H23" s="5" t="n">
        <f aca="false">+G23</f>
        <v>45189.5841666667</v>
      </c>
      <c r="I23" s="5" t="n">
        <f aca="false">+H23</f>
        <v>45189.5841666667</v>
      </c>
      <c r="J23" s="5" t="n">
        <f aca="false">+I23</f>
        <v>45189.5841666667</v>
      </c>
      <c r="K23" s="5" t="n">
        <f aca="false">+J23</f>
        <v>45189.5841666667</v>
      </c>
    </row>
    <row r="25" customFormat="false" ht="39.75" hidden="false" customHeight="true" outlineLevel="0" collapsed="false">
      <c r="A25" s="0" t="s">
        <v>43</v>
      </c>
      <c r="C25" s="27" t="s">
        <v>44</v>
      </c>
      <c r="D25" s="12" t="n">
        <f aca="false">(((+B2*(B12+B13))+B11)*(1+B15))*(1+B16)-((((B12*0.25)+B13)*(B2*B4/B6))+B11)*(1+B15)*(1+B16)</f>
        <v>83277.6952050225</v>
      </c>
      <c r="E25" s="5" t="n">
        <f aca="false">+D25</f>
        <v>83277.6952050225</v>
      </c>
      <c r="F25" s="5" t="n">
        <f aca="false">+E25</f>
        <v>83277.6952050225</v>
      </c>
      <c r="G25" s="5" t="n">
        <f aca="false">+F25</f>
        <v>83277.6952050225</v>
      </c>
      <c r="H25" s="5" t="n">
        <f aca="false">+G25</f>
        <v>83277.6952050225</v>
      </c>
      <c r="I25" s="5" t="n">
        <f aca="false">+H25</f>
        <v>83277.6952050225</v>
      </c>
      <c r="J25" s="5" t="n">
        <f aca="false">+I25</f>
        <v>83277.6952050225</v>
      </c>
      <c r="K25" s="5" t="n">
        <f aca="false">+J25</f>
        <v>83277.6952050225</v>
      </c>
    </row>
    <row r="26" customFormat="false" ht="14.25" hidden="false" customHeight="true" outlineLevel="0" collapsed="false">
      <c r="C26" s="27"/>
      <c r="D26" s="12"/>
      <c r="E26" s="5"/>
      <c r="F26" s="5"/>
      <c r="G26" s="5"/>
      <c r="H26" s="5"/>
      <c r="I26" s="5"/>
      <c r="J26" s="5"/>
      <c r="K26" s="5"/>
    </row>
    <row r="27" customFormat="false" ht="14.25" hidden="false" customHeight="true" outlineLevel="0" collapsed="false">
      <c r="A27" s="0" t="s">
        <v>45</v>
      </c>
      <c r="C27" s="27"/>
      <c r="D27" s="12" t="n">
        <f aca="false">(((+$B$2*($B$12+$B$13))+$B$11)*(1+$B$15))*(1+$B$16)-((25735.87+4137.6)*(1+B15))*(1+0.05875)</f>
        <v>98934.7061056875</v>
      </c>
      <c r="E27" s="12" t="n">
        <f aca="false">((((+$B$2*($B$12+$B$13))+$B$11)*(1+$B$15))*(1+$B$16))-((28779.94+4627)*(1+B15))*(1+5.875%)</f>
        <v>95174.939436375</v>
      </c>
      <c r="F27" s="12" t="n">
        <f aca="false">(((+$B$2*($B$12+$B$13))+$B$11)*(1+$B$15))*(1+$B$16)-((24698.88)*(1+B15))*(1+5.875%)</f>
        <v>104440.696254</v>
      </c>
      <c r="G27" s="12" t="n">
        <f aca="false">(((+$B$2*($B$12+$B$13))+$B$11)*(1+$B$15))*(1+$B$16)-((3.35*9427.2)*(1+B15))*(1+5.875%)</f>
        <v>97117.691796</v>
      </c>
      <c r="H27" s="12" t="n">
        <f aca="false">(((+$B$2*($B$12+$B$13))+$B$11)*(1+$B$15))*(1+$B$16)-((8621*3.35)*(1+B15))*(1+5.875%)</f>
        <v>99991.4292346875</v>
      </c>
      <c r="I27" s="12" t="n">
        <f aca="false">(((+$B$2*($B$12+$B$13))+$B$11)*(1+$B$15))*(1+$B$16)-((7574*3.35)*(1+B15))*(1+5.875%)</f>
        <v>103723.509485625</v>
      </c>
      <c r="J27" s="12" t="n">
        <f aca="false">(((+$B$2*($B$12+$B$13))+$B$11)*(1+$B$15))*(1+$B$16)-((3.35*7853)*(1+B15))*(1+5.875%)</f>
        <v>102729.000994688</v>
      </c>
      <c r="K27" s="12" t="n">
        <f aca="false">(((+$B$2*($B$12+$B$13))+$B$11)*(1+$B$15))*(1+$B$16)</f>
        <v>130721.38515</v>
      </c>
    </row>
    <row r="28" customFormat="false" ht="31.5" hidden="false" customHeight="true" outlineLevel="0" collapsed="false">
      <c r="A28" s="0" t="s">
        <v>46</v>
      </c>
      <c r="C28" s="27"/>
      <c r="D28" s="12" t="n">
        <f aca="false">(((0.032727+0.001-0.005541726-0.0017500175)*D42)-(D42*0.01762)*(1+B15))*(1+5.875%)</f>
        <v>39098.6501686462</v>
      </c>
      <c r="E28" s="12" t="n">
        <f aca="false">(((0.032727+0.001-0.0072001578-0.0022737352)*E42)-(E42*0.01762)*(1+B15))*(1+5.875%)</f>
        <v>35322.7260334575</v>
      </c>
      <c r="F28" s="12"/>
      <c r="G28" s="12"/>
      <c r="H28" s="12"/>
      <c r="I28" s="12"/>
      <c r="J28" s="12"/>
      <c r="K28" s="12"/>
    </row>
    <row r="29" customFormat="false" ht="14.25" hidden="false" customHeight="true" outlineLevel="0" collapsed="false">
      <c r="A29" s="0" t="s">
        <v>47</v>
      </c>
      <c r="C29" s="27"/>
      <c r="D29" s="12"/>
      <c r="F29" s="12" t="n">
        <f aca="false">((8.86*4876.8)*(1+B15))*(1+5.875%)</f>
        <v>45975.6790416</v>
      </c>
      <c r="G29" s="12" t="n">
        <f aca="false">((8.86*8890)*(1+B15))*(1+5.875%)</f>
        <v>83809.83158625</v>
      </c>
      <c r="H29" s="12" t="n">
        <f aca="false">((8918*8.86)*(1+B15))*(1+5.875%)</f>
        <v>84073.79955975</v>
      </c>
      <c r="I29" s="12" t="n">
        <f aca="false">((6854*8.86)*(1+B15))*(1+5.875%)</f>
        <v>64615.58894175</v>
      </c>
      <c r="J29" s="12" t="n">
        <f aca="false">((8.86*5011)*(1+B15))*(1+5.875%)</f>
        <v>47240.839828875</v>
      </c>
      <c r="K29" s="12"/>
      <c r="L29" s="5" t="n">
        <f aca="false">SUM(F29:K29)</f>
        <v>325715.738958225</v>
      </c>
    </row>
    <row r="30" customFormat="false" ht="14.25" hidden="false" customHeight="true" outlineLevel="0" collapsed="false">
      <c r="C30" s="27"/>
      <c r="D30" s="12"/>
      <c r="F30" s="12"/>
      <c r="G30" s="12"/>
      <c r="H30" s="12"/>
      <c r="I30" s="12"/>
      <c r="J30" s="12"/>
      <c r="K30" s="12"/>
    </row>
    <row r="32" customFormat="false" ht="12.75" hidden="false" customHeight="false" outlineLevel="0" collapsed="false">
      <c r="A32" s="28" t="s">
        <v>48</v>
      </c>
      <c r="B32" s="28"/>
      <c r="C32" s="28"/>
      <c r="D32" s="28" t="n">
        <f aca="false">+D43*0.00231</f>
        <v>13098.2222448</v>
      </c>
      <c r="E32" s="28" t="n">
        <f aca="false">+E43*0.0018</f>
        <v>12294.984276</v>
      </c>
      <c r="F32" s="28" t="n">
        <f aca="false">+F43*0.00195</f>
        <v>12758.617911</v>
      </c>
      <c r="G32" s="28" t="n">
        <f aca="false">+G43*0.00171</f>
        <v>14319.1121238</v>
      </c>
      <c r="H32" s="28" t="n">
        <f aca="false">+H43*0.00209</f>
        <v>12374.1178286</v>
      </c>
      <c r="I32" s="28" t="n">
        <f aca="false">+I43*0.00184</f>
        <v>12757.5519008</v>
      </c>
      <c r="J32" s="28" t="n">
        <f aca="false">+J43*0.00248</f>
        <v>12370.678464</v>
      </c>
      <c r="K32" s="28"/>
      <c r="L32" s="29"/>
    </row>
    <row r="34" customFormat="false" ht="12.75" hidden="false" customHeight="false" outlineLevel="0" collapsed="false">
      <c r="A34" s="26" t="s">
        <v>49</v>
      </c>
    </row>
    <row r="36" customFormat="false" ht="12.75" hidden="false" customHeight="false" outlineLevel="0" collapsed="false">
      <c r="A36" s="0" t="s">
        <v>41</v>
      </c>
      <c r="C36" s="0" t="s">
        <v>50</v>
      </c>
      <c r="D36" s="19" t="n">
        <f aca="false">(2854079*0.81)/2.43799/12</f>
        <v>79020.1487700934</v>
      </c>
      <c r="E36" s="19" t="n">
        <f aca="false">+D36</f>
        <v>79020.1487700934</v>
      </c>
      <c r="F36" s="19" t="n">
        <f aca="false">+E36</f>
        <v>79020.1487700934</v>
      </c>
      <c r="G36" s="19" t="n">
        <f aca="false">+F36</f>
        <v>79020.1487700934</v>
      </c>
      <c r="H36" s="19" t="n">
        <f aca="false">+G36</f>
        <v>79020.1487700934</v>
      </c>
      <c r="I36" s="19" t="n">
        <f aca="false">+H36</f>
        <v>79020.1487700934</v>
      </c>
      <c r="J36" s="19" t="n">
        <f aca="false">+I36</f>
        <v>79020.1487700934</v>
      </c>
      <c r="K36" s="19" t="n">
        <f aca="false">+J36</f>
        <v>79020.1487700934</v>
      </c>
    </row>
    <row r="37" customFormat="false" ht="12.75" hidden="false" customHeight="false" outlineLevel="0" collapsed="false">
      <c r="C37" s="0" t="s">
        <v>51</v>
      </c>
      <c r="D37" s="19" t="n">
        <v>2585</v>
      </c>
      <c r="E37" s="19" t="n">
        <f aca="false">+D37</f>
        <v>2585</v>
      </c>
      <c r="F37" s="19" t="n">
        <f aca="false">+E37</f>
        <v>2585</v>
      </c>
      <c r="G37" s="19" t="n">
        <f aca="false">+F37</f>
        <v>2585</v>
      </c>
      <c r="H37" s="19" t="n">
        <f aca="false">+G37</f>
        <v>2585</v>
      </c>
      <c r="I37" s="19" t="n">
        <f aca="false">+H37</f>
        <v>2585</v>
      </c>
      <c r="J37" s="19" t="n">
        <f aca="false">+I37</f>
        <v>2585</v>
      </c>
      <c r="K37" s="19" t="n">
        <f aca="false">+J37</f>
        <v>2585</v>
      </c>
    </row>
    <row r="38" customFormat="false" ht="12.75" hidden="false" customHeight="false" outlineLevel="0" collapsed="false">
      <c r="A38" s="0" t="s">
        <v>52</v>
      </c>
      <c r="D38" s="19" t="n">
        <f aca="false">+D37+D36</f>
        <v>81605.1487700934</v>
      </c>
      <c r="E38" s="19" t="n">
        <f aca="false">+D38</f>
        <v>81605.1487700934</v>
      </c>
      <c r="F38" s="19" t="n">
        <f aca="false">+E38</f>
        <v>81605.1487700934</v>
      </c>
      <c r="G38" s="19" t="n">
        <f aca="false">+F38</f>
        <v>81605.1487700934</v>
      </c>
      <c r="H38" s="19" t="n">
        <f aca="false">+G38</f>
        <v>81605.1487700934</v>
      </c>
      <c r="I38" s="19" t="n">
        <f aca="false">+H38</f>
        <v>81605.1487700934</v>
      </c>
      <c r="J38" s="19" t="n">
        <f aca="false">+I38</f>
        <v>81605.1487700934</v>
      </c>
      <c r="K38" s="19" t="n">
        <f aca="false">+J38</f>
        <v>81605.1487700934</v>
      </c>
    </row>
    <row r="41" customFormat="false" ht="12.75" hidden="false" customHeight="false" outlineLevel="0" collapsed="false">
      <c r="A41" s="0" t="s">
        <v>53</v>
      </c>
    </row>
    <row r="42" customFormat="false" ht="12.75" hidden="false" customHeight="false" outlineLevel="0" collapsed="false">
      <c r="A42" s="19" t="s">
        <v>54</v>
      </c>
      <c r="B42" s="19"/>
      <c r="C42" s="19"/>
      <c r="D42" s="19" t="n">
        <v>4231512</v>
      </c>
      <c r="E42" s="19" t="n">
        <v>5097423</v>
      </c>
      <c r="F42" s="19" t="n">
        <v>4882747</v>
      </c>
      <c r="G42" s="19" t="n">
        <v>6249067</v>
      </c>
      <c r="H42" s="19" t="n">
        <v>4418381</v>
      </c>
      <c r="I42" s="19" t="n">
        <v>5174218</v>
      </c>
      <c r="J42" s="19" t="n">
        <v>3722520</v>
      </c>
      <c r="K42" s="19"/>
      <c r="L42" s="19"/>
    </row>
    <row r="43" customFormat="false" ht="12.75" hidden="false" customHeight="false" outlineLevel="0" collapsed="false">
      <c r="A43" s="19" t="s">
        <v>55</v>
      </c>
      <c r="B43" s="19"/>
      <c r="C43" s="19" t="s">
        <v>56</v>
      </c>
      <c r="D43" s="19" t="n">
        <f aca="false">+D42*1.34</f>
        <v>5670226.08</v>
      </c>
      <c r="E43" s="19" t="n">
        <f aca="false">+E42*1.34</f>
        <v>6830546.82</v>
      </c>
      <c r="F43" s="19" t="n">
        <f aca="false">+F42*1.34</f>
        <v>6542880.98</v>
      </c>
      <c r="G43" s="19" t="n">
        <f aca="false">+G42*1.34</f>
        <v>8373749.78</v>
      </c>
      <c r="H43" s="19" t="n">
        <f aca="false">+H42*1.34</f>
        <v>5920630.54</v>
      </c>
      <c r="I43" s="19" t="n">
        <f aca="false">+I42*1.34</f>
        <v>6933452.12</v>
      </c>
      <c r="J43" s="19" t="n">
        <f aca="false">+J42*1.34</f>
        <v>4988176.8</v>
      </c>
      <c r="K43" s="19" t="n">
        <f aca="false">+K42*1.34</f>
        <v>0</v>
      </c>
      <c r="L43" s="19"/>
    </row>
    <row r="44" customFormat="false" ht="12.75" hidden="false" customHeight="false" outlineLevel="0" collapsed="false">
      <c r="A44" s="0" t="s">
        <v>28</v>
      </c>
      <c r="D44" s="0" t="n">
        <f aca="false">+D43/D18</f>
        <v>0.762127161290323</v>
      </c>
      <c r="E44" s="0" t="n">
        <f aca="false">+E43/E18</f>
        <v>0.948687058333333</v>
      </c>
      <c r="F44" s="0" t="n">
        <f aca="false">+F43/F18</f>
        <v>0.87941948655914</v>
      </c>
      <c r="G44" s="0" t="n">
        <f aca="false">+G43/G18</f>
        <v>1.12550400268817</v>
      </c>
      <c r="H44" s="0" t="n">
        <f aca="false">+H43/H18</f>
        <v>0.822309797222222</v>
      </c>
      <c r="I44" s="0" t="n">
        <f aca="false">+I43/I18</f>
        <v>0.931915607526882</v>
      </c>
      <c r="J44" s="0" t="n">
        <f aca="false">+J43/J18</f>
        <v>0.692802333333333</v>
      </c>
      <c r="K44" s="0" t="n">
        <f aca="false">+K43/K18</f>
        <v>0</v>
      </c>
    </row>
    <row r="46" customFormat="false" ht="12.75" hidden="false" customHeight="false" outlineLevel="0" collapsed="false">
      <c r="A46" s="19" t="s">
        <v>57</v>
      </c>
      <c r="B46" s="30"/>
      <c r="C46" s="19" t="s">
        <v>58</v>
      </c>
      <c r="D46" s="19" t="n">
        <f aca="false">(+D43*5717)/1000000</f>
        <v>32416.68249936</v>
      </c>
      <c r="E46" s="19" t="n">
        <f aca="false">(+E43*5717)/1000000</f>
        <v>39050.23616994</v>
      </c>
      <c r="F46" s="19" t="n">
        <f aca="false">(+F43*5717)/1000000</f>
        <v>37405.65056266</v>
      </c>
      <c r="G46" s="19" t="n">
        <f aca="false">(+G43*5717)/1000000</f>
        <v>47872.72749226</v>
      </c>
      <c r="H46" s="19" t="n">
        <f aca="false">(+H43*5717)/1000000</f>
        <v>33848.24479718</v>
      </c>
      <c r="I46" s="19" t="n">
        <f aca="false">(+I43*5717)/1000000</f>
        <v>39638.54577004</v>
      </c>
      <c r="J46" s="19" t="n">
        <f aca="false">(+J43*5717)/1000000</f>
        <v>28517.4067656</v>
      </c>
      <c r="K46" s="19" t="n">
        <f aca="false">(+K43*5717)/1000000</f>
        <v>0</v>
      </c>
      <c r="L46" s="19"/>
    </row>
    <row r="48" customFormat="false" ht="12.75" hidden="false" customHeight="false" outlineLevel="0" collapsed="false">
      <c r="A48" s="0" t="s">
        <v>59</v>
      </c>
      <c r="D48" s="31" t="n">
        <f aca="false">+D46+D38</f>
        <v>114021.831269453</v>
      </c>
      <c r="E48" s="31" t="n">
        <f aca="false">+E46+E38</f>
        <v>120655.384940033</v>
      </c>
      <c r="F48" s="31" t="n">
        <f aca="false">+F46+F38</f>
        <v>119010.799332753</v>
      </c>
      <c r="G48" s="31" t="n">
        <f aca="false">+G46+G38</f>
        <v>129477.876262353</v>
      </c>
      <c r="H48" s="31" t="n">
        <f aca="false">+H46+H38</f>
        <v>115453.393567273</v>
      </c>
      <c r="I48" s="31" t="n">
        <f aca="false">+I46+I38</f>
        <v>121243.694540133</v>
      </c>
      <c r="J48" s="31" t="n">
        <f aca="false">+J46+J38</f>
        <v>110122.555535693</v>
      </c>
      <c r="K48" s="31" t="n">
        <f aca="false">+K46+K38</f>
        <v>81605.1487700934</v>
      </c>
    </row>
    <row r="50" customFormat="false" ht="12.75" hidden="false" customHeight="false" outlineLevel="0" collapsed="false">
      <c r="A50" s="0" t="s">
        <v>60</v>
      </c>
      <c r="D50" s="5" t="n">
        <f aca="false">-D23+D27-D28+D32</f>
        <v>27744.6940151747</v>
      </c>
      <c r="E50" s="5" t="n">
        <f aca="false">-E23+E27-E28+E32</f>
        <v>26957.6135122508</v>
      </c>
      <c r="F50" s="5" t="n">
        <f aca="false">-F23+F27-F28+F32</f>
        <v>72009.7299983334</v>
      </c>
      <c r="G50" s="5" t="n">
        <f aca="false">-G23+G27-G28+G32</f>
        <v>66247.2197531333</v>
      </c>
      <c r="H50" s="5" t="n">
        <f aca="false">-H23+H27-H28+H32</f>
        <v>67175.9628966208</v>
      </c>
      <c r="I50" s="5" t="n">
        <f aca="false">-I23+I27-I28+I32</f>
        <v>71291.4772197583</v>
      </c>
      <c r="J50" s="5" t="n">
        <f aca="false">-J23+J27-J28+J32</f>
        <v>69910.0952920208</v>
      </c>
      <c r="K50" s="5" t="n">
        <f aca="false">-K23+K27-K28+K32</f>
        <v>85531.8009833333</v>
      </c>
    </row>
    <row r="51" customFormat="false" ht="12.75" hidden="false" customHeight="false" outlineLevel="0" collapsed="false">
      <c r="A51" s="0" t="s">
        <v>61</v>
      </c>
      <c r="D51" s="5" t="n">
        <f aca="false">-D23+D27-D28+D32-D29</f>
        <v>27744.6940151747</v>
      </c>
      <c r="E51" s="5" t="n">
        <f aca="false">-E23+E27-E28+E32-E29</f>
        <v>26957.6135122508</v>
      </c>
      <c r="F51" s="5" t="n">
        <f aca="false">-F23+F27-F28+F32-F29</f>
        <v>26034.0509567334</v>
      </c>
      <c r="G51" s="5" t="n">
        <f aca="false">-G23+G27-G28+G32-G29</f>
        <v>-17562.6118331167</v>
      </c>
      <c r="H51" s="5" t="n">
        <f aca="false">-H23+H27-H28+H32-H29</f>
        <v>-16897.8366631292</v>
      </c>
      <c r="I51" s="5" t="n">
        <f aca="false">-I23+I27-I28+I32-I29</f>
        <v>6675.88827800834</v>
      </c>
      <c r="J51" s="5" t="n">
        <f aca="false">-J23+J27-J28+J32-J29</f>
        <v>22669.2554631458</v>
      </c>
      <c r="K51" s="5" t="n">
        <f aca="false">-K23+K27-K28+K32-K29</f>
        <v>85531.8009833333</v>
      </c>
    </row>
    <row r="53" customFormat="false" ht="12.75" hidden="false" customHeight="false" outlineLevel="0" collapsed="false">
      <c r="A53" s="0" t="s">
        <v>62</v>
      </c>
      <c r="D53" s="5" t="n">
        <f aca="false">+D48*2.44-D50</f>
        <v>250468.574282292</v>
      </c>
      <c r="E53" s="5" t="n">
        <f aca="false">+E48*2.44-E50</f>
        <v>267441.525741431</v>
      </c>
      <c r="F53" s="5" t="n">
        <f aca="false">+F48*2.44-F50</f>
        <v>218376.620373585</v>
      </c>
      <c r="G53" s="5" t="n">
        <f aca="false">+G48*2.44-G50</f>
        <v>249678.798327009</v>
      </c>
      <c r="H53" s="5" t="n">
        <f aca="false">+H48*2.44-H50</f>
        <v>214530.317407526</v>
      </c>
      <c r="I53" s="5" t="n">
        <f aca="false">+I48*2.44-I50</f>
        <v>224543.137458167</v>
      </c>
      <c r="J53" s="5" t="n">
        <f aca="false">+J48*2.44-J50</f>
        <v>198788.940215071</v>
      </c>
      <c r="K53" s="5" t="n">
        <f aca="false">+K48*2.44-K50</f>
        <v>113584.762015695</v>
      </c>
    </row>
    <row r="54" customFormat="false" ht="12.75" hidden="false" customHeight="false" outlineLevel="0" collapsed="false">
      <c r="A54" s="0" t="s">
        <v>63</v>
      </c>
      <c r="D54" s="5" t="n">
        <f aca="false">+D48*2.44-D51</f>
        <v>250468.574282292</v>
      </c>
      <c r="E54" s="5" t="n">
        <f aca="false">+E48*2.44-E51</f>
        <v>267441.525741431</v>
      </c>
      <c r="F54" s="5" t="n">
        <f aca="false">+F48*2.44-F51</f>
        <v>264352.299415185</v>
      </c>
      <c r="G54" s="5" t="n">
        <f aca="false">+G48*2.44-G51</f>
        <v>333488.629913259</v>
      </c>
      <c r="H54" s="5" t="n">
        <f aca="false">+H48*2.44-H51</f>
        <v>298604.116967276</v>
      </c>
      <c r="I54" s="5" t="n">
        <f aca="false">+I48*2.44-I51</f>
        <v>289158.726399917</v>
      </c>
      <c r="J54" s="5" t="n">
        <f aca="false">+J48*2.44-J51</f>
        <v>246029.780043946</v>
      </c>
      <c r="K54" s="5" t="n">
        <f aca="false">+K48*2.44-K51</f>
        <v>113584.762015695</v>
      </c>
    </row>
    <row r="56" customFormat="false" ht="12.75" hidden="false" customHeight="false" outlineLevel="0" collapsed="false">
      <c r="A56" s="0" t="s">
        <v>64</v>
      </c>
      <c r="D56" s="12" t="n">
        <v>23779.97</v>
      </c>
      <c r="E56" s="5" t="n">
        <f aca="false">+D56</f>
        <v>23779.97</v>
      </c>
      <c r="F56" s="5" t="n">
        <f aca="false">+E56</f>
        <v>23779.97</v>
      </c>
      <c r="G56" s="5" t="n">
        <f aca="false">+F56</f>
        <v>23779.97</v>
      </c>
      <c r="H56" s="5" t="n">
        <f aca="false">+G56</f>
        <v>23779.97</v>
      </c>
      <c r="I56" s="5" t="n">
        <f aca="false">+H56</f>
        <v>23779.97</v>
      </c>
      <c r="J56" s="5" t="n">
        <f aca="false">+I56</f>
        <v>23779.97</v>
      </c>
      <c r="K56" s="5" t="n">
        <f aca="false">+J56</f>
        <v>23779.97</v>
      </c>
    </row>
    <row r="58" customFormat="false" ht="12.75" hidden="false" customHeight="false" outlineLevel="0" collapsed="false">
      <c r="A58" s="0" t="s">
        <v>65</v>
      </c>
      <c r="D58" s="32" t="n">
        <f aca="false">(+D53-D56)/D42</f>
        <v>0.0535715376164103</v>
      </c>
      <c r="E58" s="32" t="n">
        <f aca="false">(+E53-E56)/E42</f>
        <v>0.0478009291638992</v>
      </c>
      <c r="F58" s="32" t="n">
        <f aca="false">(+F53-F56)/F42</f>
        <v>0.0398539286130502</v>
      </c>
      <c r="G58" s="32" t="n">
        <f aca="false">(+G53-G56)/G42</f>
        <v>0.036149208886224</v>
      </c>
      <c r="H58" s="32" t="n">
        <f aca="false">(+H53-H56)/H42</f>
        <v>0.0431720006508099</v>
      </c>
      <c r="I58" s="32" t="n">
        <f aca="false">(+I53-I56)/I42</f>
        <v>0.0388006781813536</v>
      </c>
      <c r="J58" s="32" t="n">
        <f aca="false">(+J53-J56)/J42</f>
        <v>0.0470135741957252</v>
      </c>
      <c r="K58" s="32" t="e">
        <f aca="false">(+K53-K56)/K42</f>
        <v>#DIV/0!</v>
      </c>
    </row>
    <row r="59" customFormat="false" ht="12.75" hidden="false" customHeight="false" outlineLevel="0" collapsed="false">
      <c r="A59" s="0" t="s">
        <v>66</v>
      </c>
      <c r="D59" s="32" t="n">
        <f aca="false">(+D54-D56)/D42</f>
        <v>0.0535715376164103</v>
      </c>
      <c r="E59" s="32" t="n">
        <f aca="false">(+E54-E56)/E42</f>
        <v>0.0478009291638992</v>
      </c>
      <c r="F59" s="32" t="n">
        <f aca="false">(+F54-F56)/F42</f>
        <v>0.0492698739900275</v>
      </c>
      <c r="G59" s="32" t="n">
        <f aca="false">(+G54-G56)/G42</f>
        <v>0.0495607840199599</v>
      </c>
      <c r="H59" s="32" t="n">
        <f aca="false">(+H54-H56)/H42</f>
        <v>0.0622001920991595</v>
      </c>
      <c r="I59" s="32" t="n">
        <f aca="false">(+I54-I56)/I42</f>
        <v>0.0512886693989154</v>
      </c>
      <c r="J59" s="32" t="n">
        <f aca="false">(+J54-J56)/J42</f>
        <v>0.059704127860682</v>
      </c>
      <c r="K59" s="32" t="e">
        <f aca="false">(+K54-K56)/K42</f>
        <v>#DIV/0!</v>
      </c>
    </row>
    <row r="61" customFormat="false" ht="12.75" hidden="false" customHeight="false" outlineLevel="0" collapsed="false">
      <c r="A61" s="0" t="s">
        <v>67</v>
      </c>
      <c r="D61" s="32" t="n">
        <f aca="false">171607.49/D42</f>
        <v>0.0405546504417334</v>
      </c>
      <c r="E61" s="32" t="n">
        <f aca="false">148188.29/E42</f>
        <v>0.0290712169659061</v>
      </c>
      <c r="F61" s="32" t="n">
        <f aca="false">163800.31/F42</f>
        <v>0.0335467534975701</v>
      </c>
      <c r="G61" s="32" t="n">
        <f aca="false">234573.85/G42</f>
        <v>0.0375374195859958</v>
      </c>
      <c r="H61" s="32" t="n">
        <f aca="false">209394.93/H42</f>
        <v>0.047391777666978</v>
      </c>
      <c r="I61" s="32" t="n">
        <f aca="false">202386.02/I42</f>
        <v>0.0391143202702321</v>
      </c>
      <c r="J61" s="32" t="n">
        <f aca="false">154927.01/J42</f>
        <v>0.0416188522828622</v>
      </c>
    </row>
    <row r="63" customFormat="false" ht="12.75" hidden="false" customHeight="false" outlineLevel="0" collapsed="false">
      <c r="A63" s="12" t="s">
        <v>68</v>
      </c>
      <c r="B63" s="12"/>
      <c r="C63" s="12"/>
      <c r="D63" s="12" t="n">
        <v>2.31</v>
      </c>
      <c r="E63" s="12" t="n">
        <v>4.09</v>
      </c>
      <c r="F63" s="12" t="n">
        <v>3.85</v>
      </c>
      <c r="G63" s="12" t="n">
        <v>4</v>
      </c>
      <c r="H63" s="12" t="n">
        <v>4.64</v>
      </c>
      <c r="I63" s="12"/>
      <c r="J63" s="12"/>
      <c r="K63" s="12"/>
      <c r="L63" s="12"/>
    </row>
    <row r="65" customFormat="false" ht="12.75" hidden="false" customHeight="false" outlineLevel="0" collapsed="false">
      <c r="A65" s="0" t="s">
        <v>69</v>
      </c>
      <c r="D65" s="5" t="n">
        <f aca="false">+D48*D63-D50</f>
        <v>235645.736217263</v>
      </c>
      <c r="E65" s="5" t="n">
        <f aca="false">+E48*E63-E50</f>
        <v>466522.910892486</v>
      </c>
      <c r="F65" s="5" t="n">
        <f aca="false">+F48*F63-F50</f>
        <v>386181.847432767</v>
      </c>
      <c r="G65" s="5" t="n">
        <f aca="false">+G48*G63-G50</f>
        <v>451664.28529628</v>
      </c>
      <c r="H65" s="5" t="n">
        <f aca="false">+H48*H63-H50</f>
        <v>468527.783255528</v>
      </c>
      <c r="I65" s="5" t="n">
        <f aca="false">+I48*I63-I50</f>
        <v>-71291.4772197583</v>
      </c>
      <c r="J65" s="5" t="n">
        <f aca="false">+J48*J63-J50</f>
        <v>-69910.0952920208</v>
      </c>
      <c r="K65" s="5" t="n">
        <f aca="false">+K48*K63-K50</f>
        <v>-85531.8009833333</v>
      </c>
    </row>
    <row r="66" customFormat="false" ht="12.75" hidden="false" customHeight="false" outlineLevel="0" collapsed="false">
      <c r="A66" s="0" t="s">
        <v>70</v>
      </c>
      <c r="D66" s="33" t="n">
        <f aca="false">+D63*D48-D51</f>
        <v>235645.736217263</v>
      </c>
      <c r="E66" s="33" t="n">
        <f aca="false">+E63*E48-E51</f>
        <v>466522.910892486</v>
      </c>
      <c r="F66" s="33" t="n">
        <f aca="false">+F63*F48-F51</f>
        <v>432157.526474367</v>
      </c>
      <c r="G66" s="33" t="n">
        <f aca="false">+G63*G48-G51</f>
        <v>535474.11688253</v>
      </c>
      <c r="H66" s="33" t="n">
        <f aca="false">+H63*H48-H51</f>
        <v>552601.582815278</v>
      </c>
      <c r="I66" s="33" t="n">
        <f aca="false">+I63*I48-I51</f>
        <v>-6675.88827800834</v>
      </c>
      <c r="J66" s="33" t="n">
        <f aca="false">+J63*J48-J51</f>
        <v>-22669.2554631458</v>
      </c>
      <c r="K66" s="33" t="n">
        <f aca="false">+K63*K48-K51</f>
        <v>-85531.8009833333</v>
      </c>
    </row>
    <row r="68" customFormat="false" ht="12.75" hidden="false" customHeight="false" outlineLevel="0" collapsed="false">
      <c r="A68" s="0" t="s">
        <v>65</v>
      </c>
      <c r="D68" s="32" t="n">
        <f aca="false">(+D65-D56)/D42</f>
        <v>0.0500685727033889</v>
      </c>
      <c r="E68" s="32" t="n">
        <f aca="false">(+E65-E56)/E42</f>
        <v>0.0868562292932107</v>
      </c>
      <c r="F68" s="32" t="n">
        <f aca="false">(+F65-F56)/F42</f>
        <v>0.0742209001270734</v>
      </c>
      <c r="G68" s="32" t="n">
        <f aca="false">(+G65-G56)/G42</f>
        <v>0.068471711904558</v>
      </c>
      <c r="H68" s="32" t="n">
        <f aca="false">(+H65-H56)/H42</f>
        <v>0.100658547385463</v>
      </c>
      <c r="I68" s="32" t="n">
        <f aca="false">(+I65-I56)/I42</f>
        <v>-0.0183740706749809</v>
      </c>
      <c r="J68" s="32" t="n">
        <f aca="false">(+J65-J56)/J42</f>
        <v>-0.0251684518261879</v>
      </c>
      <c r="K68" s="32" t="e">
        <f aca="false">(+K65-K56)/K42</f>
        <v>#DIV/0!</v>
      </c>
    </row>
    <row r="69" customFormat="false" ht="12.75" hidden="false" customHeight="false" outlineLevel="0" collapsed="false">
      <c r="A69" s="0" t="s">
        <v>66</v>
      </c>
      <c r="D69" s="32" t="n">
        <f aca="false">(+D66-D56)/D42</f>
        <v>0.0500685727033889</v>
      </c>
      <c r="E69" s="32" t="n">
        <f aca="false">(+E66-E56)/E42</f>
        <v>0.0868562292932107</v>
      </c>
      <c r="F69" s="32" t="n">
        <f aca="false">(+F66-F56)/F42</f>
        <v>0.0836368455040508</v>
      </c>
      <c r="G69" s="32" t="n">
        <f aca="false">(+G66-G56)/G42</f>
        <v>0.0818832870382939</v>
      </c>
      <c r="H69" s="32" t="n">
        <f aca="false">(+H66-H56)/H42</f>
        <v>0.119686738833812</v>
      </c>
      <c r="I69" s="32" t="n">
        <f aca="false">(+I66-I56)/I42</f>
        <v>-0.00588607945741914</v>
      </c>
      <c r="J69" s="32" t="n">
        <f aca="false">(+J66-J56)/J42</f>
        <v>-0.0124778981612311</v>
      </c>
      <c r="K69" s="32" t="e">
        <f aca="false">(+K66-K56)/K42</f>
        <v>#DIV/0!</v>
      </c>
    </row>
  </sheetData>
  <printOptions headings="false" gridLines="false" gridLinesSet="true" horizontalCentered="false" verticalCentered="false"/>
  <pageMargins left="0.25" right="0.240277777777778" top="0.509722222222222" bottom="0.509722222222222" header="0.511811023622047" footer="0.511811023622047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71"/>
    <col collapsed="false" customWidth="true" hidden="false" outlineLevel="0" max="4" min="4" style="0" width="13.7"/>
  </cols>
  <sheetData>
    <row r="3" customFormat="false" ht="12.75" hidden="false" customHeight="false" outlineLevel="0" collapsed="false">
      <c r="B3" s="0" t="n">
        <v>0.01762</v>
      </c>
      <c r="C3" s="0" t="n">
        <f aca="false">((B3*(1+0.005%))*(1+5.875%))</f>
        <v>0.01865610775875</v>
      </c>
      <c r="D3" s="0" t="n">
        <v>0.0187</v>
      </c>
    </row>
    <row r="4" customFormat="false" ht="12.75" hidden="false" customHeight="false" outlineLevel="0" collapsed="false">
      <c r="C4" s="0" t="n">
        <v>1.341</v>
      </c>
      <c r="D4" s="0" t="n">
        <v>1.341</v>
      </c>
    </row>
    <row r="5" customFormat="false" ht="12.75" hidden="false" customHeight="false" outlineLevel="0" collapsed="false">
      <c r="C5" s="0" t="n">
        <f aca="false">+C3/C4</f>
        <v>0.0139120863227069</v>
      </c>
      <c r="D5" s="0" t="n">
        <f aca="false">+D3/D4</f>
        <v>0.013944817300522</v>
      </c>
    </row>
    <row r="6" customFormat="false" ht="12.75" hidden="false" customHeight="false" outlineLevel="0" collapsed="false">
      <c r="C6" s="12" t="n">
        <v>3</v>
      </c>
      <c r="D6" s="34" t="n">
        <v>2.4391</v>
      </c>
    </row>
    <row r="7" customFormat="false" ht="12.75" hidden="false" customHeight="false" outlineLevel="0" collapsed="false">
      <c r="C7" s="35" t="n">
        <f aca="false">+C5/C6</f>
        <v>0.00463736210756898</v>
      </c>
      <c r="D7" s="36" t="n">
        <f aca="false">+D5/D6</f>
        <v>0.00571719786008036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2001-01-16T18:16:49Z</dcterms:created>
  <dc:creator>James Centilli</dc:creator>
  <dc:description/>
  <dc:language>en-US</dc:language>
  <cp:lastModifiedBy>James Centilli</cp:lastModifiedBy>
  <cp:lastPrinted>2001-02-14T14:00:22Z</cp:lastPrinted>
  <cp:revision>0</cp:revision>
  <dc:subject/>
  <dc:title/>
</cp:coreProperties>
</file>