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and 2001 Summary" sheetId="1" state="visible" r:id="rId3"/>
    <sheet name="Jan 2000" sheetId="2" state="visible" r:id="rId4"/>
    <sheet name="Feb 2000" sheetId="3" state="visible" r:id="rId5"/>
    <sheet name="Mar 2000" sheetId="4" state="visible" r:id="rId6"/>
    <sheet name="Apr 2000" sheetId="5" state="visible" r:id="rId7"/>
    <sheet name="May 2000" sheetId="6" state="visible" r:id="rId8"/>
    <sheet name="June 2000" sheetId="7" state="visible" r:id="rId9"/>
    <sheet name="July 2000" sheetId="8" state="visible" r:id="rId10"/>
    <sheet name="Aug 2000" sheetId="9" state="visible" r:id="rId11"/>
    <sheet name="Sept 2000" sheetId="10" state="visible" r:id="rId12"/>
    <sheet name="Oct 2000" sheetId="11" state="visible" r:id="rId13"/>
    <sheet name="Nov 2000" sheetId="12" state="visible" r:id="rId14"/>
    <sheet name="Dec 2000" sheetId="13" state="visible" r:id="rId15"/>
    <sheet name="Jan 2001" sheetId="14" state="visible" r:id="rId16"/>
    <sheet name="Feb 2001" sheetId="15" state="visible" r:id="rId17"/>
    <sheet name="Mar 2001" sheetId="16" state="visible" r:id="rId18"/>
    <sheet name="Apr 2001" sheetId="17" state="visible" r:id="rId19"/>
    <sheet name="May 2001" sheetId="18" state="visible" r:id="rId20"/>
    <sheet name="June 2001" sheetId="19" state="visible" r:id="rId21"/>
    <sheet name="July 2001" sheetId="20" state="visible" r:id="rId22"/>
    <sheet name="Sheet2" sheetId="21" state="visible" r:id="rId23"/>
    <sheet name="Sheet3" sheetId="22" state="visible" r:id="rId2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<sst xmlns="http://schemas.openxmlformats.org/spreadsheetml/2006/main" count="696" uniqueCount="38">
  <si>
    <t xml:space="preserve">NNG GPM contracts 101021 and 101073 Recalculations</t>
  </si>
  <si>
    <t xml:space="preserve">EPPI Contract</t>
  </si>
  <si>
    <t xml:space="preserve">Amounts</t>
  </si>
  <si>
    <t xml:space="preserve">Amounts </t>
  </si>
  <si>
    <t xml:space="preserve">Above 4.45%</t>
  </si>
  <si>
    <t xml:space="preserve">Under 4.45%</t>
  </si>
  <si>
    <t xml:space="preserve">Total for 2000</t>
  </si>
  <si>
    <t xml:space="preserve">Total for 2001</t>
  </si>
  <si>
    <t xml:space="preserve">Total due from EPPI</t>
  </si>
  <si>
    <t xml:space="preserve">Total due to NNG</t>
  </si>
  <si>
    <t xml:space="preserve">Total Payment due Oneok</t>
  </si>
  <si>
    <t xml:space="preserve">Oneok Invoice amounts</t>
  </si>
  <si>
    <t xml:space="preserve">KN Processing</t>
  </si>
  <si>
    <t xml:space="preserve">GPM Agency Agreement</t>
  </si>
  <si>
    <t xml:space="preserve">Prepared by Dan Fancler</t>
  </si>
  <si>
    <t xml:space="preserve">Bushton Plant</t>
  </si>
  <si>
    <t xml:space="preserve">TFDV Volume &amp; Dollar Calculation</t>
  </si>
  <si>
    <t xml:space="preserve">For</t>
  </si>
  <si>
    <t xml:space="preserve">Contract #101021</t>
  </si>
  <si>
    <t xml:space="preserve">NNG Numbers</t>
  </si>
  <si>
    <t xml:space="preserve">Oneok Numbers</t>
  </si>
  <si>
    <t xml:space="preserve">Difference</t>
  </si>
  <si>
    <t xml:space="preserve">Total Deliveries</t>
  </si>
  <si>
    <t xml:space="preserve">Deliveries to Inlet</t>
  </si>
  <si>
    <t xml:space="preserve">Deliveries to PVR</t>
  </si>
  <si>
    <t xml:space="preserve">Non-Fuel Deliveries</t>
  </si>
  <si>
    <t xml:space="preserve">Fuel Retention</t>
  </si>
  <si>
    <t xml:space="preserve">Total Receipts</t>
  </si>
  <si>
    <t xml:space="preserve">GPM Fuel</t>
  </si>
  <si>
    <t xml:space="preserve">Less Fuel Retained</t>
  </si>
  <si>
    <t xml:space="preserve">Transport Revenue Volumes Remaining</t>
  </si>
  <si>
    <t xml:space="preserve">Contract #101073</t>
  </si>
  <si>
    <t xml:space="preserve">Total Both Contracts</t>
  </si>
  <si>
    <t xml:space="preserve">Index</t>
  </si>
  <si>
    <t xml:space="preserve">Total Revenue Due</t>
  </si>
  <si>
    <t xml:space="preserve">Total Revenue Billed</t>
  </si>
  <si>
    <t xml:space="preserve">Amount Due NNG (GPM)</t>
  </si>
  <si>
    <t xml:space="preserve">Charge given by NNG on prior reconciliation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</si>
</sst>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_(\$* #,##0.00_);_(\$* \(#,##0.00\);_(\$* \-??_);_(@_)"/>
    <numFmt numFmtId="167" formatCode="_(* #,##0.00_);_(* \(#,##0.00\);_(* \-??_);_(@_)"/>
    <numFmt numFmtId="168" formatCode="_(* #,##0_);_(* \(#,##0\);_(* \-??_);_(@_)"/>
    <numFmt numFmtId="169" formatCode="mmmm\-yy"/>
    <numFmt numFmtId="170" formatCode="0%"/>
    <numFmt numFmtId="171" formatCode="0.00%"/>
    <numFmt numFmtId="172" formatCode="_(\$* #,##0.0000_);_(\$* \(#,##0.0000\);_(\$* \-??_);_(@_)"/>
    <numFmt numFmtId="173" formatCode="_(\$* #,##0.00000_);_(\$* \(#,##0.000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15.13"/>
    <col collapsed="false" customWidth="true" hidden="false" outlineLevel="0" max="3" min="3" style="0" width="12.85"/>
    <col collapsed="false" customWidth="false" hidden="true" outlineLevel="0" max="4" min="4" style="0" width="9.0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4" customFormat="false" ht="12" hidden="false" customHeight="true" outlineLevel="0" collapsed="false">
      <c r="B4" s="1" t="s">
        <v>2</v>
      </c>
      <c r="C4" s="1" t="s">
        <v>3</v>
      </c>
    </row>
    <row r="5" customFormat="false" ht="12.75" hidden="false" customHeight="false" outlineLevel="0" collapsed="false">
      <c r="B5" s="2" t="s">
        <v>4</v>
      </c>
      <c r="C5" s="2" t="s">
        <v>5</v>
      </c>
      <c r="D5" s="0" t="n">
        <v>101073</v>
      </c>
    </row>
    <row r="6" customFormat="false" ht="12.75" hidden="false" customHeight="false" outlineLevel="0" collapsed="false">
      <c r="A6" s="3" t="n">
        <v>36526</v>
      </c>
      <c r="C6" s="4" t="n">
        <f aca="false">+'Jan 2000'!E46</f>
        <v>9733.65742399997</v>
      </c>
    </row>
    <row r="7" customFormat="false" ht="12.75" hidden="false" customHeight="false" outlineLevel="0" collapsed="false">
      <c r="A7" s="3" t="n">
        <v>36557</v>
      </c>
      <c r="B7" s="4" t="n">
        <f aca="false">+'Feb 2000'!E46</f>
        <v>-13554.731468</v>
      </c>
      <c r="D7" s="0" t="n">
        <v>2865</v>
      </c>
    </row>
    <row r="8" customFormat="false" ht="12.75" hidden="false" customHeight="false" outlineLevel="0" collapsed="false">
      <c r="A8" s="3" t="n">
        <v>36586</v>
      </c>
      <c r="C8" s="4" t="n">
        <f aca="false">+'Mar 2000'!E46</f>
        <v>14449.94455325</v>
      </c>
    </row>
    <row r="9" customFormat="false" ht="12.75" hidden="false" customHeight="false" outlineLevel="0" collapsed="false">
      <c r="A9" s="3" t="n">
        <v>36617</v>
      </c>
      <c r="C9" s="4" t="n">
        <f aca="false">+'Apr 2000'!E46</f>
        <v>14868.792595</v>
      </c>
    </row>
    <row r="10" customFormat="false" ht="12.75" hidden="false" customHeight="false" outlineLevel="0" collapsed="false">
      <c r="A10" s="3" t="n">
        <v>36647</v>
      </c>
      <c r="C10" s="4" t="n">
        <f aca="false">+'May 2000'!E46</f>
        <v>19898.348065</v>
      </c>
    </row>
    <row r="11" customFormat="false" ht="12.75" hidden="false" customHeight="false" outlineLevel="0" collapsed="false">
      <c r="A11" s="3" t="n">
        <v>36678</v>
      </c>
      <c r="B11" s="4" t="n">
        <f aca="false">+'June 2000'!E46</f>
        <v>-23862.416172</v>
      </c>
      <c r="D11" s="0" t="n">
        <v>2060</v>
      </c>
    </row>
    <row r="12" customFormat="false" ht="12.75" hidden="false" customHeight="false" outlineLevel="0" collapsed="false">
      <c r="A12" s="3" t="n">
        <v>36708</v>
      </c>
      <c r="B12" s="4" t="n">
        <f aca="false">+'July 2000'!E46</f>
        <v>-15746.2062440001</v>
      </c>
    </row>
    <row r="13" customFormat="false" ht="12.75" hidden="false" customHeight="false" outlineLevel="0" collapsed="false">
      <c r="A13" s="3" t="n">
        <v>36739</v>
      </c>
      <c r="B13" s="4" t="n">
        <f aca="false">+'Aug 2000'!E46</f>
        <v>-27755.8826730001</v>
      </c>
      <c r="D13" s="0" t="n">
        <v>1047</v>
      </c>
    </row>
    <row r="14" customFormat="false" ht="12.75" hidden="false" customHeight="false" outlineLevel="0" collapsed="false">
      <c r="A14" s="3" t="n">
        <v>36770</v>
      </c>
      <c r="C14" s="4" t="n">
        <f aca="false">+'Sept 2000'!E46</f>
        <v>12283.6218734999</v>
      </c>
    </row>
    <row r="15" customFormat="false" ht="12.75" hidden="false" customHeight="false" outlineLevel="0" collapsed="false">
      <c r="A15" s="3" t="n">
        <v>36800</v>
      </c>
      <c r="C15" s="4" t="n">
        <f aca="false">+'Oct 2000'!E46</f>
        <v>21540.6276439999</v>
      </c>
    </row>
    <row r="16" customFormat="false" ht="12.75" hidden="false" customHeight="false" outlineLevel="0" collapsed="false">
      <c r="A16" s="3" t="n">
        <v>36831</v>
      </c>
      <c r="B16" s="4" t="n">
        <f aca="false">+'Nov 2000'!E46</f>
        <v>-17582.802945</v>
      </c>
    </row>
    <row r="17" customFormat="false" ht="12.75" hidden="false" customHeight="false" outlineLevel="0" collapsed="false">
      <c r="A17" s="3" t="n">
        <v>36861</v>
      </c>
      <c r="B17" s="4" t="n">
        <f aca="false">+'Dec 2000'!E46</f>
        <v>-17727.255762</v>
      </c>
      <c r="D17" s="0" t="n">
        <v>1731</v>
      </c>
    </row>
    <row r="19" customFormat="false" ht="13.5" hidden="false" customHeight="false" outlineLevel="0" collapsed="false">
      <c r="A19" s="3" t="s">
        <v>6</v>
      </c>
      <c r="B19" s="5" t="n">
        <f aca="false">SUM(B6:B18)</f>
        <v>-116229.295264</v>
      </c>
      <c r="C19" s="5" t="n">
        <f aca="false">SUM(C6:C18)</f>
        <v>92774.9921547498</v>
      </c>
    </row>
    <row r="20" customFormat="false" ht="13.5" hidden="false" customHeight="false" outlineLevel="0" collapsed="false"/>
    <row r="21" customFormat="false" ht="12.75" hidden="false" customHeight="false" outlineLevel="0" collapsed="false">
      <c r="A21" s="3" t="n">
        <v>36892</v>
      </c>
      <c r="B21" s="4" t="n">
        <f aca="false">+'Jan 2001'!E46</f>
        <v>-41068.521264</v>
      </c>
    </row>
    <row r="22" customFormat="false" ht="12.75" hidden="false" customHeight="false" outlineLevel="0" collapsed="false">
      <c r="A22" s="3" t="n">
        <v>36923</v>
      </c>
      <c r="B22" s="4" t="n">
        <f aca="false">+'Feb 2001'!E46</f>
        <v>-25941.368032</v>
      </c>
    </row>
    <row r="23" customFormat="false" ht="12.75" hidden="false" customHeight="false" outlineLevel="0" collapsed="false">
      <c r="A23" s="3" t="n">
        <v>36951</v>
      </c>
      <c r="B23" s="4" t="n">
        <f aca="false">+'Mar 2001'!E46</f>
        <v>-18933.95008</v>
      </c>
    </row>
    <row r="24" customFormat="false" ht="12.75" hidden="false" customHeight="false" outlineLevel="0" collapsed="false">
      <c r="A24" s="3" t="n">
        <v>36982</v>
      </c>
      <c r="B24" s="4" t="n">
        <f aca="false">+'Apr 2001'!E46</f>
        <v>-31099.4602605</v>
      </c>
    </row>
    <row r="25" customFormat="false" ht="12.75" hidden="false" customHeight="false" outlineLevel="0" collapsed="false">
      <c r="A25" s="3" t="n">
        <v>37012</v>
      </c>
      <c r="B25" s="4" t="n">
        <f aca="false">+'May 2001'!E46</f>
        <v>-17425.506359</v>
      </c>
    </row>
    <row r="26" customFormat="false" ht="12.75" hidden="false" customHeight="false" outlineLevel="0" collapsed="false">
      <c r="A26" s="3" t="n">
        <v>37043</v>
      </c>
      <c r="B26" s="4" t="n">
        <f aca="false">+'June 2001'!E46</f>
        <v>-46326.7754445</v>
      </c>
    </row>
    <row r="27" customFormat="false" ht="12.75" hidden="false" customHeight="false" outlineLevel="0" collapsed="false">
      <c r="A27" s="3" t="n">
        <v>37073</v>
      </c>
      <c r="B27" s="4" t="n">
        <f aca="false">+'July 2001'!E46</f>
        <v>-42133.814785</v>
      </c>
    </row>
    <row r="29" customFormat="false" ht="13.5" hidden="false" customHeight="false" outlineLevel="0" collapsed="false">
      <c r="A29" s="0" t="s">
        <v>7</v>
      </c>
      <c r="B29" s="5" t="n">
        <f aca="false">SUM(B21:B28)</f>
        <v>-222929.396225</v>
      </c>
    </row>
    <row r="30" customFormat="false" ht="13.5" hidden="false" customHeight="false" outlineLevel="0" collapsed="false"/>
    <row r="31" customFormat="false" ht="12.75" hidden="false" customHeight="false" outlineLevel="0" collapsed="false">
      <c r="A31" s="0" t="s">
        <v>8</v>
      </c>
      <c r="B31" s="4" t="n">
        <f aca="false">+B29+B19</f>
        <v>-339158.691489</v>
      </c>
    </row>
    <row r="32" customFormat="false" ht="12.75" hidden="false" customHeight="false" outlineLevel="0" collapsed="false">
      <c r="A32" s="0" t="s">
        <v>9</v>
      </c>
      <c r="C32" s="4" t="n">
        <f aca="false">+C19</f>
        <v>92774.9921547498</v>
      </c>
    </row>
    <row r="34" customFormat="false" ht="13.5" hidden="false" customHeight="false" outlineLevel="0" collapsed="false">
      <c r="A34" s="0" t="s">
        <v>10</v>
      </c>
      <c r="B34" s="5" t="n">
        <f aca="false">+B31+C32</f>
        <v>-246383.699334251</v>
      </c>
    </row>
    <row r="35" customFormat="false" ht="13.5" hidden="false" customHeight="false" outlineLevel="0" collapsed="false"/>
    <row r="36" customFormat="false" ht="12.75" hidden="false" customHeight="false" outlineLevel="0" collapsed="false">
      <c r="A36" s="0" t="s">
        <v>11</v>
      </c>
    </row>
    <row r="37" customFormat="false" ht="12.75" hidden="false" customHeight="false" outlineLevel="0" collapsed="false">
      <c r="A37" s="0" t="n">
        <v>2000</v>
      </c>
      <c r="B37" s="6" t="n">
        <v>79164.93</v>
      </c>
    </row>
    <row r="38" customFormat="false" ht="12.75" hidden="false" customHeight="false" outlineLevel="0" collapsed="false">
      <c r="A38" s="0" t="n">
        <v>2001</v>
      </c>
      <c r="B38" s="6" t="n">
        <v>222315.03</v>
      </c>
    </row>
    <row r="39" customFormat="false" ht="13.5" hidden="false" customHeight="false" outlineLevel="0" collapsed="false">
      <c r="B39" s="5" t="n">
        <f aca="false">+B37+B38</f>
        <v>301479.96</v>
      </c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36770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4318689</v>
      </c>
      <c r="H8" s="8" t="n">
        <v>4318689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4132083</v>
      </c>
      <c r="G9" s="8" t="n">
        <v>4132083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4132083</v>
      </c>
      <c r="H11" s="8" t="n">
        <f aca="false">SUM(G9:G10)</f>
        <v>4132083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186606</v>
      </c>
      <c r="H13" s="8" t="n">
        <f aca="false">+H8-H11</f>
        <v>186606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4319025</v>
      </c>
      <c r="G15" s="8" t="n">
        <v>4319025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192196.6125</v>
      </c>
      <c r="G16" s="13" t="n">
        <v>0.0445</v>
      </c>
      <c r="H16" s="8" t="n">
        <f aca="false">+G15*G16</f>
        <v>192196.6125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-186606</v>
      </c>
      <c r="H18" s="8" t="n">
        <f aca="false">-H13</f>
        <v>-186606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5590.61249999999</v>
      </c>
      <c r="H20" s="8" t="n">
        <f aca="false">+H16+H18</f>
        <v>5590.61249999999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951154</v>
      </c>
      <c r="H23" s="8" t="n">
        <v>1126308</v>
      </c>
      <c r="K23" s="8" t="n">
        <f aca="false">+E23-H23</f>
        <v>-175154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909135</v>
      </c>
      <c r="G25" s="8" t="n">
        <v>1077242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909135</v>
      </c>
      <c r="H26" s="8" t="n">
        <f aca="false">SUM(G24:G25)</f>
        <v>1077242</v>
      </c>
      <c r="K26" s="8" t="n">
        <f aca="false">+E26-H26</f>
        <v>-168107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42019</v>
      </c>
      <c r="H28" s="8" t="n">
        <f aca="false">+H23-H26</f>
        <v>49066</v>
      </c>
      <c r="K28" s="8" t="n">
        <f aca="false">+E28-H28</f>
        <v>-7047</v>
      </c>
    </row>
    <row r="30" customFormat="false" ht="12.75" hidden="false" customHeight="false" outlineLevel="0" collapsed="false">
      <c r="B30" s="8" t="s">
        <v>27</v>
      </c>
      <c r="D30" s="8" t="n">
        <v>1100338</v>
      </c>
      <c r="G30" s="8" t="n">
        <v>1100338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48965.041</v>
      </c>
      <c r="G31" s="13" t="n">
        <v>0.0445</v>
      </c>
      <c r="H31" s="8" t="n">
        <f aca="false">+G30*G31</f>
        <v>48965.041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-42019</v>
      </c>
      <c r="H33" s="8" t="n">
        <f aca="false">-H28</f>
        <v>-49066</v>
      </c>
      <c r="K33" s="8" t="n">
        <f aca="false">+E33-H33</f>
        <v>7047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6946.041</v>
      </c>
      <c r="H35" s="8" t="n">
        <f aca="false">+H31+H33</f>
        <v>-100.959000000003</v>
      </c>
      <c r="K35" s="8" t="n">
        <f aca="false">+E35-H35</f>
        <v>7047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12536.6535</v>
      </c>
      <c r="H37" s="8" t="n">
        <f aca="false">+H35+H20</f>
        <v>5489.65349999999</v>
      </c>
      <c r="K37" s="8" t="n">
        <f aca="false">+E37-H37</f>
        <v>7047</v>
      </c>
    </row>
    <row r="39" customFormat="false" ht="12.75" hidden="false" customHeight="false" outlineLevel="0" collapsed="false">
      <c r="C39" s="8" t="s">
        <v>33</v>
      </c>
      <c r="E39" s="14" t="n">
        <v>4.921</v>
      </c>
      <c r="H39" s="14" t="n">
        <v>4.9215</v>
      </c>
      <c r="K39" s="14" t="n">
        <f aca="false">+H39</f>
        <v>4.9215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61692.8718734999</v>
      </c>
      <c r="H41" s="6" t="n">
        <f aca="false">+H37*H39</f>
        <v>27017.3297002499</v>
      </c>
      <c r="K41" s="6" t="n">
        <f aca="false">+E41-H41</f>
        <v>34675.54217325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4132083</v>
      </c>
      <c r="E43" s="6" t="n">
        <v>40893.39</v>
      </c>
      <c r="F43" s="14" t="n">
        <f aca="false">+E43/D43</f>
        <v>0.00989655580490518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909135</v>
      </c>
      <c r="E44" s="6" t="n">
        <f aca="false">10148.16-1632.3</f>
        <v>8515.86</v>
      </c>
      <c r="F44" s="14" t="n">
        <f aca="false">+E44/D44</f>
        <v>0.00936699170090251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49409.25</v>
      </c>
      <c r="H45" s="16" t="n">
        <v>27020.76</v>
      </c>
      <c r="K45" s="16" t="n">
        <f aca="false">+E45-H45</f>
        <v>22388.49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12283.6218734999</v>
      </c>
      <c r="H46" s="6" t="n">
        <f aca="false">+H41-H45</f>
        <v>-3.43029975006721</v>
      </c>
      <c r="K46" s="8" t="n">
        <f aca="false">+E46-H46</f>
        <v>12287.05217325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12283.6218734999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36800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4462673</v>
      </c>
      <c r="H8" s="8" t="n">
        <v>4462674</v>
      </c>
      <c r="K8" s="8" t="n">
        <f aca="false">+E8-H8</f>
        <v>-1</v>
      </c>
    </row>
    <row r="9" customFormat="false" ht="12.75" hidden="false" customHeight="false" outlineLevel="0" collapsed="false">
      <c r="C9" s="8" t="s">
        <v>23</v>
      </c>
      <c r="D9" s="8" t="n">
        <v>4269638</v>
      </c>
      <c r="G9" s="8" t="n">
        <v>4269638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4269638</v>
      </c>
      <c r="H11" s="8" t="n">
        <f aca="false">SUM(G9:G10)</f>
        <v>4269638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193035</v>
      </c>
      <c r="H13" s="8" t="n">
        <f aca="false">+H8-H11</f>
        <v>193036</v>
      </c>
      <c r="K13" s="8" t="n">
        <f aca="false">+E13-H13</f>
        <v>-1</v>
      </c>
    </row>
    <row r="15" customFormat="false" ht="12.75" hidden="false" customHeight="false" outlineLevel="0" collapsed="false">
      <c r="B15" s="8" t="s">
        <v>27</v>
      </c>
      <c r="D15" s="8" t="n">
        <v>4462425</v>
      </c>
      <c r="G15" s="8" t="n">
        <v>4462425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198577.9125</v>
      </c>
      <c r="G16" s="13" t="n">
        <v>0.0445</v>
      </c>
      <c r="H16" s="8" t="n">
        <f aca="false">+G15*G16</f>
        <v>198577.9125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-193035</v>
      </c>
      <c r="H18" s="8" t="n">
        <f aca="false">-H13</f>
        <v>-193036</v>
      </c>
      <c r="K18" s="8" t="n">
        <f aca="false">+E18-H18</f>
        <v>1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5542.91249999998</v>
      </c>
      <c r="H20" s="8" t="n">
        <f aca="false">+H16+H18</f>
        <v>5541.91249999998</v>
      </c>
      <c r="K20" s="8" t="n">
        <f aca="false">+E20-H20</f>
        <v>1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981557</v>
      </c>
      <c r="H23" s="8" t="n">
        <v>1016669</v>
      </c>
      <c r="K23" s="8" t="n">
        <f aca="false">+E23-H23</f>
        <v>-35112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938753</v>
      </c>
      <c r="G25" s="8" t="n">
        <v>972433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938753</v>
      </c>
      <c r="H26" s="8" t="n">
        <f aca="false">SUM(G24:G25)</f>
        <v>972433</v>
      </c>
      <c r="K26" s="8" t="n">
        <f aca="false">+E26-H26</f>
        <v>-33680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42804</v>
      </c>
      <c r="H28" s="8" t="n">
        <f aca="false">+H23-H26</f>
        <v>44236</v>
      </c>
      <c r="K28" s="8" t="n">
        <f aca="false">+E28-H28</f>
        <v>-1432</v>
      </c>
    </row>
    <row r="30" customFormat="false" ht="12.75" hidden="false" customHeight="false" outlineLevel="0" collapsed="false">
      <c r="B30" s="8" t="s">
        <v>27</v>
      </c>
      <c r="D30" s="8" t="n">
        <v>1165853</v>
      </c>
      <c r="G30" s="8" t="n">
        <v>1165853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51880.4585</v>
      </c>
      <c r="G31" s="13" t="n">
        <v>0.0445</v>
      </c>
      <c r="H31" s="8" t="n">
        <f aca="false">+G30*G31</f>
        <v>51880.4585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-42804</v>
      </c>
      <c r="H33" s="8" t="n">
        <f aca="false">-H28</f>
        <v>-44236</v>
      </c>
      <c r="K33" s="8" t="n">
        <f aca="false">+E33-H33</f>
        <v>1432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9076.4585</v>
      </c>
      <c r="H35" s="8" t="n">
        <f aca="false">+H31+H33</f>
        <v>7644.4585</v>
      </c>
      <c r="K35" s="8" t="n">
        <f aca="false">+E35-H35</f>
        <v>1432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14619.371</v>
      </c>
      <c r="H37" s="8" t="n">
        <f aca="false">+H35+H20</f>
        <v>13186.371</v>
      </c>
      <c r="K37" s="8" t="n">
        <f aca="false">+E37-H37</f>
        <v>1433</v>
      </c>
    </row>
    <row r="39" customFormat="false" ht="12.75" hidden="false" customHeight="false" outlineLevel="0" collapsed="false">
      <c r="C39" s="8" t="s">
        <v>33</v>
      </c>
      <c r="E39" s="14" t="n">
        <v>4.964</v>
      </c>
      <c r="H39" s="14" t="n">
        <f aca="false">+E39</f>
        <v>4.964</v>
      </c>
      <c r="K39" s="14" t="n">
        <f aca="false">+H39</f>
        <v>4.964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72570.5576439999</v>
      </c>
      <c r="H41" s="6" t="n">
        <f aca="false">+H37*H39</f>
        <v>65457.1456439999</v>
      </c>
      <c r="K41" s="6" t="n">
        <f aca="false">+E41-H41</f>
        <v>7113.412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4269638</v>
      </c>
      <c r="E43" s="6" t="n">
        <f aca="false">64044.65-22069.49</f>
        <v>41975.16</v>
      </c>
      <c r="F43" s="14" t="n">
        <f aca="false">+E43/D43</f>
        <v>0.00983108169826107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938753</v>
      </c>
      <c r="E44" s="6" t="n">
        <f aca="false">22312.34-3537.28-9720.29</f>
        <v>9054.77</v>
      </c>
      <c r="F44" s="14" t="n">
        <f aca="false">+E44/D44</f>
        <v>0.00964552976128971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51029.93</v>
      </c>
      <c r="H45" s="16" t="n">
        <v>65457.74</v>
      </c>
      <c r="K45" s="16" t="n">
        <f aca="false">+E45-H45</f>
        <v>-14427.81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21540.6276439999</v>
      </c>
      <c r="H46" s="6" t="n">
        <f aca="false">+H41-H45</f>
        <v>-0.594356000103289</v>
      </c>
      <c r="K46" s="8" t="n">
        <f aca="false">+E46-H46</f>
        <v>21541.222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21540.6276439999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6" activeCellId="0" sqref="H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36831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4798045</v>
      </c>
      <c r="H8" s="8" t="n">
        <v>4798046</v>
      </c>
      <c r="K8" s="8" t="n">
        <f aca="false">+E8-H8</f>
        <v>-1</v>
      </c>
    </row>
    <row r="9" customFormat="false" ht="12.75" hidden="false" customHeight="false" outlineLevel="0" collapsed="false">
      <c r="C9" s="8" t="s">
        <v>23</v>
      </c>
      <c r="D9" s="8" t="n">
        <v>4589109</v>
      </c>
      <c r="G9" s="8" t="n">
        <v>4588981</v>
      </c>
      <c r="J9" s="8" t="n">
        <f aca="false">+D9-G9</f>
        <v>128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4589109</v>
      </c>
      <c r="H11" s="8" t="n">
        <f aca="false">SUM(G9:G10)</f>
        <v>4588981</v>
      </c>
      <c r="K11" s="8" t="n">
        <f aca="false">+E11-H11</f>
        <v>128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208936</v>
      </c>
      <c r="H13" s="8" t="n">
        <f aca="false">+H8-H11</f>
        <v>209065</v>
      </c>
      <c r="K13" s="8" t="n">
        <f aca="false">+E13-H13</f>
        <v>-129</v>
      </c>
    </row>
    <row r="15" customFormat="false" ht="12.75" hidden="false" customHeight="false" outlineLevel="0" collapsed="false">
      <c r="B15" s="8" t="s">
        <v>27</v>
      </c>
      <c r="D15" s="8" t="n">
        <v>4797912</v>
      </c>
      <c r="G15" s="8" t="n">
        <v>4797912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213507.084</v>
      </c>
      <c r="G16" s="13" t="n">
        <v>0.0445</v>
      </c>
      <c r="H16" s="8" t="n">
        <f aca="false">+G15*G16</f>
        <v>213507.084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-208936</v>
      </c>
      <c r="H18" s="8" t="n">
        <f aca="false">-H13</f>
        <v>-209065</v>
      </c>
      <c r="K18" s="8" t="n">
        <f aca="false">+E18-H18</f>
        <v>129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4571.084</v>
      </c>
      <c r="H20" s="8" t="n">
        <f aca="false">+H16+H18</f>
        <v>4442.084</v>
      </c>
      <c r="K20" s="8" t="n">
        <f aca="false">+E20-H20</f>
        <v>129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1086652</v>
      </c>
      <c r="H23" s="8" t="n">
        <v>908854</v>
      </c>
      <c r="K23" s="8" t="n">
        <f aca="false">+E23-H23</f>
        <v>177798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1040521</v>
      </c>
      <c r="G25" s="8" t="n">
        <v>870718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1040521</v>
      </c>
      <c r="H26" s="8" t="n">
        <f aca="false">SUM(G24:G25)</f>
        <v>870718</v>
      </c>
      <c r="K26" s="8" t="n">
        <f aca="false">+E26-H26</f>
        <v>169803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46131</v>
      </c>
      <c r="H28" s="8" t="n">
        <f aca="false">+H23-H26</f>
        <v>38136</v>
      </c>
      <c r="K28" s="8" t="n">
        <f aca="false">+E28-H28</f>
        <v>7995</v>
      </c>
    </row>
    <row r="30" customFormat="false" ht="12.75" hidden="false" customHeight="false" outlineLevel="0" collapsed="false">
      <c r="B30" s="8" t="s">
        <v>27</v>
      </c>
      <c r="D30" s="8" t="n">
        <v>1094019</v>
      </c>
      <c r="G30" s="8" t="n">
        <v>1094019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48683.8455</v>
      </c>
      <c r="G31" s="13" t="n">
        <v>0.0445</v>
      </c>
      <c r="H31" s="8" t="n">
        <f aca="false">+G30*G31</f>
        <v>48683.8455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-46131</v>
      </c>
      <c r="H33" s="8" t="n">
        <f aca="false">-H28</f>
        <v>-38136</v>
      </c>
      <c r="K33" s="8" t="n">
        <f aca="false">+E33-H33</f>
        <v>-7995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2552.8455</v>
      </c>
      <c r="H35" s="8" t="n">
        <f aca="false">+H31+H33</f>
        <v>10547.8455</v>
      </c>
      <c r="K35" s="8" t="n">
        <f aca="false">+E35-H35</f>
        <v>-7995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7123.9295</v>
      </c>
      <c r="H37" s="8" t="n">
        <f aca="false">+H35+H20</f>
        <v>14989.9295</v>
      </c>
      <c r="K37" s="8" t="n">
        <f aca="false">+E37-H37</f>
        <v>-7866</v>
      </c>
    </row>
    <row r="39" customFormat="false" ht="12.75" hidden="false" customHeight="false" outlineLevel="0" collapsed="false">
      <c r="C39" s="8" t="s">
        <v>33</v>
      </c>
      <c r="E39" s="14" t="n">
        <v>5.29</v>
      </c>
      <c r="H39" s="14" t="n">
        <f aca="false">+E39</f>
        <v>5.29</v>
      </c>
      <c r="K39" s="14" t="n">
        <f aca="false">+H39</f>
        <v>5.29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37685.587055</v>
      </c>
      <c r="H41" s="6" t="n">
        <f aca="false">+H37*H39</f>
        <v>79296.727055</v>
      </c>
      <c r="K41" s="6" t="n">
        <f aca="false">+E41-H41</f>
        <v>-41611.14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4589109</v>
      </c>
      <c r="E43" s="6" t="n">
        <f aca="false">68836.65-23813.81</f>
        <v>45022.84</v>
      </c>
      <c r="F43" s="14" t="n">
        <f aca="false">+E43/D43</f>
        <v>0.00981080205329618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1040521</v>
      </c>
      <c r="E44" s="6" t="n">
        <f aca="false">20951.64-10706.09</f>
        <v>10245.55</v>
      </c>
      <c r="F44" s="14" t="n">
        <f aca="false">+E44/D44</f>
        <v>0.00984655763795253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55268.39</v>
      </c>
      <c r="H45" s="16" t="n">
        <v>79209.32</v>
      </c>
      <c r="K45" s="16" t="n">
        <f aca="false">+E45-H45</f>
        <v>-23940.93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-17582.802945</v>
      </c>
      <c r="H46" s="6" t="n">
        <f aca="false">+H41-H45</f>
        <v>87.4070549999888</v>
      </c>
      <c r="K46" s="8" t="n">
        <f aca="false">+E46-H46</f>
        <v>-17670.21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-17582.802945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:H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36861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4386235</v>
      </c>
      <c r="H8" s="8" t="n">
        <v>4386233</v>
      </c>
      <c r="K8" s="8" t="n">
        <f aca="false">+E8-H8</f>
        <v>2</v>
      </c>
    </row>
    <row r="9" customFormat="false" ht="12.75" hidden="false" customHeight="false" outlineLevel="0" collapsed="false">
      <c r="C9" s="8" t="s">
        <v>23</v>
      </c>
      <c r="D9" s="8" t="n">
        <v>4196989</v>
      </c>
      <c r="G9" s="8" t="n">
        <v>4196989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4196989</v>
      </c>
      <c r="H11" s="8" t="n">
        <f aca="false">SUM(G9:G10)</f>
        <v>4196989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189246</v>
      </c>
      <c r="H13" s="8" t="n">
        <f aca="false">+H8-H11</f>
        <v>189244</v>
      </c>
      <c r="K13" s="8" t="n">
        <f aca="false">+E13-H13</f>
        <v>2</v>
      </c>
    </row>
    <row r="15" customFormat="false" ht="12.75" hidden="false" customHeight="false" outlineLevel="0" collapsed="false">
      <c r="B15" s="8" t="s">
        <v>27</v>
      </c>
      <c r="D15" s="8" t="n">
        <v>4385614</v>
      </c>
      <c r="G15" s="8" t="n">
        <v>4386238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195159.823</v>
      </c>
      <c r="G16" s="13" t="n">
        <v>0.0445</v>
      </c>
      <c r="H16" s="8" t="n">
        <f aca="false">+G15*G16</f>
        <v>195187.591</v>
      </c>
      <c r="K16" s="8" t="n">
        <f aca="false">+E16-H16</f>
        <v>-27.7679999999818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-189246</v>
      </c>
      <c r="H18" s="8" t="n">
        <f aca="false">-H13</f>
        <v>-189244</v>
      </c>
      <c r="K18" s="8" t="n">
        <f aca="false">+E18-H18</f>
        <v>-2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5913.823</v>
      </c>
      <c r="H20" s="8" t="n">
        <f aca="false">+H16+H18</f>
        <v>5943.59099999999</v>
      </c>
      <c r="K20" s="8" t="n">
        <f aca="false">+E20-H20</f>
        <v>-29.7679999999818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1014006</v>
      </c>
      <c r="H23" s="8" t="n">
        <v>965076</v>
      </c>
      <c r="K23" s="8" t="n">
        <f aca="false">+E23-H23</f>
        <v>48930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969129</v>
      </c>
      <c r="G25" s="8" t="n">
        <v>928428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969129</v>
      </c>
      <c r="H26" s="8" t="n">
        <f aca="false">SUM(G24:G25)</f>
        <v>928428</v>
      </c>
      <c r="K26" s="8" t="n">
        <f aca="false">+E26-H26</f>
        <v>40701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44877</v>
      </c>
      <c r="H28" s="8" t="n">
        <f aca="false">+H23-H26</f>
        <v>36648</v>
      </c>
      <c r="K28" s="8" t="n">
        <f aca="false">+E28-H28</f>
        <v>8229</v>
      </c>
    </row>
    <row r="30" customFormat="false" ht="12.75" hidden="false" customHeight="false" outlineLevel="0" collapsed="false">
      <c r="B30" s="8" t="s">
        <v>27</v>
      </c>
      <c r="D30" s="8" t="n">
        <v>971574</v>
      </c>
      <c r="G30" s="8" t="n">
        <v>971574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43235.043</v>
      </c>
      <c r="G31" s="13" t="n">
        <v>0.0445</v>
      </c>
      <c r="H31" s="8" t="n">
        <f aca="false">+G30*G31</f>
        <v>43235.043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-44877</v>
      </c>
      <c r="H33" s="8" t="n">
        <f aca="false">-H28</f>
        <v>-36648</v>
      </c>
      <c r="K33" s="8" t="n">
        <f aca="false">+E33-H33</f>
        <v>-8229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-1641.957</v>
      </c>
      <c r="H35" s="8" t="n">
        <f aca="false">+H31+H33</f>
        <v>6587.043</v>
      </c>
      <c r="K35" s="8" t="n">
        <f aca="false">+E35-H35</f>
        <v>-8229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4271.866</v>
      </c>
      <c r="H37" s="8" t="n">
        <f aca="false">+H35+H20</f>
        <v>12530.634</v>
      </c>
      <c r="K37" s="8" t="n">
        <f aca="false">+E37-H37</f>
        <v>-8258.76799999998</v>
      </c>
    </row>
    <row r="39" customFormat="false" ht="12.75" hidden="false" customHeight="false" outlineLevel="0" collapsed="false">
      <c r="C39" s="8" t="s">
        <v>33</v>
      </c>
      <c r="E39" s="14" t="n">
        <v>9.043</v>
      </c>
      <c r="H39" s="14" t="n">
        <v>9.2005</v>
      </c>
      <c r="K39" s="14" t="n">
        <f aca="false">+H39</f>
        <v>9.2005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38630.484238</v>
      </c>
      <c r="H41" s="6" t="n">
        <f aca="false">+H37*H39</f>
        <v>115288.098117</v>
      </c>
      <c r="K41" s="6" t="n">
        <f aca="false">+E41-H41</f>
        <v>-76657.6138789998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4196989</v>
      </c>
      <c r="E43" s="6" t="n">
        <v>45930.02</v>
      </c>
      <c r="F43" s="14" t="n">
        <f aca="false">+E43/D43</f>
        <v>0.0109435645411508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969129</v>
      </c>
      <c r="E44" s="6" t="n">
        <f aca="false">9943.38+484.34</f>
        <v>10427.72</v>
      </c>
      <c r="F44" s="14" t="n">
        <f aca="false">+E44/D44</f>
        <v>0.0107598885184532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56357.74</v>
      </c>
      <c r="H45" s="16" t="n">
        <v>115291.13</v>
      </c>
      <c r="K45" s="16" t="n">
        <f aca="false">+E45-H45</f>
        <v>-58933.39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-17727.255762</v>
      </c>
      <c r="H46" s="6" t="n">
        <f aca="false">+H41-H45</f>
        <v>-3.03188300016336</v>
      </c>
      <c r="K46" s="8" t="n">
        <f aca="false">+E46-H46</f>
        <v>-17724.2238789998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-17727.255762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36892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4492506</v>
      </c>
      <c r="H8" s="8" t="n">
        <v>3479050</v>
      </c>
      <c r="K8" s="8" t="n">
        <f aca="false">+E8-H8</f>
        <v>1013456</v>
      </c>
    </row>
    <row r="9" customFormat="false" ht="12.75" hidden="false" customHeight="false" outlineLevel="0" collapsed="false">
      <c r="C9" s="8" t="s">
        <v>23</v>
      </c>
      <c r="D9" s="8" t="n">
        <v>4297694</v>
      </c>
      <c r="G9" s="8" t="n">
        <v>3337210</v>
      </c>
      <c r="J9" s="8" t="n">
        <f aca="false">+D9-G9</f>
        <v>960484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4297694</v>
      </c>
      <c r="H11" s="8" t="n">
        <f aca="false">SUM(G9:G10)</f>
        <v>3337210</v>
      </c>
      <c r="K11" s="8" t="n">
        <f aca="false">+E11-H11</f>
        <v>960484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194812</v>
      </c>
      <c r="H13" s="8" t="n">
        <f aca="false">+H8-H11</f>
        <v>141840</v>
      </c>
      <c r="K13" s="8" t="n">
        <f aca="false">+E13-H13</f>
        <v>52972</v>
      </c>
    </row>
    <row r="15" customFormat="false" ht="12.75" hidden="false" customHeight="false" outlineLevel="0" collapsed="false">
      <c r="B15" s="8" t="s">
        <v>27</v>
      </c>
      <c r="D15" s="8" t="n">
        <v>4488758</v>
      </c>
      <c r="G15" s="8" t="n">
        <v>3479649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199749.731</v>
      </c>
      <c r="G16" s="13" t="n">
        <v>0.0445</v>
      </c>
      <c r="H16" s="8" t="n">
        <f aca="false">+G15*G16</f>
        <v>154844.3805</v>
      </c>
      <c r="K16" s="8" t="n">
        <f aca="false">+E16-H16</f>
        <v>44905.3505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-194812</v>
      </c>
      <c r="H18" s="8" t="n">
        <f aca="false">-H13</f>
        <v>-141840</v>
      </c>
      <c r="K18" s="8" t="n">
        <f aca="false">+E18-H18</f>
        <v>-52972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4937.731</v>
      </c>
      <c r="H20" s="8" t="n">
        <f aca="false">+H16+H18</f>
        <v>13004.3805</v>
      </c>
      <c r="K20" s="8" t="n">
        <f aca="false">+E20-H20</f>
        <v>-8066.6495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f aca="false">1108822-4163</f>
        <v>1104659</v>
      </c>
      <c r="H23" s="8" t="n">
        <v>1330289</v>
      </c>
      <c r="K23" s="8" t="n">
        <f aca="false">+E23-H23</f>
        <v>-225630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1056726</v>
      </c>
      <c r="G25" s="8" t="n">
        <v>1273566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1056726</v>
      </c>
      <c r="H26" s="8" t="n">
        <f aca="false">SUM(G24:G25)</f>
        <v>1273566</v>
      </c>
      <c r="K26" s="8" t="n">
        <f aca="false">+E26-H26</f>
        <v>-216840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47933</v>
      </c>
      <c r="H28" s="8" t="n">
        <f aca="false">+H23-H26</f>
        <v>56723</v>
      </c>
      <c r="K28" s="8" t="n">
        <f aca="false">+E28-H28</f>
        <v>-8790</v>
      </c>
    </row>
    <row r="30" customFormat="false" ht="12.75" hidden="false" customHeight="false" outlineLevel="0" collapsed="false">
      <c r="B30" s="8" t="s">
        <v>27</v>
      </c>
      <c r="D30" s="8" t="n">
        <v>1001370</v>
      </c>
      <c r="G30" s="8" t="n">
        <v>1319413</v>
      </c>
      <c r="J30" s="8" t="n">
        <f aca="false">+D30-G30</f>
        <v>-318043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44560.965</v>
      </c>
      <c r="G31" s="13" t="n">
        <v>0.0445</v>
      </c>
      <c r="H31" s="8" t="n">
        <f aca="false">+G30*G31</f>
        <v>58713.8785</v>
      </c>
      <c r="K31" s="8" t="n">
        <f aca="false">+E31-H31</f>
        <v>-14152.9135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-47933</v>
      </c>
      <c r="H33" s="8" t="n">
        <f aca="false">-H28</f>
        <v>-56723</v>
      </c>
      <c r="K33" s="8" t="n">
        <f aca="false">+E33-H33</f>
        <v>8790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-3372.035</v>
      </c>
      <c r="H35" s="8" t="n">
        <f aca="false">+H31+H33</f>
        <v>1990.8785</v>
      </c>
      <c r="K35" s="8" t="n">
        <f aca="false">+E35-H35</f>
        <v>-5362.9135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1565.696</v>
      </c>
      <c r="H37" s="8" t="n">
        <f aca="false">+H35+H20</f>
        <v>14995.259</v>
      </c>
      <c r="K37" s="8" t="n">
        <f aca="false">+E37-H37</f>
        <v>-13429.563</v>
      </c>
    </row>
    <row r="39" customFormat="false" ht="12.75" hidden="false" customHeight="false" outlineLevel="0" collapsed="false">
      <c r="C39" s="8" t="s">
        <v>33</v>
      </c>
      <c r="E39" s="14" t="n">
        <v>8.116</v>
      </c>
      <c r="H39" s="14" t="n">
        <f aca="false">+E39</f>
        <v>8.116</v>
      </c>
      <c r="K39" s="14" t="n">
        <f aca="false">+H39</f>
        <v>8.116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12707.188736</v>
      </c>
      <c r="H41" s="6" t="n">
        <f aca="false">+H37*H39</f>
        <v>121701.522044</v>
      </c>
      <c r="K41" s="6" t="n">
        <f aca="false">+E41-H41</f>
        <v>-108994.333308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4297694</v>
      </c>
      <c r="E43" s="6" t="n">
        <v>43102.85</v>
      </c>
      <c r="F43" s="14" t="n">
        <f aca="false">+E43/D43</f>
        <v>0.010029297106774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1056726</v>
      </c>
      <c r="E44" s="6" t="n">
        <f aca="false">9542.82+1130.04</f>
        <v>10672.86</v>
      </c>
      <c r="F44" s="14" t="n">
        <f aca="false">+E44/D44</f>
        <v>0.0100999312972332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53775.71</v>
      </c>
      <c r="H45" s="16" t="n">
        <v>45596.23</v>
      </c>
      <c r="K45" s="16" t="n">
        <f aca="false">+E45-H45</f>
        <v>8179.48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-41068.521264</v>
      </c>
      <c r="H46" s="6" t="n">
        <f aca="false">+H41-H45</f>
        <v>76105.292044</v>
      </c>
      <c r="K46" s="8" t="n">
        <f aca="false">+E46-H46</f>
        <v>-117173.813308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-41068.521264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36923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3901262</v>
      </c>
      <c r="H8" s="8" t="n">
        <v>3479050</v>
      </c>
      <c r="K8" s="8" t="n">
        <f aca="false">+E8-H8</f>
        <v>422212</v>
      </c>
    </row>
    <row r="9" customFormat="false" ht="12.75" hidden="false" customHeight="false" outlineLevel="0" collapsed="false">
      <c r="C9" s="8" t="s">
        <v>23</v>
      </c>
      <c r="D9" s="8" t="n">
        <v>3732395</v>
      </c>
      <c r="G9" s="8" t="n">
        <v>3337210</v>
      </c>
      <c r="J9" s="8" t="n">
        <f aca="false">+D9-G9</f>
        <v>395185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3732395</v>
      </c>
      <c r="H11" s="8" t="n">
        <f aca="false">SUM(G9:G10)</f>
        <v>3337210</v>
      </c>
      <c r="K11" s="8" t="n">
        <f aca="false">+E11-H11</f>
        <v>395185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168867</v>
      </c>
      <c r="H13" s="8" t="n">
        <f aca="false">+H8-H11</f>
        <v>141840</v>
      </c>
      <c r="K13" s="8" t="n">
        <f aca="false">+E13-H13</f>
        <v>27027</v>
      </c>
    </row>
    <row r="15" customFormat="false" ht="12.75" hidden="false" customHeight="false" outlineLevel="0" collapsed="false">
      <c r="B15" s="8" t="s">
        <v>27</v>
      </c>
      <c r="D15" s="8" t="n">
        <v>3897226</v>
      </c>
      <c r="G15" s="8" t="n">
        <v>3479649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173426.557</v>
      </c>
      <c r="G16" s="13" t="n">
        <v>0.0445</v>
      </c>
      <c r="H16" s="8" t="n">
        <f aca="false">+G15*G16</f>
        <v>154844.3805</v>
      </c>
      <c r="K16" s="8" t="n">
        <f aca="false">+E16-H16</f>
        <v>18582.1765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-168867</v>
      </c>
      <c r="H18" s="8" t="n">
        <f aca="false">-H13</f>
        <v>-141840</v>
      </c>
      <c r="K18" s="8" t="n">
        <f aca="false">+E18-H18</f>
        <v>-27027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4559.557</v>
      </c>
      <c r="H20" s="8" t="n">
        <f aca="false">+H16+H18</f>
        <v>13004.3805</v>
      </c>
      <c r="K20" s="8" t="n">
        <f aca="false">+E20-H20</f>
        <v>-8444.8235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878562</v>
      </c>
      <c r="H23" s="8" t="n">
        <v>1330289</v>
      </c>
      <c r="K23" s="8" t="n">
        <f aca="false">+E23-H23</f>
        <v>-451727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839676</v>
      </c>
      <c r="G25" s="8" t="n">
        <v>1273566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839676</v>
      </c>
      <c r="H26" s="8" t="n">
        <f aca="false">SUM(G24:G25)</f>
        <v>1273566</v>
      </c>
      <c r="K26" s="8" t="n">
        <f aca="false">+E26-H26</f>
        <v>-433890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38886</v>
      </c>
      <c r="H28" s="8" t="n">
        <f aca="false">+H23-H26</f>
        <v>56723</v>
      </c>
      <c r="K28" s="8" t="n">
        <f aca="false">+E28-H28</f>
        <v>-17837</v>
      </c>
    </row>
    <row r="30" customFormat="false" ht="12.75" hidden="false" customHeight="false" outlineLevel="0" collapsed="false">
      <c r="B30" s="8" t="s">
        <v>27</v>
      </c>
      <c r="D30" s="8" t="n">
        <v>846565</v>
      </c>
      <c r="G30" s="8" t="n">
        <v>1319413</v>
      </c>
      <c r="J30" s="8" t="n">
        <f aca="false">+D30-G30</f>
        <v>-472848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37672.1425</v>
      </c>
      <c r="G31" s="13" t="n">
        <v>0.0445</v>
      </c>
      <c r="H31" s="8" t="n">
        <f aca="false">+G30*G31</f>
        <v>58713.8785</v>
      </c>
      <c r="K31" s="8" t="n">
        <f aca="false">+E31-H31</f>
        <v>-21041.736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-38886</v>
      </c>
      <c r="H33" s="8" t="n">
        <f aca="false">-H28</f>
        <v>-56723</v>
      </c>
      <c r="K33" s="8" t="n">
        <f aca="false">+E33-H33</f>
        <v>17837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-1213.8575</v>
      </c>
      <c r="H35" s="8" t="n">
        <f aca="false">+H31+H33</f>
        <v>1990.8785</v>
      </c>
      <c r="K35" s="8" t="n">
        <f aca="false">+E35-H35</f>
        <v>-3204.736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3345.6995</v>
      </c>
      <c r="H37" s="8" t="n">
        <f aca="false">+H35+H20</f>
        <v>14995.259</v>
      </c>
      <c r="K37" s="8" t="n">
        <f aca="false">+E37-H37</f>
        <v>-11649.5595</v>
      </c>
    </row>
    <row r="39" customFormat="false" ht="12.75" hidden="false" customHeight="false" outlineLevel="0" collapsed="false">
      <c r="C39" s="8" t="s">
        <v>33</v>
      </c>
      <c r="E39" s="14" t="n">
        <v>5.664</v>
      </c>
      <c r="H39" s="14" t="n">
        <f aca="false">+E39</f>
        <v>5.664</v>
      </c>
      <c r="K39" s="14" t="n">
        <f aca="false">+H39</f>
        <v>5.664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18950.041968</v>
      </c>
      <c r="H41" s="6" t="n">
        <f aca="false">+H37*H39</f>
        <v>84933.146976</v>
      </c>
      <c r="K41" s="6" t="n">
        <f aca="false">+E41-H41</f>
        <v>-65983.105008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3732395</v>
      </c>
      <c r="E43" s="6" t="n">
        <v>36718.66</v>
      </c>
      <c r="F43" s="14" t="n">
        <f aca="false">+E43/D43</f>
        <v>0.0098378279898028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839676</v>
      </c>
      <c r="E44" s="6" t="n">
        <f aca="false">7822.68+350.07</f>
        <v>8172.75</v>
      </c>
      <c r="F44" s="14" t="n">
        <f aca="false">+E44/D44</f>
        <v>0.00973321852714618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44891.41</v>
      </c>
      <c r="H45" s="16" t="n">
        <v>45596.23</v>
      </c>
      <c r="K45" s="16" t="n">
        <f aca="false">+E45-H45</f>
        <v>-704.82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-25941.368032</v>
      </c>
      <c r="H46" s="6" t="n">
        <f aca="false">+H41-H45</f>
        <v>39336.916976</v>
      </c>
      <c r="K46" s="8" t="n">
        <f aca="false">+E46-H46</f>
        <v>-65278.285008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-25941.368032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36951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4432724</v>
      </c>
      <c r="H8" s="8" t="n">
        <v>3479050</v>
      </c>
      <c r="K8" s="8" t="n">
        <f aca="false">+E8-H8</f>
        <v>953674</v>
      </c>
    </row>
    <row r="9" customFormat="false" ht="12.75" hidden="false" customHeight="false" outlineLevel="0" collapsed="false">
      <c r="C9" s="8" t="s">
        <v>23</v>
      </c>
      <c r="D9" s="8" t="n">
        <v>4240963</v>
      </c>
      <c r="G9" s="8" t="n">
        <v>3337210</v>
      </c>
      <c r="J9" s="8" t="n">
        <f aca="false">+D9-G9</f>
        <v>903753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4240963</v>
      </c>
      <c r="H11" s="8" t="n">
        <f aca="false">SUM(G9:G10)</f>
        <v>3337210</v>
      </c>
      <c r="K11" s="8" t="n">
        <f aca="false">+E11-H11</f>
        <v>903753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191761</v>
      </c>
      <c r="H13" s="8" t="n">
        <f aca="false">+H8-H11</f>
        <v>141840</v>
      </c>
      <c r="K13" s="8" t="n">
        <f aca="false">+E13-H13</f>
        <v>49921</v>
      </c>
    </row>
    <row r="15" customFormat="false" ht="12.75" hidden="false" customHeight="false" outlineLevel="0" collapsed="false">
      <c r="B15" s="8" t="s">
        <v>27</v>
      </c>
      <c r="D15" s="8" t="n">
        <v>4421920</v>
      </c>
      <c r="G15" s="8" t="n">
        <v>3479649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196775.44</v>
      </c>
      <c r="G16" s="13" t="n">
        <v>0.0445</v>
      </c>
      <c r="H16" s="8" t="n">
        <f aca="false">+G15*G16</f>
        <v>154844.3805</v>
      </c>
      <c r="K16" s="8" t="n">
        <f aca="false">+E16-H16</f>
        <v>41931.0595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-191761</v>
      </c>
      <c r="H18" s="8" t="n">
        <f aca="false">-H13</f>
        <v>-141840</v>
      </c>
      <c r="K18" s="8" t="n">
        <f aca="false">+E18-H18</f>
        <v>-49921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5014.44</v>
      </c>
      <c r="H20" s="8" t="n">
        <f aca="false">+H16+H18</f>
        <v>13004.3805</v>
      </c>
      <c r="K20" s="8" t="n">
        <f aca="false">+E20-H20</f>
        <v>-7989.9405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973747</v>
      </c>
      <c r="H23" s="8" t="n">
        <v>1330289</v>
      </c>
      <c r="K23" s="8" t="n">
        <f aca="false">+E23-H23</f>
        <v>-356542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930564</v>
      </c>
      <c r="G25" s="8" t="n">
        <v>1273566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930564</v>
      </c>
      <c r="H26" s="8" t="n">
        <f aca="false">SUM(G24:G25)</f>
        <v>1273566</v>
      </c>
      <c r="K26" s="8" t="n">
        <f aca="false">+E26-H26</f>
        <v>-343002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43183</v>
      </c>
      <c r="H28" s="8" t="n">
        <f aca="false">+H23-H26</f>
        <v>56723</v>
      </c>
      <c r="K28" s="8" t="n">
        <f aca="false">+E28-H28</f>
        <v>-13540</v>
      </c>
    </row>
    <row r="30" customFormat="false" ht="12.75" hidden="false" customHeight="false" outlineLevel="0" collapsed="false">
      <c r="B30" s="8" t="s">
        <v>27</v>
      </c>
      <c r="D30" s="8" t="n">
        <v>998325</v>
      </c>
      <c r="G30" s="8" t="n">
        <v>1319413</v>
      </c>
      <c r="J30" s="8" t="n">
        <f aca="false">+D30-G30</f>
        <v>-321088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44425.4625</v>
      </c>
      <c r="G31" s="13" t="n">
        <v>0.0445</v>
      </c>
      <c r="H31" s="8" t="n">
        <f aca="false">+G30*G31</f>
        <v>58713.8785</v>
      </c>
      <c r="K31" s="8" t="n">
        <f aca="false">+E31-H31</f>
        <v>-14288.416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-43183</v>
      </c>
      <c r="H33" s="8" t="n">
        <f aca="false">-H28</f>
        <v>-56723</v>
      </c>
      <c r="K33" s="8" t="n">
        <f aca="false">+E33-H33</f>
        <v>13540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1242.4625</v>
      </c>
      <c r="H35" s="8" t="n">
        <f aca="false">+H31+H33</f>
        <v>1990.8785</v>
      </c>
      <c r="K35" s="8" t="n">
        <f aca="false">+E35-H35</f>
        <v>-748.415999999997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6256.9025</v>
      </c>
      <c r="H37" s="8" t="n">
        <f aca="false">+H35+H20</f>
        <v>14995.259</v>
      </c>
      <c r="K37" s="8" t="n">
        <f aca="false">+E37-H37</f>
        <v>-8738.35649999999</v>
      </c>
    </row>
    <row r="39" customFormat="false" ht="12.75" hidden="false" customHeight="false" outlineLevel="0" collapsed="false">
      <c r="C39" s="8" t="s">
        <v>33</v>
      </c>
      <c r="E39" s="14" t="n">
        <v>5.088</v>
      </c>
      <c r="H39" s="14" t="n">
        <f aca="false">+E39</f>
        <v>5.088</v>
      </c>
      <c r="K39" s="14" t="n">
        <f aca="false">+H39</f>
        <v>5.088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31835.11992</v>
      </c>
      <c r="H41" s="6" t="n">
        <f aca="false">+H37*H39</f>
        <v>76295.877792</v>
      </c>
      <c r="K41" s="6" t="n">
        <f aca="false">+E41-H41</f>
        <v>-44460.757872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4240963</v>
      </c>
      <c r="E43" s="6" t="n">
        <v>41741.61</v>
      </c>
      <c r="F43" s="14" t="n">
        <f aca="false">+E43/D43</f>
        <v>0.00984248388868283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930564</v>
      </c>
      <c r="E44" s="6" t="n">
        <f aca="false">9296.35-268.89</f>
        <v>9027.46</v>
      </c>
      <c r="F44" s="14" t="n">
        <f aca="false">+E44/D44</f>
        <v>0.00970106301124909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50769.07</v>
      </c>
      <c r="H45" s="16" t="n">
        <v>45596.23</v>
      </c>
      <c r="K45" s="16" t="n">
        <f aca="false">+E45-H45</f>
        <v>5172.84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-18933.95008</v>
      </c>
      <c r="H46" s="6" t="n">
        <f aca="false">+H41-H45</f>
        <v>30699.647792</v>
      </c>
      <c r="K46" s="8" t="n">
        <f aca="false">+E46-H46</f>
        <v>-49633.597872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-18933.95008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36982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4474877</v>
      </c>
      <c r="H8" s="8" t="n">
        <v>3479050</v>
      </c>
      <c r="K8" s="8" t="n">
        <f aca="false">+E8-H8</f>
        <v>995827</v>
      </c>
    </row>
    <row r="9" customFormat="false" ht="12.75" hidden="false" customHeight="false" outlineLevel="0" collapsed="false">
      <c r="C9" s="8" t="s">
        <v>23</v>
      </c>
      <c r="D9" s="8" t="n">
        <v>4282570</v>
      </c>
      <c r="G9" s="8" t="n">
        <v>3337210</v>
      </c>
      <c r="J9" s="8" t="n">
        <f aca="false">+D9-G9</f>
        <v>945360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4282570</v>
      </c>
      <c r="H11" s="8" t="n">
        <f aca="false">SUM(G9:G10)</f>
        <v>3337210</v>
      </c>
      <c r="K11" s="8" t="n">
        <f aca="false">+E11-H11</f>
        <v>945360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192307</v>
      </c>
      <c r="H13" s="8" t="n">
        <f aca="false">+H8-H11</f>
        <v>141840</v>
      </c>
      <c r="K13" s="8" t="n">
        <f aca="false">+E13-H13</f>
        <v>50467</v>
      </c>
    </row>
    <row r="15" customFormat="false" ht="12.75" hidden="false" customHeight="false" outlineLevel="0" collapsed="false">
      <c r="B15" s="8" t="s">
        <v>27</v>
      </c>
      <c r="D15" s="8" t="n">
        <v>4468511</v>
      </c>
      <c r="G15" s="8" t="n">
        <v>3479649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198848.7395</v>
      </c>
      <c r="G16" s="13" t="n">
        <v>0.0445</v>
      </c>
      <c r="H16" s="8" t="n">
        <f aca="false">+G15*G16</f>
        <v>154844.3805</v>
      </c>
      <c r="K16" s="8" t="n">
        <f aca="false">+E16-H16</f>
        <v>44004.359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-192307</v>
      </c>
      <c r="H18" s="8" t="n">
        <f aca="false">-H13</f>
        <v>-141840</v>
      </c>
      <c r="K18" s="8" t="n">
        <f aca="false">+E18-H18</f>
        <v>-50467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6541.7395</v>
      </c>
      <c r="H20" s="8" t="n">
        <f aca="false">+H16+H18</f>
        <v>13004.3805</v>
      </c>
      <c r="K20" s="8" t="n">
        <f aca="false">+E20-H20</f>
        <v>-6462.641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1084903</v>
      </c>
      <c r="H23" s="8" t="n">
        <v>1330289</v>
      </c>
      <c r="K23" s="8" t="n">
        <f aca="false">+E23-H23</f>
        <v>-245386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1037549</v>
      </c>
      <c r="G25" s="8" t="n">
        <v>1273566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1037549</v>
      </c>
      <c r="H26" s="8" t="n">
        <f aca="false">SUM(G24:G25)</f>
        <v>1273566</v>
      </c>
      <c r="K26" s="8" t="n">
        <f aca="false">+E26-H26</f>
        <v>-236017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47354</v>
      </c>
      <c r="H28" s="8" t="n">
        <f aca="false">+H23-H26</f>
        <v>56723</v>
      </c>
      <c r="K28" s="8" t="n">
        <f aca="false">+E28-H28</f>
        <v>-9369</v>
      </c>
    </row>
    <row r="30" customFormat="false" ht="12.75" hidden="false" customHeight="false" outlineLevel="0" collapsed="false">
      <c r="B30" s="8" t="s">
        <v>27</v>
      </c>
      <c r="D30" s="8" t="n">
        <v>1014872</v>
      </c>
      <c r="G30" s="8" t="n">
        <v>1319413</v>
      </c>
      <c r="J30" s="8" t="n">
        <f aca="false">+D30-G30</f>
        <v>-304541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45161.804</v>
      </c>
      <c r="G31" s="13" t="n">
        <v>0.0445</v>
      </c>
      <c r="H31" s="8" t="n">
        <f aca="false">+G30*G31</f>
        <v>58713.8785</v>
      </c>
      <c r="K31" s="8" t="n">
        <f aca="false">+E31-H31</f>
        <v>-13552.0745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-47354</v>
      </c>
      <c r="H33" s="8" t="n">
        <f aca="false">-H28</f>
        <v>-56723</v>
      </c>
      <c r="K33" s="8" t="n">
        <f aca="false">+E33-H33</f>
        <v>9369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-2192.196</v>
      </c>
      <c r="H35" s="8" t="n">
        <f aca="false">+H31+H33</f>
        <v>1990.8785</v>
      </c>
      <c r="K35" s="8" t="n">
        <f aca="false">+E35-H35</f>
        <v>-4183.0745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4349.54349999999</v>
      </c>
      <c r="H37" s="8" t="n">
        <f aca="false">+H35+H20</f>
        <v>14995.259</v>
      </c>
      <c r="K37" s="8" t="n">
        <f aca="false">+E37-H37</f>
        <v>-10645.7155</v>
      </c>
    </row>
    <row r="39" customFormat="false" ht="12.75" hidden="false" customHeight="false" outlineLevel="0" collapsed="false">
      <c r="C39" s="8" t="s">
        <v>33</v>
      </c>
      <c r="E39" s="14" t="n">
        <v>5.017</v>
      </c>
      <c r="H39" s="14" t="n">
        <f aca="false">+E39</f>
        <v>5.017</v>
      </c>
      <c r="K39" s="14" t="n">
        <f aca="false">+H39</f>
        <v>5.017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21821.6597395</v>
      </c>
      <c r="H41" s="6" t="n">
        <f aca="false">+H37*H39</f>
        <v>75231.214403</v>
      </c>
      <c r="K41" s="6" t="n">
        <f aca="false">+E41-H41</f>
        <v>-53409.5546635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4282570</v>
      </c>
      <c r="E43" s="6" t="n">
        <f aca="false">42567.02-0.01</f>
        <v>42567.01</v>
      </c>
      <c r="F43" s="14" t="n">
        <f aca="false">+E43/D43</f>
        <v>0.00993959468263216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1037549</v>
      </c>
      <c r="E44" s="6" t="n">
        <f aca="false">9587.93+766.18</f>
        <v>10354.11</v>
      </c>
      <c r="F44" s="14" t="n">
        <f aca="false">+E44/D44</f>
        <v>0.00997939374429545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52921.12</v>
      </c>
      <c r="H45" s="16" t="n">
        <v>45596.23</v>
      </c>
      <c r="K45" s="16" t="n">
        <f aca="false">+E45-H45</f>
        <v>7324.88999999999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-31099.4602605</v>
      </c>
      <c r="H46" s="6" t="n">
        <f aca="false">+H41-H45</f>
        <v>29634.984403</v>
      </c>
      <c r="K46" s="8" t="n">
        <f aca="false">+E46-H46</f>
        <v>-60734.4446635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-31099.4602605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37012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4423170</v>
      </c>
      <c r="H8" s="8" t="n">
        <v>3479050</v>
      </c>
      <c r="K8" s="8" t="n">
        <f aca="false">+E8-H8</f>
        <v>944120</v>
      </c>
    </row>
    <row r="9" customFormat="false" ht="12.75" hidden="false" customHeight="false" outlineLevel="0" collapsed="false">
      <c r="C9" s="8" t="s">
        <v>23</v>
      </c>
      <c r="D9" s="8" t="n">
        <v>4231300</v>
      </c>
      <c r="G9" s="8" t="n">
        <v>3337210</v>
      </c>
      <c r="J9" s="8" t="n">
        <f aca="false">+D9-G9</f>
        <v>894090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4231300</v>
      </c>
      <c r="H11" s="8" t="n">
        <f aca="false">SUM(G9:G10)</f>
        <v>3337210</v>
      </c>
      <c r="K11" s="8" t="n">
        <f aca="false">+E11-H11</f>
        <v>894090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191870</v>
      </c>
      <c r="H13" s="8" t="n">
        <f aca="false">+H8-H11</f>
        <v>141840</v>
      </c>
      <c r="K13" s="8" t="n">
        <f aca="false">+E13-H13</f>
        <v>50030</v>
      </c>
    </row>
    <row r="15" customFormat="false" ht="12.75" hidden="false" customHeight="false" outlineLevel="0" collapsed="false">
      <c r="B15" s="8" t="s">
        <v>27</v>
      </c>
      <c r="D15" s="8" t="n">
        <v>4403745</v>
      </c>
      <c r="G15" s="8" t="n">
        <v>3479649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195966.6525</v>
      </c>
      <c r="G16" s="13" t="n">
        <v>0.0445</v>
      </c>
      <c r="H16" s="8" t="n">
        <f aca="false">+G15*G16</f>
        <v>154844.3805</v>
      </c>
      <c r="K16" s="8" t="n">
        <f aca="false">+E16-H16</f>
        <v>41122.272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-191870</v>
      </c>
      <c r="H18" s="8" t="n">
        <f aca="false">-H13</f>
        <v>-141840</v>
      </c>
      <c r="K18" s="8" t="n">
        <f aca="false">+E18-H18</f>
        <v>-50030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4096.6525</v>
      </c>
      <c r="H20" s="8" t="n">
        <f aca="false">+H16+H18</f>
        <v>13004.3805</v>
      </c>
      <c r="K20" s="8" t="n">
        <f aca="false">+E20-H20</f>
        <v>-8907.728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939580</v>
      </c>
      <c r="H23" s="8" t="n">
        <v>1330289</v>
      </c>
      <c r="K23" s="8" t="n">
        <f aca="false">+E23-H23</f>
        <v>-390709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898781</v>
      </c>
      <c r="G25" s="8" t="n">
        <v>1273566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898781</v>
      </c>
      <c r="H26" s="8" t="n">
        <f aca="false">SUM(G24:G25)</f>
        <v>1273566</v>
      </c>
      <c r="K26" s="8" t="n">
        <f aca="false">+E26-H26</f>
        <v>-374785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40799</v>
      </c>
      <c r="H28" s="8" t="n">
        <f aca="false">+H23-H26</f>
        <v>56723</v>
      </c>
      <c r="K28" s="8" t="n">
        <f aca="false">+E28-H28</f>
        <v>-15924</v>
      </c>
    </row>
    <row r="30" customFormat="false" ht="12.75" hidden="false" customHeight="false" outlineLevel="0" collapsed="false">
      <c r="B30" s="8" t="s">
        <v>27</v>
      </c>
      <c r="D30" s="8" t="n">
        <v>1011096</v>
      </c>
      <c r="G30" s="8" t="n">
        <v>1319413</v>
      </c>
      <c r="J30" s="8" t="n">
        <f aca="false">+D30-G30</f>
        <v>-308317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44993.772</v>
      </c>
      <c r="G31" s="13" t="n">
        <v>0.0445</v>
      </c>
      <c r="H31" s="8" t="n">
        <f aca="false">+G30*G31</f>
        <v>58713.8785</v>
      </c>
      <c r="K31" s="8" t="n">
        <f aca="false">+E31-H31</f>
        <v>-13720.1065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-40799</v>
      </c>
      <c r="H33" s="8" t="n">
        <f aca="false">-H28</f>
        <v>-56723</v>
      </c>
      <c r="K33" s="8" t="n">
        <f aca="false">+E33-H33</f>
        <v>15924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4194.772</v>
      </c>
      <c r="H35" s="8" t="n">
        <f aca="false">+H31+H33</f>
        <v>1990.8785</v>
      </c>
      <c r="K35" s="8" t="n">
        <f aca="false">+E35-H35</f>
        <v>2203.8935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8291.42449999999</v>
      </c>
      <c r="H37" s="8" t="n">
        <f aca="false">+H35+H20</f>
        <v>14995.259</v>
      </c>
      <c r="K37" s="8" t="n">
        <f aca="false">+E37-H37</f>
        <v>-6703.8345</v>
      </c>
    </row>
    <row r="39" customFormat="false" ht="12.75" hidden="false" customHeight="false" outlineLevel="0" collapsed="false">
      <c r="C39" s="8" t="s">
        <v>33</v>
      </c>
      <c r="E39" s="14" t="n">
        <v>4.018</v>
      </c>
      <c r="H39" s="14" t="n">
        <f aca="false">+E39</f>
        <v>4.018</v>
      </c>
      <c r="K39" s="14" t="n">
        <f aca="false">+H39</f>
        <v>4.018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33314.943641</v>
      </c>
      <c r="H41" s="6" t="n">
        <f aca="false">+H37*H39</f>
        <v>60250.950662</v>
      </c>
      <c r="K41" s="6" t="n">
        <f aca="false">+E41-H41</f>
        <v>-26936.007021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4231300</v>
      </c>
      <c r="E43" s="6" t="n">
        <v>41675.18</v>
      </c>
      <c r="F43" s="14" t="n">
        <f aca="false">+E43/D43</f>
        <v>0.00984926145629003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898781</v>
      </c>
      <c r="E44" s="6" t="n">
        <f aca="false">9846.13-780.86</f>
        <v>9065.27</v>
      </c>
      <c r="F44" s="14" t="n">
        <f aca="false">+E44/D44</f>
        <v>0.0100861833972903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50740.45</v>
      </c>
      <c r="H45" s="16" t="n">
        <v>45596.23</v>
      </c>
      <c r="K45" s="16" t="n">
        <f aca="false">+E45-H45</f>
        <v>5144.21999999999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-17425.506359</v>
      </c>
      <c r="H46" s="6" t="n">
        <f aca="false">+H41-H45</f>
        <v>14654.720662</v>
      </c>
      <c r="K46" s="8" t="n">
        <f aca="false">+E46-H46</f>
        <v>-32080.227021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-17425.506359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true" hidden="false" outlineLevel="0" max="10" min="10" style="8" width="10.28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37043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4675460</v>
      </c>
      <c r="H8" s="8" t="n">
        <v>3479050</v>
      </c>
      <c r="K8" s="8" t="n">
        <f aca="false">+E8-H8</f>
        <v>1196410</v>
      </c>
    </row>
    <row r="9" customFormat="false" ht="12.75" hidden="false" customHeight="false" outlineLevel="0" collapsed="false">
      <c r="C9" s="8" t="s">
        <v>23</v>
      </c>
      <c r="D9" s="8" t="n">
        <v>4473250</v>
      </c>
      <c r="G9" s="8" t="n">
        <v>3337210</v>
      </c>
      <c r="J9" s="8" t="n">
        <f aca="false">+D9-G9</f>
        <v>1136040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4473250</v>
      </c>
      <c r="H11" s="8" t="n">
        <f aca="false">SUM(G9:G10)</f>
        <v>3337210</v>
      </c>
      <c r="K11" s="8" t="n">
        <f aca="false">+E11-H11</f>
        <v>1136040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202210</v>
      </c>
      <c r="H13" s="8" t="n">
        <f aca="false">+H8-H11</f>
        <v>141840</v>
      </c>
      <c r="K13" s="8" t="n">
        <f aca="false">+E13-H13</f>
        <v>60370</v>
      </c>
    </row>
    <row r="15" customFormat="false" ht="12.75" hidden="false" customHeight="false" outlineLevel="0" collapsed="false">
      <c r="B15" s="8" t="s">
        <v>27</v>
      </c>
      <c r="D15" s="8" t="n">
        <v>4656944</v>
      </c>
      <c r="G15" s="8" t="n">
        <v>3479649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207234.008</v>
      </c>
      <c r="G16" s="13" t="n">
        <v>0.0445</v>
      </c>
      <c r="H16" s="8" t="n">
        <f aca="false">+G15*G16</f>
        <v>154844.3805</v>
      </c>
      <c r="K16" s="8" t="n">
        <f aca="false">+E16-H16</f>
        <v>52389.6275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-202210</v>
      </c>
      <c r="H18" s="8" t="n">
        <f aca="false">-H13</f>
        <v>-141840</v>
      </c>
      <c r="K18" s="8" t="n">
        <f aca="false">+E18-H18</f>
        <v>-60370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5024.008</v>
      </c>
      <c r="H20" s="8" t="n">
        <f aca="false">+H16+H18</f>
        <v>13004.3805</v>
      </c>
      <c r="K20" s="8" t="n">
        <f aca="false">+E20-H20</f>
        <v>-7980.3725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1171979</v>
      </c>
      <c r="H23" s="8" t="n">
        <v>1330289</v>
      </c>
      <c r="K23" s="8" t="n">
        <f aca="false">+E23-H23</f>
        <v>-158310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1121301</v>
      </c>
      <c r="G25" s="8" t="n">
        <v>1273566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1121301</v>
      </c>
      <c r="H26" s="8" t="n">
        <f aca="false">SUM(G24:G25)</f>
        <v>1273566</v>
      </c>
      <c r="K26" s="8" t="n">
        <f aca="false">+E26-H26</f>
        <v>-152265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50678</v>
      </c>
      <c r="H28" s="8" t="n">
        <f aca="false">+H23-H26</f>
        <v>56723</v>
      </c>
      <c r="K28" s="8" t="n">
        <f aca="false">+E28-H28</f>
        <v>-6045</v>
      </c>
    </row>
    <row r="30" customFormat="false" ht="12.75" hidden="false" customHeight="false" outlineLevel="0" collapsed="false">
      <c r="B30" s="8" t="s">
        <v>27</v>
      </c>
      <c r="D30" s="8" t="n">
        <v>1085805</v>
      </c>
      <c r="G30" s="8" t="n">
        <v>1319413</v>
      </c>
      <c r="J30" s="8" t="n">
        <f aca="false">+D30-G30</f>
        <v>-233608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48318.3225</v>
      </c>
      <c r="G31" s="13" t="n">
        <v>0.0445</v>
      </c>
      <c r="H31" s="8" t="n">
        <f aca="false">+G30*G31</f>
        <v>58713.8785</v>
      </c>
      <c r="K31" s="8" t="n">
        <f aca="false">+E31-H31</f>
        <v>-10395.556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-50678</v>
      </c>
      <c r="H33" s="8" t="n">
        <f aca="false">-H28</f>
        <v>-56723</v>
      </c>
      <c r="K33" s="8" t="n">
        <f aca="false">+E33-H33</f>
        <v>6045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-2359.67750000001</v>
      </c>
      <c r="H35" s="8" t="n">
        <f aca="false">+H31+H33</f>
        <v>1990.8785</v>
      </c>
      <c r="K35" s="8" t="n">
        <f aca="false">+E35-H35</f>
        <v>-4350.556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2664.3305</v>
      </c>
      <c r="H37" s="8" t="n">
        <f aca="false">+H35+H20</f>
        <v>14995.259</v>
      </c>
      <c r="K37" s="8" t="n">
        <f aca="false">+E37-H37</f>
        <v>-12330.9285</v>
      </c>
    </row>
    <row r="39" customFormat="false" ht="12.75" hidden="false" customHeight="false" outlineLevel="0" collapsed="false">
      <c r="C39" s="8" t="s">
        <v>33</v>
      </c>
      <c r="E39" s="14" t="n">
        <v>3.451</v>
      </c>
      <c r="H39" s="14" t="n">
        <f aca="false">+E39</f>
        <v>3.451</v>
      </c>
      <c r="K39" s="14" t="n">
        <f aca="false">+H39</f>
        <v>3.451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9194.60455549999</v>
      </c>
      <c r="H41" s="6" t="n">
        <f aca="false">+H37*H39</f>
        <v>51748.638809</v>
      </c>
      <c r="K41" s="6" t="n">
        <f aca="false">+E41-H41</f>
        <v>-42554.0342535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4473250</v>
      </c>
      <c r="E43" s="6" t="n">
        <v>44113.22</v>
      </c>
      <c r="F43" s="14" t="n">
        <f aca="false">+E43/D43</f>
        <v>0.00986155926898787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1121301</v>
      </c>
      <c r="E44" s="6" t="n">
        <f aca="false">10465.37+942.79</f>
        <v>11408.16</v>
      </c>
      <c r="F44" s="14" t="n">
        <f aca="false">+E44/D44</f>
        <v>0.0101740389065915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55521.38</v>
      </c>
      <c r="H45" s="16" t="n">
        <v>45596.23</v>
      </c>
      <c r="K45" s="16" t="n">
        <f aca="false">+E45-H45</f>
        <v>9925.15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-46326.7754445</v>
      </c>
      <c r="H46" s="6" t="n">
        <f aca="false">+H41-H45</f>
        <v>6152.40880899999</v>
      </c>
      <c r="K46" s="8" t="n">
        <f aca="false">+E46-H46</f>
        <v>-52479.1842535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-46326.7754445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36526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3527521</v>
      </c>
      <c r="H8" s="8" t="n">
        <v>3535230</v>
      </c>
      <c r="K8" s="8" t="n">
        <f aca="false">+E8-H8</f>
        <v>-7709</v>
      </c>
    </row>
    <row r="9" customFormat="false" ht="12.75" hidden="false" customHeight="false" outlineLevel="0" collapsed="false">
      <c r="C9" s="8" t="s">
        <v>23</v>
      </c>
      <c r="D9" s="8" t="n">
        <v>3389025</v>
      </c>
      <c r="G9" s="8" t="n">
        <v>3389025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3389025</v>
      </c>
      <c r="H11" s="8" t="n">
        <f aca="false">SUM(G9:G10)</f>
        <v>3389025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138496</v>
      </c>
      <c r="H13" s="8" t="n">
        <f aca="false">+H8-H11</f>
        <v>146205</v>
      </c>
      <c r="K13" s="8" t="n">
        <f aca="false">+E13-H13</f>
        <v>-7709</v>
      </c>
    </row>
    <row r="15" customFormat="false" ht="12.75" hidden="false" customHeight="false" outlineLevel="0" collapsed="false">
      <c r="B15" s="8" t="s">
        <v>27</v>
      </c>
      <c r="D15" s="8" t="n">
        <v>3534474</v>
      </c>
      <c r="G15" s="8" t="n">
        <v>3534387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157284.093</v>
      </c>
      <c r="G16" s="13" t="n">
        <v>0.0445</v>
      </c>
      <c r="H16" s="8" t="n">
        <f aca="false">+G15*G16</f>
        <v>157280.2215</v>
      </c>
      <c r="K16" s="8" t="n">
        <f aca="false">+E16-H16</f>
        <v>3.87150000000838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-138496</v>
      </c>
      <c r="H18" s="8" t="n">
        <f aca="false">-H13</f>
        <v>-146205</v>
      </c>
      <c r="K18" s="8" t="n">
        <f aca="false">+E18-H18</f>
        <v>7709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18788.093</v>
      </c>
      <c r="H20" s="8" t="n">
        <f aca="false">+H16+H18</f>
        <v>11075.2215</v>
      </c>
      <c r="K20" s="8" t="n">
        <f aca="false">+E20-H20</f>
        <v>7712.87150000001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1304727</v>
      </c>
      <c r="H23" s="8" t="n">
        <v>1287034</v>
      </c>
      <c r="K23" s="8" t="n">
        <f aca="false">+E23-H23</f>
        <v>17693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1250521</v>
      </c>
      <c r="G25" s="8" t="n">
        <v>1233543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1250521</v>
      </c>
      <c r="H26" s="8" t="n">
        <f aca="false">SUM(G24:G25)</f>
        <v>1233543</v>
      </c>
      <c r="K26" s="8" t="n">
        <f aca="false">+E26-H26</f>
        <v>16978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54206</v>
      </c>
      <c r="H28" s="8" t="n">
        <f aca="false">+H23-H26</f>
        <v>53491</v>
      </c>
      <c r="K28" s="8" t="n">
        <f aca="false">+E28-H28</f>
        <v>715</v>
      </c>
    </row>
    <row r="30" customFormat="false" ht="12.75" hidden="false" customHeight="false" outlineLevel="0" collapsed="false">
      <c r="B30" s="8" t="s">
        <v>27</v>
      </c>
      <c r="D30" s="8" t="n">
        <f aca="false">1241420+96210</f>
        <v>1337630</v>
      </c>
      <c r="G30" s="8" t="n">
        <v>1337630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59524.535</v>
      </c>
      <c r="G31" s="13" t="n">
        <v>0.0445</v>
      </c>
      <c r="H31" s="8" t="n">
        <f aca="false">+G30*G31</f>
        <v>59524.535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-54206</v>
      </c>
      <c r="H33" s="8" t="n">
        <f aca="false">-H28</f>
        <v>-53491</v>
      </c>
      <c r="K33" s="8" t="n">
        <f aca="false">+E33-H33</f>
        <v>-715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5318.535</v>
      </c>
      <c r="H35" s="8" t="n">
        <f aca="false">+H31+H33</f>
        <v>6033.535</v>
      </c>
      <c r="K35" s="8" t="n">
        <f aca="false">+E35-H35</f>
        <v>-715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24106.628</v>
      </c>
      <c r="H37" s="8" t="n">
        <f aca="false">+H35+H20</f>
        <v>17108.7565</v>
      </c>
      <c r="K37" s="8" t="n">
        <f aca="false">+E37-H37</f>
        <v>6997.87150000001</v>
      </c>
    </row>
    <row r="39" customFormat="false" ht="12.75" hidden="false" customHeight="false" outlineLevel="0" collapsed="false">
      <c r="C39" s="8" t="s">
        <v>33</v>
      </c>
      <c r="E39" s="14" t="n">
        <v>2.308</v>
      </c>
      <c r="H39" s="14" t="n">
        <v>2.3135</v>
      </c>
      <c r="K39" s="14" t="n">
        <f aca="false">+H39</f>
        <v>2.3135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55638.097424</v>
      </c>
      <c r="H41" s="6" t="n">
        <f aca="false">+H37*H39</f>
        <v>39581.10816275</v>
      </c>
      <c r="K41" s="6" t="n">
        <f aca="false">+E41-H41</f>
        <v>16056.98926125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3389025</v>
      </c>
      <c r="E43" s="6" t="n">
        <f aca="false">33598.11-0.14-4.17</f>
        <v>33593.8</v>
      </c>
      <c r="F43" s="14" t="n">
        <f aca="false">+E43/D43</f>
        <v>0.00991252646410103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1250521</v>
      </c>
      <c r="E44" s="6" t="n">
        <f aca="false">12685.98-375.34</f>
        <v>12310.64</v>
      </c>
      <c r="F44" s="14" t="n">
        <f aca="false">+E44/D44</f>
        <v>0.00984440885039116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45904.44</v>
      </c>
      <c r="H45" s="16" t="n">
        <v>39583.05</v>
      </c>
      <c r="K45" s="16" t="n">
        <f aca="false">+E45-H45</f>
        <v>6321.39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9733.65742399997</v>
      </c>
      <c r="H46" s="6" t="n">
        <f aca="false">+H41-H45</f>
        <v>-1.94183725005132</v>
      </c>
      <c r="K46" s="8" t="n">
        <f aca="false">+E46-H46</f>
        <v>9735.59926125002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9733.65742399997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true" hidden="false" outlineLevel="0" max="10" min="10" style="8" width="10.85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37073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4640565</v>
      </c>
      <c r="H8" s="8" t="n">
        <v>3479050</v>
      </c>
      <c r="K8" s="8" t="n">
        <f aca="false">+E8-H8</f>
        <v>1161515</v>
      </c>
    </row>
    <row r="9" customFormat="false" ht="12.75" hidden="false" customHeight="false" outlineLevel="0" collapsed="false">
      <c r="C9" s="8" t="s">
        <v>23</v>
      </c>
      <c r="D9" s="8" t="n">
        <v>4440454</v>
      </c>
      <c r="G9" s="8" t="n">
        <v>3337210</v>
      </c>
      <c r="J9" s="8" t="n">
        <f aca="false">+D9-G9</f>
        <v>1103244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4440454</v>
      </c>
      <c r="H11" s="8" t="n">
        <f aca="false">SUM(G9:G10)</f>
        <v>3337210</v>
      </c>
      <c r="K11" s="8" t="n">
        <f aca="false">+E11-H11</f>
        <v>1103244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200111</v>
      </c>
      <c r="H13" s="8" t="n">
        <f aca="false">+H8-H11</f>
        <v>141840</v>
      </c>
      <c r="K13" s="8" t="n">
        <f aca="false">+E13-H13</f>
        <v>58271</v>
      </c>
    </row>
    <row r="15" customFormat="false" ht="12.75" hidden="false" customHeight="false" outlineLevel="0" collapsed="false">
      <c r="B15" s="8" t="s">
        <v>27</v>
      </c>
      <c r="D15" s="8" t="n">
        <v>4625468</v>
      </c>
      <c r="G15" s="8" t="n">
        <v>3479649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205833.326</v>
      </c>
      <c r="G16" s="13" t="n">
        <v>0.0445</v>
      </c>
      <c r="H16" s="8" t="n">
        <f aca="false">+G15*G16</f>
        <v>154844.3805</v>
      </c>
      <c r="K16" s="8" t="n">
        <f aca="false">+E16-H16</f>
        <v>50988.9455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-200111</v>
      </c>
      <c r="H18" s="8" t="n">
        <f aca="false">-H13</f>
        <v>-141840</v>
      </c>
      <c r="K18" s="8" t="n">
        <f aca="false">+E18-H18</f>
        <v>-58271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5722.326</v>
      </c>
      <c r="H20" s="8" t="n">
        <f aca="false">+H16+H18</f>
        <v>13004.3805</v>
      </c>
      <c r="K20" s="8" t="n">
        <f aca="false">+E20-H20</f>
        <v>-7282.0545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1232050</v>
      </c>
      <c r="H23" s="8" t="n">
        <v>1330289</v>
      </c>
      <c r="K23" s="8" t="n">
        <f aca="false">+E23-H23</f>
        <v>-98239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1178325</v>
      </c>
      <c r="G25" s="8" t="n">
        <v>1273566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1178325</v>
      </c>
      <c r="H26" s="8" t="n">
        <f aca="false">SUM(G24:G25)</f>
        <v>1273566</v>
      </c>
      <c r="K26" s="8" t="n">
        <f aca="false">+E26-H26</f>
        <v>-95241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53725</v>
      </c>
      <c r="H28" s="8" t="n">
        <f aca="false">+H23-H26</f>
        <v>56723</v>
      </c>
      <c r="K28" s="8" t="n">
        <f aca="false">+E28-H28</f>
        <v>-2998</v>
      </c>
    </row>
    <row r="30" customFormat="false" ht="12.75" hidden="false" customHeight="false" outlineLevel="0" collapsed="false">
      <c r="B30" s="8" t="s">
        <v>27</v>
      </c>
      <c r="D30" s="8" t="n">
        <v>1181662</v>
      </c>
      <c r="G30" s="8" t="n">
        <v>1319413</v>
      </c>
      <c r="J30" s="8" t="n">
        <f aca="false">+D30-G30</f>
        <v>-137751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52583.959</v>
      </c>
      <c r="G31" s="13" t="n">
        <v>0.0445</v>
      </c>
      <c r="H31" s="8" t="n">
        <f aca="false">+G30*G31</f>
        <v>58713.8785</v>
      </c>
      <c r="K31" s="8" t="n">
        <f aca="false">+E31-H31</f>
        <v>-6129.9195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-53725</v>
      </c>
      <c r="H33" s="8" t="n">
        <f aca="false">-H28</f>
        <v>-56723</v>
      </c>
      <c r="K33" s="8" t="n">
        <f aca="false">+E33-H33</f>
        <v>2998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-1141.041</v>
      </c>
      <c r="H35" s="8" t="n">
        <f aca="false">+H31+H33</f>
        <v>1990.8785</v>
      </c>
      <c r="K35" s="8" t="n">
        <f aca="false">+E35-H35</f>
        <v>-3131.9195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4581.285</v>
      </c>
      <c r="H37" s="8" t="n">
        <f aca="false">+H35+H20</f>
        <v>14995.259</v>
      </c>
      <c r="K37" s="8" t="n">
        <f aca="false">+E37-H37</f>
        <v>-10413.974</v>
      </c>
    </row>
    <row r="39" customFormat="false" ht="12.75" hidden="false" customHeight="false" outlineLevel="0" collapsed="false">
      <c r="C39" s="8" t="s">
        <v>33</v>
      </c>
      <c r="E39" s="14" t="n">
        <v>2.899</v>
      </c>
      <c r="H39" s="14" t="n">
        <f aca="false">+E39</f>
        <v>2.899</v>
      </c>
      <c r="K39" s="14" t="n">
        <f aca="false">+H39</f>
        <v>2.899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13281.145215</v>
      </c>
      <c r="H41" s="6" t="n">
        <f aca="false">+H37*H39</f>
        <v>43471.255841</v>
      </c>
      <c r="K41" s="6" t="n">
        <f aca="false">+E41-H41</f>
        <v>-30190.110626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4440454</v>
      </c>
      <c r="E43" s="6" t="n">
        <v>44166.76</v>
      </c>
      <c r="F43" s="14" t="n">
        <f aca="false">+E43/D43</f>
        <v>0.00994645142140871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1178325</v>
      </c>
      <c r="E44" s="6" t="n">
        <v>11248.2</v>
      </c>
      <c r="F44" s="14" t="n">
        <f aca="false">+E44/D44</f>
        <v>0.00954592323849532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55414.96</v>
      </c>
      <c r="H45" s="16" t="n">
        <v>45596.23</v>
      </c>
      <c r="K45" s="16" t="n">
        <f aca="false">+E45-H45</f>
        <v>9818.73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-42133.814785</v>
      </c>
      <c r="H46" s="6" t="n">
        <f aca="false">+H41-H45</f>
        <v>-2124.97415900001</v>
      </c>
      <c r="K46" s="8" t="n">
        <f aca="false">+E46-H46</f>
        <v>-40008.840626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-42133.814785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7" activeCellId="0" sqref="G7:H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36557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2840423</v>
      </c>
      <c r="H8" s="8" t="n">
        <v>2840416</v>
      </c>
      <c r="K8" s="8" t="n">
        <f aca="false">+E8-H8</f>
        <v>7</v>
      </c>
    </row>
    <row r="9" customFormat="false" ht="12.75" hidden="false" customHeight="false" outlineLevel="0" collapsed="false">
      <c r="C9" s="8" t="s">
        <v>23</v>
      </c>
      <c r="D9" s="8" t="n">
        <v>2723244</v>
      </c>
      <c r="G9" s="8" t="n">
        <v>2723244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2723244</v>
      </c>
      <c r="H11" s="8" t="n">
        <f aca="false">SUM(G9:G10)</f>
        <v>2723244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117179</v>
      </c>
      <c r="H13" s="8" t="n">
        <f aca="false">+H8-H11</f>
        <v>117172</v>
      </c>
      <c r="K13" s="8" t="n">
        <f aca="false">+E13-H13</f>
        <v>7</v>
      </c>
    </row>
    <row r="15" customFormat="false" ht="12.75" hidden="false" customHeight="false" outlineLevel="0" collapsed="false">
      <c r="B15" s="8" t="s">
        <v>27</v>
      </c>
      <c r="D15" s="8" t="n">
        <v>2840018</v>
      </c>
      <c r="G15" s="8" t="n">
        <v>2840105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126380.801</v>
      </c>
      <c r="G16" s="13" t="n">
        <v>0.0445</v>
      </c>
      <c r="H16" s="8" t="n">
        <f aca="false">+G15*G16</f>
        <v>126384.6725</v>
      </c>
      <c r="K16" s="8" t="n">
        <f aca="false">+E16-H16</f>
        <v>-3.87150000000838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-117179</v>
      </c>
      <c r="H18" s="8" t="n">
        <f aca="false">-H13</f>
        <v>-117172</v>
      </c>
      <c r="K18" s="8" t="n">
        <f aca="false">+E18-H18</f>
        <v>-7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9201.80099999999</v>
      </c>
      <c r="H20" s="8" t="n">
        <f aca="false">+H16+H18</f>
        <v>9212.6725</v>
      </c>
      <c r="K20" s="8" t="n">
        <f aca="false">+E20-H20</f>
        <v>-10.8715000000084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1450632</v>
      </c>
      <c r="H23" s="8" t="n">
        <v>1347691</v>
      </c>
      <c r="K23" s="8" t="n">
        <f aca="false">+E23-H23</f>
        <v>102941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1391117</v>
      </c>
      <c r="G25" s="8" t="n">
        <v>1292403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1391117</v>
      </c>
      <c r="H26" s="8" t="n">
        <f aca="false">SUM(G24:G25)</f>
        <v>1292403</v>
      </c>
      <c r="K26" s="8" t="n">
        <f aca="false">+E26-H26</f>
        <v>98714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59515</v>
      </c>
      <c r="H28" s="8" t="n">
        <f aca="false">+H23-H26</f>
        <v>55288</v>
      </c>
      <c r="K28" s="8" t="n">
        <f aca="false">+E28-H28</f>
        <v>4227</v>
      </c>
    </row>
    <row r="30" customFormat="false" ht="12.75" hidden="false" customHeight="false" outlineLevel="0" collapsed="false">
      <c r="B30" s="8" t="s">
        <v>27</v>
      </c>
      <c r="D30" s="8" t="n">
        <v>1380594</v>
      </c>
      <c r="G30" s="8" t="n">
        <v>1380594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61436.433</v>
      </c>
      <c r="G31" s="13" t="n">
        <v>0.0445</v>
      </c>
      <c r="H31" s="8" t="n">
        <f aca="false">+G30*G31</f>
        <v>61436.433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-59515</v>
      </c>
      <c r="H33" s="8" t="n">
        <f aca="false">-H28</f>
        <v>-55288</v>
      </c>
      <c r="K33" s="8" t="n">
        <f aca="false">+E33-H33</f>
        <v>-4227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1921.433</v>
      </c>
      <c r="H35" s="8" t="n">
        <f aca="false">+H31+H33</f>
        <v>6148.433</v>
      </c>
      <c r="K35" s="8" t="n">
        <f aca="false">+E35-H35</f>
        <v>-4227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11123.234</v>
      </c>
      <c r="H37" s="8" t="n">
        <f aca="false">+H35+H20</f>
        <v>15361.1055</v>
      </c>
      <c r="K37" s="8" t="n">
        <f aca="false">+E37-H37</f>
        <v>-4237.87150000001</v>
      </c>
    </row>
    <row r="39" customFormat="false" ht="12.75" hidden="false" customHeight="false" outlineLevel="0" collapsed="false">
      <c r="C39" s="8" t="s">
        <v>33</v>
      </c>
      <c r="E39" s="14" t="n">
        <v>2.498</v>
      </c>
      <c r="H39" s="14" t="n">
        <v>2.49775</v>
      </c>
      <c r="K39" s="14" t="n">
        <f aca="false">+H39</f>
        <v>2.49775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27785.838532</v>
      </c>
      <c r="H41" s="6" t="n">
        <f aca="false">+H37*H39</f>
        <v>38368.201262625</v>
      </c>
      <c r="K41" s="6" t="n">
        <f aca="false">+E41-H41</f>
        <v>-10582.362730625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2723244</v>
      </c>
      <c r="E43" s="6" t="n">
        <v>27242.64</v>
      </c>
      <c r="F43" s="14" t="n">
        <f aca="false">+E43/D43</f>
        <v>0.0100037455329012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1391117</v>
      </c>
      <c r="E44" s="6" t="n">
        <f aca="false">13298.57+799.36</f>
        <v>14097.93</v>
      </c>
      <c r="F44" s="14" t="n">
        <f aca="false">+E44/D44</f>
        <v>0.0101342518278477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41340.57</v>
      </c>
      <c r="H45" s="16" t="n">
        <v>38369.51</v>
      </c>
      <c r="K45" s="16" t="n">
        <f aca="false">+E45-H45</f>
        <v>2971.06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-13554.731468</v>
      </c>
      <c r="H46" s="6" t="n">
        <f aca="false">+H41-H45</f>
        <v>-1.30873737500951</v>
      </c>
      <c r="K46" s="8" t="n">
        <f aca="false">+E46-H46</f>
        <v>-13553.422730625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-13554.731468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6" activeCellId="0" sqref="F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36586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3107162</v>
      </c>
      <c r="H8" s="8" t="n">
        <v>3095020</v>
      </c>
      <c r="K8" s="8" t="n">
        <f aca="false">+E8-H8</f>
        <v>12142</v>
      </c>
    </row>
    <row r="9" customFormat="false" ht="12.75" hidden="false" customHeight="false" outlineLevel="0" collapsed="false">
      <c r="C9" s="8" t="s">
        <v>23</v>
      </c>
      <c r="D9" s="8" t="n">
        <v>2980309</v>
      </c>
      <c r="G9" s="8" t="n">
        <v>2980309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2980309</v>
      </c>
      <c r="H11" s="8" t="n">
        <f aca="false">SUM(G9:G10)</f>
        <v>2980309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126853</v>
      </c>
      <c r="H13" s="8" t="n">
        <f aca="false">+H8-H11</f>
        <v>114711</v>
      </c>
      <c r="K13" s="8" t="n">
        <f aca="false">+E13-H13</f>
        <v>12142</v>
      </c>
    </row>
    <row r="15" customFormat="false" ht="12.75" hidden="false" customHeight="false" outlineLevel="0" collapsed="false">
      <c r="B15" s="8" t="s">
        <v>27</v>
      </c>
      <c r="D15" s="8" t="n">
        <v>3107317</v>
      </c>
      <c r="G15" s="8" t="n">
        <v>3107317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138275.6065</v>
      </c>
      <c r="G16" s="13" t="n">
        <v>0.0445</v>
      </c>
      <c r="H16" s="8" t="n">
        <f aca="false">+G15*G16</f>
        <v>138275.6065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-126853</v>
      </c>
      <c r="H18" s="8" t="n">
        <f aca="false">-H13</f>
        <v>-114711</v>
      </c>
      <c r="K18" s="8" t="n">
        <f aca="false">+E18-H18</f>
        <v>-12142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11422.6065</v>
      </c>
      <c r="H20" s="8" t="n">
        <f aca="false">+H16+H18</f>
        <v>23564.6065</v>
      </c>
      <c r="K20" s="8" t="n">
        <f aca="false">+E20-H20</f>
        <v>-12142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1422875</v>
      </c>
      <c r="H23" s="8" t="n">
        <v>1666550</v>
      </c>
      <c r="K23" s="8" t="n">
        <f aca="false">+E23-H23</f>
        <v>-243675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1362518</v>
      </c>
      <c r="G25" s="8" t="n">
        <v>1597215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1362518</v>
      </c>
      <c r="H26" s="8" t="n">
        <f aca="false">SUM(G24:G25)</f>
        <v>1597215</v>
      </c>
      <c r="K26" s="8" t="n">
        <f aca="false">+E26-H26</f>
        <v>-234697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60357</v>
      </c>
      <c r="H28" s="8" t="n">
        <f aca="false">+H23-H26</f>
        <v>69335</v>
      </c>
      <c r="K28" s="8" t="n">
        <f aca="false">+E28-H28</f>
        <v>-8978</v>
      </c>
    </row>
    <row r="30" customFormat="false" ht="12.75" hidden="false" customHeight="false" outlineLevel="0" collapsed="false">
      <c r="B30" s="8" t="s">
        <v>27</v>
      </c>
      <c r="D30" s="8" t="n">
        <v>1596512</v>
      </c>
      <c r="G30" s="8" t="n">
        <v>1596512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71044.784</v>
      </c>
      <c r="G31" s="13" t="n">
        <v>0.0445</v>
      </c>
      <c r="H31" s="8" t="n">
        <f aca="false">+G30*G31</f>
        <v>71044.784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-60357</v>
      </c>
      <c r="H33" s="8" t="n">
        <f aca="false">-H28</f>
        <v>-69335</v>
      </c>
      <c r="K33" s="8" t="n">
        <f aca="false">+E33-H33</f>
        <v>8978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10687.784</v>
      </c>
      <c r="H35" s="8" t="n">
        <f aca="false">+H31+H33</f>
        <v>1709.784</v>
      </c>
      <c r="K35" s="8" t="n">
        <f aca="false">+E35-H35</f>
        <v>8978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22110.3905</v>
      </c>
      <c r="H37" s="8" t="n">
        <f aca="false">+H35+H20</f>
        <v>25274.3905</v>
      </c>
      <c r="K37" s="8" t="n">
        <f aca="false">+E37-H37</f>
        <v>-3164</v>
      </c>
    </row>
    <row r="39" customFormat="false" ht="12.75" hidden="false" customHeight="false" outlineLevel="0" collapsed="false">
      <c r="C39" s="8" t="s">
        <v>33</v>
      </c>
      <c r="E39" s="14" t="n">
        <v>2.6365</v>
      </c>
      <c r="H39" s="14" t="n">
        <v>2.6525</v>
      </c>
      <c r="K39" s="14" t="n">
        <f aca="false">+H39</f>
        <v>2.6525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58294.04455325</v>
      </c>
      <c r="H41" s="6" t="n">
        <f aca="false">+H37*H39</f>
        <v>67040.32080125</v>
      </c>
      <c r="K41" s="6" t="n">
        <f aca="false">+E41-H41</f>
        <v>-8746.276248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2980309</v>
      </c>
      <c r="E43" s="6" t="n">
        <v>30364.63</v>
      </c>
      <c r="F43" s="14" t="n">
        <f aca="false">+E43/D43</f>
        <v>0.0101884167044424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1362518</v>
      </c>
      <c r="E44" s="6" t="n">
        <f aca="false">15426.3-1946.83</f>
        <v>13479.47</v>
      </c>
      <c r="F44" s="14" t="n">
        <f aca="false">+E44/D44</f>
        <v>0.00989305829354181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43844.1</v>
      </c>
      <c r="H45" s="16" t="n">
        <v>67042.42</v>
      </c>
      <c r="K45" s="16" t="n">
        <f aca="false">+E45-H45</f>
        <v>-23198.32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14449.94455325</v>
      </c>
      <c r="H46" s="6" t="n">
        <f aca="false">+H41-H45</f>
        <v>-2.09919875001651</v>
      </c>
      <c r="K46" s="8" t="n">
        <f aca="false">+E46-H46</f>
        <v>14452.043752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14449.94455325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C16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36617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3015339</v>
      </c>
      <c r="H8" s="8" t="n">
        <v>3015339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2891820</v>
      </c>
      <c r="G9" s="8" t="n">
        <v>2891820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2891820</v>
      </c>
      <c r="H11" s="8" t="n">
        <f aca="false">SUM(G9:G10)</f>
        <v>2891820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123519</v>
      </c>
      <c r="H13" s="8" t="n">
        <f aca="false">+H8-H11</f>
        <v>123519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3016689</v>
      </c>
      <c r="G15" s="8" t="n">
        <v>3016689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134242.6605</v>
      </c>
      <c r="G16" s="13" t="n">
        <v>0.0445</v>
      </c>
      <c r="H16" s="8" t="n">
        <f aca="false">+G15*G16</f>
        <v>134242.6605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-123519</v>
      </c>
      <c r="H18" s="8" t="n">
        <f aca="false">-H13</f>
        <v>-123519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10723.6605</v>
      </c>
      <c r="H20" s="8" t="n">
        <f aca="false">+H16+H18</f>
        <v>10723.6605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1375708</v>
      </c>
      <c r="H23" s="8" t="n">
        <v>1357069</v>
      </c>
      <c r="K23" s="8" t="n">
        <f aca="false">+E23-H23</f>
        <v>18639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1316614</v>
      </c>
      <c r="G25" s="8" t="n">
        <v>1298524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1316614</v>
      </c>
      <c r="H26" s="8" t="n">
        <f aca="false">SUM(G24:G25)</f>
        <v>1298524</v>
      </c>
      <c r="K26" s="8" t="n">
        <f aca="false">+E26-H26</f>
        <v>18090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59094</v>
      </c>
      <c r="H28" s="8" t="n">
        <f aca="false">+H23-H26</f>
        <v>58545</v>
      </c>
      <c r="K28" s="8" t="n">
        <f aca="false">+E28-H28</f>
        <v>549</v>
      </c>
    </row>
    <row r="30" customFormat="false" ht="12.75" hidden="false" customHeight="false" outlineLevel="0" collapsed="false">
      <c r="B30" s="8" t="s">
        <v>27</v>
      </c>
      <c r="D30" s="8" t="n">
        <v>1530706</v>
      </c>
      <c r="G30" s="8" t="n">
        <v>1357069</v>
      </c>
      <c r="J30" s="8" t="n">
        <f aca="false">+D30-G30</f>
        <v>173637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68116.417</v>
      </c>
      <c r="G31" s="13" t="n">
        <v>0.0445</v>
      </c>
      <c r="H31" s="8" t="n">
        <f aca="false">+G30*G31</f>
        <v>60389.5705</v>
      </c>
      <c r="K31" s="8" t="n">
        <f aca="false">+E31-H31</f>
        <v>7726.84650000001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-59094</v>
      </c>
      <c r="H33" s="8" t="n">
        <f aca="false">-H28</f>
        <v>-58545</v>
      </c>
      <c r="K33" s="8" t="n">
        <f aca="false">+E33-H33</f>
        <v>-549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9022.417</v>
      </c>
      <c r="H35" s="8" t="n">
        <f aca="false">+H31+H33</f>
        <v>1844.57049999999</v>
      </c>
      <c r="K35" s="8" t="n">
        <f aca="false">+E35-H35</f>
        <v>7177.84650000001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19746.0775</v>
      </c>
      <c r="H37" s="8" t="n">
        <f aca="false">+H35+H20</f>
        <v>12568.231</v>
      </c>
      <c r="K37" s="8" t="n">
        <f aca="false">+E37-H37</f>
        <v>7177.84650000001</v>
      </c>
    </row>
    <row r="39" customFormat="false" ht="12.75" hidden="false" customHeight="false" outlineLevel="0" collapsed="false">
      <c r="C39" s="8" t="s">
        <v>33</v>
      </c>
      <c r="E39" s="14" t="n">
        <v>2.898</v>
      </c>
      <c r="H39" s="14" t="n">
        <v>2.901</v>
      </c>
      <c r="K39" s="14" t="n">
        <f aca="false">+H39</f>
        <v>2.901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57224.132595</v>
      </c>
      <c r="H41" s="6" t="n">
        <f aca="false">+H37*H39</f>
        <v>36460.438131</v>
      </c>
      <c r="K41" s="6" t="n">
        <f aca="false">+E41-H41</f>
        <v>20763.694464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2891820</v>
      </c>
      <c r="E43" s="6" t="n">
        <v>29410.01</v>
      </c>
      <c r="F43" s="14" t="n">
        <f aca="false">+E43/D43</f>
        <v>0.0101700693680796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1316614</v>
      </c>
      <c r="E44" s="6" t="n">
        <f aca="false">14687.97-1742.64</f>
        <v>12945.33</v>
      </c>
      <c r="F44" s="14" t="n">
        <f aca="false">+E44/D44</f>
        <v>0.00983228949411141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42355.34</v>
      </c>
      <c r="H45" s="16" t="n">
        <v>36464.38</v>
      </c>
      <c r="K45" s="16" t="n">
        <f aca="false">+E45-H45</f>
        <v>5890.96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14868.792595</v>
      </c>
      <c r="H46" s="6" t="n">
        <f aca="false">+H41-H45</f>
        <v>-3.94186900002387</v>
      </c>
      <c r="K46" s="8" t="n">
        <f aca="false">+E46-H46</f>
        <v>14872.734464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14868.792595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B20" colorId="64" zoomScale="100" zoomScaleNormal="100" zoomScalePageLayoutView="100" workbookViewId="0">
      <selection pane="topLeft" activeCell="E23" activeCellId="0" sqref="E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36647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3543681</v>
      </c>
      <c r="H8" s="8" t="n">
        <v>3543681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3399037</v>
      </c>
      <c r="G9" s="8" t="n">
        <v>3399037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3399037</v>
      </c>
      <c r="H11" s="8" t="n">
        <f aca="false">SUM(G9:G10)</f>
        <v>3399037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144644</v>
      </c>
      <c r="H13" s="8" t="n">
        <f aca="false">+H8-H11</f>
        <v>144644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3544631</v>
      </c>
      <c r="G15" s="8" t="n">
        <v>3544631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157736.0795</v>
      </c>
      <c r="G16" s="13" t="n">
        <v>0.0445</v>
      </c>
      <c r="H16" s="8" t="n">
        <f aca="false">+G15*G16</f>
        <v>157736.0795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-144644</v>
      </c>
      <c r="H18" s="8" t="n">
        <f aca="false">-H13</f>
        <v>-144644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13092.0795</v>
      </c>
      <c r="H20" s="8" t="n">
        <f aca="false">+H16+H18</f>
        <v>13092.0795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1461315</v>
      </c>
      <c r="H23" s="8" t="n">
        <v>1456426</v>
      </c>
      <c r="K23" s="8" t="n">
        <f aca="false">+E23-H23</f>
        <v>4889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1401501</v>
      </c>
      <c r="G25" s="8" t="n">
        <v>1396751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1401501</v>
      </c>
      <c r="H26" s="8" t="n">
        <f aca="false">SUM(G24:G25)</f>
        <v>1396751</v>
      </c>
      <c r="K26" s="8" t="n">
        <f aca="false">+E26-H26</f>
        <v>4750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59814</v>
      </c>
      <c r="H28" s="8" t="n">
        <f aca="false">+H23-H26</f>
        <v>59675</v>
      </c>
      <c r="K28" s="8" t="n">
        <f aca="false">+E28-H28</f>
        <v>139</v>
      </c>
    </row>
    <row r="30" customFormat="false" ht="12.75" hidden="false" customHeight="false" outlineLevel="0" collapsed="false">
      <c r="B30" s="8" t="s">
        <v>27</v>
      </c>
      <c r="D30" s="8" t="n">
        <v>1611424</v>
      </c>
      <c r="G30" s="8" t="n">
        <v>1611424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71708.368</v>
      </c>
      <c r="G31" s="13" t="n">
        <v>0.0445</v>
      </c>
      <c r="H31" s="8" t="n">
        <f aca="false">+G30*G31</f>
        <v>71708.368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-59814</v>
      </c>
      <c r="H33" s="8" t="n">
        <f aca="false">-H28</f>
        <v>-59675</v>
      </c>
      <c r="K33" s="8" t="n">
        <f aca="false">+E33-H33</f>
        <v>-139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11894.368</v>
      </c>
      <c r="H35" s="8" t="n">
        <f aca="false">+H31+H33</f>
        <v>12033.368</v>
      </c>
      <c r="K35" s="8" t="n">
        <f aca="false">+E35-H35</f>
        <v>-139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24986.4475</v>
      </c>
      <c r="H37" s="8" t="n">
        <f aca="false">+H35+H20</f>
        <v>25125.4475</v>
      </c>
      <c r="K37" s="8" t="n">
        <f aca="false">+E37-H37</f>
        <v>-139</v>
      </c>
    </row>
    <row r="39" customFormat="false" ht="12.75" hidden="false" customHeight="false" outlineLevel="0" collapsed="false">
      <c r="C39" s="8" t="s">
        <v>33</v>
      </c>
      <c r="E39" s="14" t="n">
        <v>3.294</v>
      </c>
      <c r="H39" s="14" t="n">
        <v>3.2945</v>
      </c>
      <c r="K39" s="14" t="n">
        <f aca="false">+H39</f>
        <v>3.2945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82305.358065</v>
      </c>
      <c r="H41" s="6" t="n">
        <f aca="false">+H37*H39</f>
        <v>82775.78678875</v>
      </c>
      <c r="K41" s="6" t="n">
        <f aca="false">+E41-H41</f>
        <v>-470.42872375001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3399037</v>
      </c>
      <c r="E43" s="6" t="n">
        <v>44187.5</v>
      </c>
      <c r="F43" s="14" t="n">
        <f aca="false">+E43/D43</f>
        <v>0.0130000055898185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1401501</v>
      </c>
      <c r="E44" s="6" t="n">
        <f aca="false">20100.4-1880.89</f>
        <v>18219.51</v>
      </c>
      <c r="F44" s="14" t="n">
        <f aca="false">+E44/D44</f>
        <v>0.0129999978594378</v>
      </c>
      <c r="H44" s="6"/>
      <c r="I44" s="15"/>
    </row>
    <row r="45" customFormat="false" ht="13.5" hidden="false" customHeight="false" outlineLevel="0" collapsed="false">
      <c r="E45" s="16" t="n">
        <f aca="false">SUM(E43:E44)</f>
        <v>62407.01</v>
      </c>
      <c r="H45" s="16" t="n">
        <v>82775.3</v>
      </c>
      <c r="K45" s="16" t="n">
        <f aca="false">+E45-H45</f>
        <v>-20368.29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19898.348065</v>
      </c>
      <c r="H46" s="6" t="n">
        <f aca="false">+H41-H45</f>
        <v>0.486788749985863</v>
      </c>
      <c r="K46" s="8" t="n">
        <f aca="false">+E46-H46</f>
        <v>19897.86127625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19898.348065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46" activeCellId="0" sqref="G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3.56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36678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3927046</v>
      </c>
      <c r="H8" s="8" t="n">
        <v>3927046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3758645</v>
      </c>
      <c r="G9" s="8" t="n">
        <v>3758645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3758645</v>
      </c>
      <c r="H11" s="8" t="n">
        <f aca="false">SUM(G9:G10)</f>
        <v>3758645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168401</v>
      </c>
      <c r="H13" s="8" t="n">
        <f aca="false">+H8-H11</f>
        <v>168401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3927620</v>
      </c>
      <c r="G15" s="8" t="n">
        <v>3927620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174779.09</v>
      </c>
      <c r="G16" s="13" t="n">
        <v>0.0445</v>
      </c>
      <c r="H16" s="8" t="n">
        <f aca="false">+G15*G16</f>
        <v>174779.09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-168401</v>
      </c>
      <c r="H18" s="8" t="n">
        <f aca="false">-H13</f>
        <v>-168401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6378.09</v>
      </c>
      <c r="H20" s="8" t="n">
        <f aca="false">+H16+H18</f>
        <v>6378.09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895192</v>
      </c>
      <c r="H23" s="8" t="n">
        <v>694587</v>
      </c>
      <c r="K23" s="8" t="n">
        <f aca="false">+E23-H23</f>
        <v>200605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856500</v>
      </c>
      <c r="G25" s="8" t="n">
        <v>663380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856500</v>
      </c>
      <c r="H26" s="8" t="n">
        <f aca="false">SUM(G24:G25)</f>
        <v>663380</v>
      </c>
      <c r="K26" s="8" t="n">
        <f aca="false">+E26-H26</f>
        <v>193120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38692</v>
      </c>
      <c r="H28" s="8" t="n">
        <f aca="false">+H23-H26</f>
        <v>31207</v>
      </c>
      <c r="K28" s="8" t="n">
        <f aca="false">+E28-H28</f>
        <v>7485</v>
      </c>
    </row>
    <row r="30" customFormat="false" ht="12.75" hidden="false" customHeight="false" outlineLevel="0" collapsed="false">
      <c r="B30" s="8" t="s">
        <v>27</v>
      </c>
      <c r="D30" s="8" t="n">
        <v>844696</v>
      </c>
      <c r="G30" s="8" t="n">
        <v>844696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37588.972</v>
      </c>
      <c r="G31" s="13" t="n">
        <v>0.0445</v>
      </c>
      <c r="H31" s="8" t="n">
        <f aca="false">+G30*G31</f>
        <v>37588.972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-38692</v>
      </c>
      <c r="H33" s="8" t="n">
        <f aca="false">-H28</f>
        <v>-31207</v>
      </c>
      <c r="K33" s="8" t="n">
        <f aca="false">+E33-H33</f>
        <v>-7485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-1103.028</v>
      </c>
      <c r="H35" s="8" t="n">
        <f aca="false">+H31+H33</f>
        <v>6381.972</v>
      </c>
      <c r="K35" s="8" t="n">
        <f aca="false">+E35-H35</f>
        <v>-7485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5275.062</v>
      </c>
      <c r="H37" s="8" t="n">
        <f aca="false">+H35+H20</f>
        <v>12760.062</v>
      </c>
      <c r="K37" s="8" t="n">
        <f aca="false">+E37-H37</f>
        <v>-7485</v>
      </c>
    </row>
    <row r="39" customFormat="false" ht="12.75" hidden="false" customHeight="false" outlineLevel="0" collapsed="false">
      <c r="C39" s="8" t="s">
        <v>33</v>
      </c>
      <c r="E39" s="14" t="n">
        <v>4.094</v>
      </c>
      <c r="H39" s="14" t="n">
        <v>4.0935</v>
      </c>
      <c r="K39" s="14" t="n">
        <f aca="false">+H39</f>
        <v>4.0935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21596.103828</v>
      </c>
      <c r="H41" s="6" t="n">
        <f aca="false">+H37*H39</f>
        <v>52233.313797</v>
      </c>
      <c r="K41" s="6" t="n">
        <f aca="false">+E41-H41</f>
        <v>-30637.209969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3758645</v>
      </c>
      <c r="E43" s="6" t="n">
        <v>36858.75</v>
      </c>
      <c r="F43" s="14" t="n">
        <f aca="false">+E43/D43</f>
        <v>0.00980639299534806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856500</v>
      </c>
      <c r="E44" s="6" t="n">
        <f aca="false">8023.38+576.39</f>
        <v>8599.77</v>
      </c>
      <c r="F44" s="14" t="n">
        <f aca="false">+E44/D44</f>
        <v>0.0100405954465849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45458.52</v>
      </c>
      <c r="H45" s="16" t="n">
        <v>52232.95</v>
      </c>
      <c r="K45" s="16" t="n">
        <f aca="false">+E45-H45</f>
        <v>-6774.42999999999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-23862.416172</v>
      </c>
      <c r="H46" s="6" t="n">
        <f aca="false">+H41-H45</f>
        <v>0.363796999990882</v>
      </c>
      <c r="K46" s="8" t="n">
        <f aca="false">+E46-H46</f>
        <v>-23862.779969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-23862.416172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:H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36708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3909475</v>
      </c>
      <c r="H8" s="8" t="n">
        <v>3909475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3742015</v>
      </c>
      <c r="G9" s="8" t="n">
        <v>3742015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3742015</v>
      </c>
      <c r="H11" s="8" t="n">
        <f aca="false">SUM(G9:G10)</f>
        <v>3742015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167460</v>
      </c>
      <c r="H13" s="8" t="n">
        <f aca="false">+H8-H11</f>
        <v>167460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3910385</v>
      </c>
      <c r="G15" s="8" t="n">
        <v>3910385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174012.1325</v>
      </c>
      <c r="G16" s="13" t="n">
        <v>0.0445</v>
      </c>
      <c r="H16" s="8" t="n">
        <f aca="false">+G15*G16</f>
        <v>174012.1325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-167460</v>
      </c>
      <c r="H18" s="8" t="n">
        <f aca="false">-H13</f>
        <v>-167460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6552.13249999998</v>
      </c>
      <c r="H20" s="8" t="n">
        <f aca="false">+H16+H18</f>
        <v>6552.13249999998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898061</v>
      </c>
      <c r="H23" s="8" t="n">
        <v>972693</v>
      </c>
      <c r="K23" s="8" t="n">
        <f aca="false">+E23-H23</f>
        <v>-74632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858039</v>
      </c>
      <c r="G25" s="8" t="n">
        <v>929635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858039</v>
      </c>
      <c r="H26" s="8" t="n">
        <f aca="false">SUM(G24:G25)</f>
        <v>929635</v>
      </c>
      <c r="K26" s="8" t="n">
        <f aca="false">+E26-H26</f>
        <v>-71596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40022</v>
      </c>
      <c r="H28" s="8" t="n">
        <f aca="false">+H23-H26</f>
        <v>43058</v>
      </c>
      <c r="K28" s="8" t="n">
        <f aca="false">+E28-H28</f>
        <v>-3036</v>
      </c>
    </row>
    <row r="30" customFormat="false" ht="12.75" hidden="false" customHeight="false" outlineLevel="0" collapsed="false">
      <c r="B30" s="8" t="s">
        <v>27</v>
      </c>
      <c r="D30" s="8" t="n">
        <v>922197</v>
      </c>
      <c r="G30" s="8" t="n">
        <v>922197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41037.7665</v>
      </c>
      <c r="G31" s="13" t="n">
        <v>0.0445</v>
      </c>
      <c r="H31" s="8" t="n">
        <f aca="false">+G30*G31</f>
        <v>41037.7665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-40022</v>
      </c>
      <c r="H33" s="8" t="n">
        <f aca="false">-H28</f>
        <v>-43058</v>
      </c>
      <c r="K33" s="8" t="n">
        <f aca="false">+E33-H33</f>
        <v>3036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1015.7665</v>
      </c>
      <c r="H35" s="8" t="n">
        <f aca="false">+H31+H33</f>
        <v>-2020.2335</v>
      </c>
      <c r="K35" s="8" t="n">
        <f aca="false">+E35-H35</f>
        <v>3036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7567.89899999998</v>
      </c>
      <c r="H37" s="8" t="n">
        <f aca="false">+H35+H20</f>
        <v>4531.89899999998</v>
      </c>
      <c r="K37" s="8" t="n">
        <f aca="false">+E37-H37</f>
        <v>3036</v>
      </c>
    </row>
    <row r="39" customFormat="false" ht="12.75" hidden="false" customHeight="false" outlineLevel="0" collapsed="false">
      <c r="C39" s="8" t="s">
        <v>33</v>
      </c>
      <c r="E39" s="14" t="n">
        <v>3.844</v>
      </c>
      <c r="H39" s="14" t="n">
        <v>3.8445</v>
      </c>
      <c r="K39" s="14" t="n">
        <f aca="false">+H39</f>
        <v>3.8445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29091.0037559999</v>
      </c>
      <c r="H41" s="6" t="n">
        <f aca="false">+H37*H39</f>
        <v>17422.8857054999</v>
      </c>
      <c r="K41" s="6" t="n">
        <f aca="false">+E41-H41</f>
        <v>11668.1180505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3742015</v>
      </c>
      <c r="E43" s="6" t="n">
        <v>36987.21</v>
      </c>
      <c r="F43" s="14" t="n">
        <f aca="false">+E43/D43</f>
        <v>0.00988430297580314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858039</v>
      </c>
      <c r="E44" s="6" t="n">
        <f aca="false">8113.7-263.7</f>
        <v>7850</v>
      </c>
      <c r="F44" s="14" t="n">
        <f aca="false">+E44/D44</f>
        <v>0.00914876829607978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44837.21</v>
      </c>
      <c r="H45" s="16" t="n">
        <v>17425.26</v>
      </c>
      <c r="K45" s="16" t="n">
        <f aca="false">+E45-H45</f>
        <v>27411.95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-15746.2062440001</v>
      </c>
      <c r="H46" s="6" t="n">
        <f aca="false">+H41-H45</f>
        <v>-2.37429450009222</v>
      </c>
      <c r="K46" s="8" t="n">
        <f aca="false">+E46-H46</f>
        <v>-15743.8319495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-15746.2062440001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36739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4147489</v>
      </c>
      <c r="H8" s="8" t="n">
        <v>4147489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3968670</v>
      </c>
      <c r="G9" s="8" t="n">
        <v>3968670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3968670</v>
      </c>
      <c r="H11" s="8" t="n">
        <f aca="false">SUM(G9:G10)</f>
        <v>3968670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178819</v>
      </c>
      <c r="H13" s="8" t="n">
        <f aca="false">+H8-H11</f>
        <v>178819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4147994</v>
      </c>
      <c r="G15" s="8" t="n">
        <v>4147994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184585.733</v>
      </c>
      <c r="G16" s="13" t="n">
        <v>0.0445</v>
      </c>
      <c r="H16" s="8" t="n">
        <f aca="false">+G15*G16</f>
        <v>184585.733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-178819</v>
      </c>
      <c r="H18" s="8" t="n">
        <f aca="false">-H13</f>
        <v>-178819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5766.73299999998</v>
      </c>
      <c r="H20" s="8" t="n">
        <f aca="false">+H16+H18</f>
        <v>5766.73299999998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1069602</v>
      </c>
      <c r="H23" s="8" t="n">
        <v>1019496</v>
      </c>
      <c r="K23" s="8" t="n">
        <f aca="false">+E23-H23</f>
        <v>50106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1022458</v>
      </c>
      <c r="G25" s="8" t="n">
        <v>974375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1022458</v>
      </c>
      <c r="H26" s="8" t="n">
        <f aca="false">SUM(G24:G25)</f>
        <v>974375</v>
      </c>
      <c r="K26" s="8" t="n">
        <f aca="false">+E26-H26</f>
        <v>48083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47144</v>
      </c>
      <c r="H28" s="8" t="n">
        <f aca="false">+H23-H26</f>
        <v>45121</v>
      </c>
      <c r="K28" s="8" t="n">
        <f aca="false">+E28-H28</f>
        <v>2023</v>
      </c>
    </row>
    <row r="30" customFormat="false" ht="12.75" hidden="false" customHeight="false" outlineLevel="0" collapsed="false">
      <c r="B30" s="8" t="s">
        <v>27</v>
      </c>
      <c r="D30" s="8" t="n">
        <v>1043632</v>
      </c>
      <c r="G30" s="8" t="n">
        <v>1043632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46441.624</v>
      </c>
      <c r="G31" s="13" t="n">
        <v>0.0445</v>
      </c>
      <c r="H31" s="8" t="n">
        <f aca="false">+G30*G31</f>
        <v>46441.624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-47144</v>
      </c>
      <c r="H33" s="8" t="n">
        <f aca="false">-H28</f>
        <v>-45121</v>
      </c>
      <c r="K33" s="8" t="n">
        <f aca="false">+E33-H33</f>
        <v>-2023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-702.376000000004</v>
      </c>
      <c r="H35" s="8" t="n">
        <f aca="false">+H31+H33</f>
        <v>1320.624</v>
      </c>
      <c r="K35" s="8" t="n">
        <f aca="false">+E35-H35</f>
        <v>-2023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5064.35699999997</v>
      </c>
      <c r="H37" s="8" t="n">
        <f aca="false">+H35+H20</f>
        <v>7087.35699999997</v>
      </c>
      <c r="K37" s="8" t="n">
        <f aca="false">+E37-H37</f>
        <v>-2023</v>
      </c>
    </row>
    <row r="39" customFormat="false" ht="12.75" hidden="false" customHeight="false" outlineLevel="0" collapsed="false">
      <c r="C39" s="8" t="s">
        <v>33</v>
      </c>
      <c r="E39" s="14" t="n">
        <v>4.211</v>
      </c>
      <c r="H39" s="14" t="n">
        <v>4.21109</v>
      </c>
      <c r="K39" s="14" t="n">
        <f aca="false">+H39</f>
        <v>4.21109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21326.0073269999</v>
      </c>
      <c r="H41" s="6" t="n">
        <f aca="false">+H37*H39</f>
        <v>29845.4981891299</v>
      </c>
      <c r="K41" s="6" t="n">
        <f aca="false">+E41-H41</f>
        <v>-8519.49086213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3968670</v>
      </c>
      <c r="E43" s="6" t="n">
        <v>39449.12</v>
      </c>
      <c r="F43" s="14" t="n">
        <f aca="false">+E43/D43</f>
        <v>0.00994013611612959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1022458</v>
      </c>
      <c r="E44" s="6" t="n">
        <f aca="false">9348.65+284.12</f>
        <v>9632.77</v>
      </c>
      <c r="F44" s="14" t="n">
        <f aca="false">+E44/D44</f>
        <v>0.00942118893881216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49081.89</v>
      </c>
      <c r="H45" s="16" t="n">
        <v>29846.11</v>
      </c>
      <c r="K45" s="16" t="n">
        <f aca="false">+E45-H45</f>
        <v>19235.78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-27755.8826730001</v>
      </c>
      <c r="H46" s="6" t="n">
        <f aca="false">+H41-H45</f>
        <v>-0.611810870104819</v>
      </c>
      <c r="K46" s="8" t="n">
        <f aca="false">+E46-H46</f>
        <v>-27755.27086213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-27755.8826730001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2000-02-29T12:03:59Z</dcterms:created>
  <dc:creator>Enron Transportation &amp; Storage</dc:creator>
  <dc:description/>
  <dc:language>en-US</dc:language>
  <cp:lastModifiedBy>dfancle</cp:lastModifiedBy>
  <cp:lastPrinted>2000-03-03T16:08:59Z</cp:lastPrinted>
  <dcterms:modified xsi:type="dcterms:W3CDTF">2001-11-07T16:47:37Z</dcterms:modified>
  <cp:revision>0</cp:revision>
  <dc:subject/>
  <dc:title/>
</cp:coreProperties>
</file>