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xl/media/image2.wmf" ContentType="image/x-wmf"/>
  <Override PartName="/xl/media/image3.wmf" ContentType="image/x-wmf"/>
  <Override PartName="/xl/media/image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7.wmf" ContentType="image/x-wmf"/>
  <Override PartName="/xl/media/image11.wmf" ContentType="image/x-wmf"/>
  <Override PartName="/xl/media/image8.wmf" ContentType="image/x-wmf"/>
  <Override PartName="/xl/media/image12.wmf" ContentType="image/x-wmf"/>
  <Override PartName="/xl/media/image9.wmf" ContentType="image/x-wmf"/>
  <Override PartName="/xl/media/image13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<sst xmlns="http://schemas.openxmlformats.org/spreadsheetml/2006/main" count="2090" uniqueCount="827">
  <si>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</si>
  <si>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</si>
  <si>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</si>
  <si>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</si>
  <si>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</si>
  <si>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</si>
  <si>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</si>
  <si>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</si>
  <si>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</si>
  <si>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</si>
  <si>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</si>
  <si>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</si>
  <si>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</si>
  <si>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</si>
  <si>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</si>
  <si>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</si>
  <si>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</si>
  <si>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</si>
  <si>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</si>
  <si>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</si>
  <si>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</si>
  <si>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</si>
  <si>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</si>
  <si>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</si>
  <si>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</si>
  <si>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</si>
  <si>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</si>
  <si>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</si>
  <si>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</si>
  <si>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  PARTLY  SUNNY  </t>
  </si>
  <si>
    <t xml:space="preserve">   TONIGHT  CLEAR  </t>
  </si>
  <si>
    <t xml:space="preserve">RAIN</t>
  </si>
  <si>
    <t xml:space="preserve">  PARTLY CLOUDY</t>
  </si>
  <si>
    <t xml:space="preserve">   TONIGHT  MOSTLY CLOUDY  WITH  A  CHANCE  OF  SHOWERS. </t>
  </si>
  <si>
    <t xml:space="preserve">S</t>
  </si>
  <si>
    <t xml:space="preserve">TSTORM</t>
  </si>
  <si>
    <t xml:space="preserve">   MOSTLY  CLOUDY</t>
  </si>
  <si>
    <t xml:space="preserve">   PARTLY CLOUDY</t>
  </si>
  <si>
    <t xml:space="preserve">   MOSTLY  SUNNY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</si>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</sst>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3.wmf"/><Relationship Id="rId28" Type="http://schemas.openxmlformats.org/officeDocument/2006/relationships/image" Target="../media/image13.wmf"/><Relationship Id="rId29" Type="http://schemas.openxmlformats.org/officeDocument/2006/relationships/image" Target="../media/image12.wmf"/><Relationship Id="rId30" Type="http://schemas.openxmlformats.org/officeDocument/2006/relationships/image" Target="../media/image12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273</v>
      </c>
      <c r="B1" s="124"/>
      <c r="C1" s="124"/>
      <c r="D1" s="124"/>
      <c r="E1" s="124"/>
      <c r="F1" s="124"/>
      <c r="G1" s="124" t="s">
        <v>233</v>
      </c>
      <c r="H1" s="178" t="str">
        <f aca="false">D3</f>
        <v>SAT</v>
      </c>
      <c r="I1" s="179" t="n">
        <f aca="false">D4</f>
        <v>37114</v>
      </c>
      <c r="J1" s="180"/>
    </row>
    <row r="2" customFormat="false" ht="24.95" hidden="false" customHeight="true" outlineLevel="0" collapsed="false">
      <c r="A2" s="128" t="s">
        <v>274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  <c r="J3" s="180"/>
    </row>
    <row r="4" customFormat="false" ht="24.95" hidden="false" customHeight="true" outlineLevel="0" collapsed="false">
      <c r="A4" s="134" t="s">
        <v>275</v>
      </c>
      <c r="B4" s="135"/>
      <c r="C4" s="135"/>
      <c r="D4" s="181" t="n">
        <f aca="false">Weather_Input!A5</f>
        <v>37114</v>
      </c>
      <c r="E4" s="181" t="n">
        <f aca="false">Weather_Input!A6</f>
        <v>37115</v>
      </c>
      <c r="F4" s="181" t="n">
        <f aca="false">Weather_Input!A7</f>
        <v>37116</v>
      </c>
      <c r="G4" s="181" t="n">
        <f aca="false">Weather_Input!A8</f>
        <v>37117</v>
      </c>
      <c r="H4" s="181" t="n">
        <f aca="false">Weather_Input!A9</f>
        <v>37118</v>
      </c>
      <c r="I4" s="182" t="n">
        <f aca="false">Weather_Input!A10</f>
        <v>37119</v>
      </c>
      <c r="J4" s="180"/>
    </row>
    <row r="5" customFormat="false" ht="24.95" hidden="false" customHeight="true" outlineLevel="0" collapsed="false">
      <c r="A5" s="138" t="s">
        <v>235</v>
      </c>
      <c r="B5" s="129"/>
      <c r="C5" s="129" t="s">
        <v>236</v>
      </c>
      <c r="D5" s="183" t="str">
        <f aca="false">TEXT(Weather_Input!B5,"0")&amp;"/"&amp;TEXT(Weather_Input!C5,"0")&amp;"/"&amp;TEXT((Weather_Input!B5+Weather_Input!C5)/2,"0")</f>
        <v>79/61/70</v>
      </c>
      <c r="E5" s="183" t="str">
        <f aca="false">TEXT(Weather_Input!B6,"0")&amp;"/"&amp;TEXT(Weather_Input!C6,"0")&amp;"/"&amp;TEXT((Weather_Input!B6+Weather_Input!C6)/2,"0")</f>
        <v>84/62/73</v>
      </c>
      <c r="F5" s="183" t="str">
        <f aca="false">TEXT(Weather_Input!B7,"0")&amp;"/"&amp;TEXT(Weather_Input!C7,"0")&amp;"/"&amp;TEXT((Weather_Input!B7+Weather_Input!C7)/2,"0")</f>
        <v>78/56/67</v>
      </c>
      <c r="G5" s="183" t="str">
        <f aca="false">TEXT(Weather_Input!B8,"0")&amp;"/"&amp;TEXT(Weather_Input!C8,"0")&amp;"/"&amp;TEXT((Weather_Input!B8+Weather_Input!C8)/2,"0")</f>
        <v>80/65/73</v>
      </c>
      <c r="H5" s="183" t="str">
        <f aca="false">TEXT(Weather_Input!B9,"0")&amp;"/"&amp;TEXT(Weather_Input!C9,"0")&amp;"/"&amp;TEXT((Weather_Input!B9+Weather_Input!C9)/2,"0")</f>
        <v>85/69/77</v>
      </c>
      <c r="I5" s="184" t="str">
        <f aca="false">TEXT(Weather_Input!B10,"0")&amp;"/"&amp;TEXT(Weather_Input!C10,"0")&amp;"/"&amp;TEXT((Weather_Input!B10+Weather_Input!C10)/2,"0")</f>
        <v>80/60/70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237</v>
      </c>
      <c r="B6" s="129"/>
      <c r="C6" s="129"/>
      <c r="D6" s="185" t="n">
        <f aca="true">VLOOKUP(D4,NSG_Sendouts,CELL("Col",NSG_Deliveries!C5),FALSE())/1000</f>
        <v>29.4</v>
      </c>
      <c r="E6" s="185" t="n">
        <f aca="true">VLOOKUP(E4,NSG_Sendouts,CELL("Col",NSG_Deliveries!C6),FALSE())/1000</f>
        <v>30</v>
      </c>
      <c r="F6" s="185" t="n">
        <f aca="true">VLOOKUP(F4,NSG_Sendouts,CELL("Col",NSG_Deliveries!C7),FALSE())/1000</f>
        <v>31</v>
      </c>
      <c r="G6" s="185" t="n">
        <f aca="true">VLOOKUP(G4,NSG_Sendouts,CELL("Col",NSG_Deliveries!C8),FALSE())/1000</f>
        <v>31</v>
      </c>
      <c r="H6" s="185" t="n">
        <f aca="true">VLOOKUP(H4,NSG_Sendouts,CELL("Col",NSG_Deliveries!C9),FALSE())/1000</f>
        <v>31</v>
      </c>
      <c r="I6" s="186" t="n">
        <f aca="true">VLOOKUP(I4,NSG_Sendouts,CELL("Col",NSG_Deliveries!C10),FALSE())/1000</f>
        <v>31</v>
      </c>
      <c r="J6" s="122"/>
    </row>
    <row r="7" customFormat="false" ht="24.95" hidden="false" customHeight="true" outlineLevel="0" collapsed="false">
      <c r="A7" s="138" t="s">
        <v>242</v>
      </c>
      <c r="B7" s="129" t="s">
        <v>243</v>
      </c>
      <c r="C7" s="129" t="s">
        <v>77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245</v>
      </c>
      <c r="C8" s="143" t="s">
        <v>153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248</v>
      </c>
      <c r="C9" s="143" t="s">
        <v>153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276</v>
      </c>
      <c r="B10" s="161" t="s">
        <v>277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254</v>
      </c>
      <c r="B11" s="170"/>
      <c r="C11" s="170"/>
      <c r="D11" s="190" t="n">
        <f aca="false">SUM(D6:D10)</f>
        <v>36.4</v>
      </c>
      <c r="E11" s="190" t="n">
        <f aca="false">SUM(E6:E10)</f>
        <v>37</v>
      </c>
      <c r="F11" s="190" t="n">
        <f aca="false">SUM(F6:F10)</f>
        <v>38</v>
      </c>
      <c r="G11" s="190" t="n">
        <f aca="false">SUM(G6:G10)</f>
        <v>38</v>
      </c>
      <c r="H11" s="190" t="n">
        <f aca="false">SUM(H6:H10)</f>
        <v>38</v>
      </c>
      <c r="I11" s="191" t="n">
        <f aca="false">SUM(I6:I10)</f>
        <v>38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255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278</v>
      </c>
      <c r="B14" s="129" t="s">
        <v>243</v>
      </c>
      <c r="C14" s="129" t="s">
        <v>279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245</v>
      </c>
      <c r="C15" s="129" t="s">
        <v>280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281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248</v>
      </c>
      <c r="C17" s="143" t="s">
        <v>282</v>
      </c>
      <c r="D17" s="185" t="n">
        <f aca="false">NSG_Supplies!F7/1000</f>
        <v>7.085</v>
      </c>
      <c r="E17" s="185" t="n">
        <f aca="false">NSG_Supplies!F8/1000</f>
        <v>5.18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131</v>
      </c>
      <c r="C18" s="129" t="s">
        <v>283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284</v>
      </c>
      <c r="B19" s="129" t="s">
        <v>248</v>
      </c>
      <c r="C19" s="198" t="s">
        <v>285</v>
      </c>
      <c r="D19" s="185" t="n">
        <f aca="false">NSG_Supplies!Q7/1000</f>
        <v>24.824</v>
      </c>
      <c r="E19" s="185" t="n">
        <f aca="false">NSG_Supplies!Q8/1000</f>
        <v>24.824</v>
      </c>
      <c r="F19" s="185" t="n">
        <f aca="false">NSG_Supplies!Q9/1000</f>
        <v>24.824</v>
      </c>
      <c r="G19" s="185" t="n">
        <f aca="false">NSG_Supplies!Q10/1000</f>
        <v>24.824</v>
      </c>
      <c r="H19" s="185" t="n">
        <f aca="false">NSG_Supplies!Q11/1000</f>
        <v>24.824</v>
      </c>
      <c r="I19" s="186" t="n">
        <f aca="false">NSG_Supplies!Q12/1000</f>
        <v>24.824</v>
      </c>
      <c r="J19" s="180"/>
    </row>
    <row r="20" customFormat="false" ht="24.95" hidden="false" customHeight="true" outlineLevel="0" collapsed="false">
      <c r="A20" s="138"/>
      <c r="B20" s="129" t="s">
        <v>245</v>
      </c>
      <c r="C20" s="129" t="s">
        <v>286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268</v>
      </c>
      <c r="B21" s="200"/>
      <c r="C21" s="200"/>
      <c r="D21" s="201" t="n">
        <f aca="false">SUM(D14:D20)</f>
        <v>38.909</v>
      </c>
      <c r="E21" s="201" t="n">
        <f aca="false">SUM(E14:E20)</f>
        <v>37.004</v>
      </c>
      <c r="F21" s="201" t="n">
        <f aca="false">SUM(F14:F20)</f>
        <v>31.824</v>
      </c>
      <c r="G21" s="201" t="n">
        <f aca="false">SUM(G14:G20)</f>
        <v>31.824</v>
      </c>
      <c r="H21" s="201" t="n">
        <f aca="false">SUM(H14:H20)</f>
        <v>31.824</v>
      </c>
      <c r="I21" s="202" t="n">
        <f aca="false">SUM(I14:I20)</f>
        <v>31.824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269</v>
      </c>
      <c r="B22" s="205"/>
      <c r="C22" s="205"/>
      <c r="D22" s="206" t="n">
        <f aca="false">IF(D21-D11&lt;0,0,D21-D11)</f>
        <v>2.50900000000001</v>
      </c>
      <c r="E22" s="206" t="n">
        <f aca="false">IF(E21-E11&lt;0,0,E21-E11)</f>
        <v>0.00400000000000489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270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0</v>
      </c>
      <c r="F23" s="209" t="n">
        <f aca="false">IF(F11-F21&lt;0,0,F11-F21)</f>
        <v>6.176</v>
      </c>
      <c r="G23" s="209" t="n">
        <f aca="false">IF(G11-G21&lt;0,0,G11-G21)</f>
        <v>6.176</v>
      </c>
      <c r="H23" s="209" t="n">
        <f aca="false">IF(H11-H21&lt;0,0,H11-H21)</f>
        <v>6.176</v>
      </c>
      <c r="I23" s="210" t="n">
        <f aca="false">IF(I11-I21&lt;0,0,I11-I21)</f>
        <v>6.176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287</v>
      </c>
      <c r="B24" s="212"/>
      <c r="C24" s="212"/>
      <c r="D24" s="213" t="n">
        <f aca="false">NSG_Supplies!R7/1000</f>
        <v>14.834</v>
      </c>
      <c r="E24" s="213" t="n">
        <f aca="false">NSG_Supplies!R8/1000</f>
        <v>14.834</v>
      </c>
      <c r="F24" s="213" t="n">
        <f aca="false">NSG_Supplies!R9/1000</f>
        <v>14.834</v>
      </c>
      <c r="G24" s="213" t="n">
        <f aca="false">NSG_Supplies!R10/1000</f>
        <v>14.834</v>
      </c>
      <c r="H24" s="213" t="n">
        <f aca="false">NSG_Supplies!R11/1000</f>
        <v>14.834</v>
      </c>
      <c r="I24" s="214" t="n">
        <f aca="false">NSG_Supplies!R12/1000</f>
        <v>14.834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288</v>
      </c>
      <c r="B26" s="217"/>
      <c r="C26" s="217"/>
      <c r="D26" s="218" t="n">
        <f aca="false">Weather_Input!D5</f>
        <v>6.2</v>
      </c>
      <c r="E26" s="218" t="n">
        <f aca="false">Weather_Input!D6</f>
        <v>7</v>
      </c>
      <c r="F26" s="218" t="n">
        <f aca="false">Weather_Input!D7</f>
        <v>8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88</v>
      </c>
      <c r="D1" s="223"/>
      <c r="E1" s="220" t="s">
        <v>0</v>
      </c>
      <c r="F1" s="222" t="s">
        <v>289</v>
      </c>
      <c r="G1" s="224" t="s">
        <v>0</v>
      </c>
      <c r="H1" s="224"/>
      <c r="I1" s="225" t="s">
        <v>0</v>
      </c>
      <c r="J1" s="226"/>
      <c r="K1" s="226"/>
      <c r="L1" s="227" t="s">
        <v>290</v>
      </c>
      <c r="M1" s="228" t="n">
        <f aca="false">Weather_Input!A5</f>
        <v>37114</v>
      </c>
      <c r="N1" s="229" t="str">
        <f aca="false">CHOOSE(WEEKDAY(M1),"SUN","MON","TUE","WED","THU","FRI","SAT")</f>
        <v>SAT</v>
      </c>
      <c r="O1" s="230"/>
    </row>
    <row r="2" customFormat="false" ht="15" hidden="false" customHeight="false" outlineLevel="0" collapsed="false">
      <c r="A2" s="231" t="s">
        <v>291</v>
      </c>
      <c r="B2" s="232" t="n">
        <f aca="false">PGL_Supplies!W7/1000</f>
        <v>0</v>
      </c>
      <c r="C2" s="233"/>
      <c r="D2" s="234"/>
      <c r="E2" s="235" t="s">
        <v>292</v>
      </c>
      <c r="F2" s="236"/>
      <c r="G2" s="237" t="s">
        <v>0</v>
      </c>
      <c r="H2" s="238" t="s">
        <v>0</v>
      </c>
      <c r="I2" s="239" t="s">
        <v>293</v>
      </c>
      <c r="J2" s="240" t="s">
        <v>294</v>
      </c>
      <c r="K2" s="241" t="s">
        <v>295</v>
      </c>
      <c r="L2" s="240" t="s">
        <v>18</v>
      </c>
      <c r="M2" s="241" t="s">
        <v>295</v>
      </c>
      <c r="N2" s="240" t="s">
        <v>18</v>
      </c>
      <c r="O2" s="242" t="s">
        <v>295</v>
      </c>
      <c r="Q2" s="243" t="s">
        <v>0</v>
      </c>
    </row>
    <row r="3" customFormat="false" ht="15.75" hidden="false" customHeight="false" outlineLevel="0" collapsed="false">
      <c r="A3" s="231" t="s">
        <v>296</v>
      </c>
      <c r="B3" s="244" t="n">
        <f aca="false">PGL_Requirements!I7/1000</f>
        <v>0</v>
      </c>
      <c r="C3" s="245" t="s">
        <v>0</v>
      </c>
      <c r="D3" s="246"/>
      <c r="E3" s="235" t="s">
        <v>297</v>
      </c>
      <c r="F3" s="232" t="n">
        <f aca="false">PGL_Supplies!H7/1000</f>
        <v>11.972</v>
      </c>
      <c r="G3" s="247" t="s">
        <v>0</v>
      </c>
      <c r="H3" s="238" t="s">
        <v>0</v>
      </c>
      <c r="I3" s="248" t="s">
        <v>0</v>
      </c>
      <c r="J3" s="249" t="n">
        <f aca="false">Weather_Input!B5</f>
        <v>79</v>
      </c>
      <c r="K3" s="250" t="n">
        <f aca="false">Weather_Input!C5</f>
        <v>61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298</v>
      </c>
      <c r="B4" s="255" t="n">
        <v>25</v>
      </c>
      <c r="C4" s="40"/>
      <c r="D4" s="256"/>
      <c r="E4" s="257" t="s">
        <v>299</v>
      </c>
      <c r="F4" s="258" t="n">
        <v>0</v>
      </c>
      <c r="G4" s="259" t="s">
        <v>0</v>
      </c>
      <c r="H4" s="260"/>
      <c r="I4" s="0" t="s">
        <v>300</v>
      </c>
      <c r="J4" s="261" t="s">
        <v>0</v>
      </c>
      <c r="K4" s="262" t="s">
        <v>0</v>
      </c>
      <c r="L4" s="263"/>
      <c r="M4" s="264"/>
      <c r="N4" s="263"/>
      <c r="O4" s="265"/>
    </row>
    <row r="5" customFormat="false" ht="16.5" hidden="false" customHeight="false" outlineLevel="0" collapsed="false">
      <c r="A5" s="266" t="s">
        <v>301</v>
      </c>
      <c r="B5" s="232" t="n">
        <f aca="false">PGL_Supplies!X7/1000</f>
        <v>96.749</v>
      </c>
      <c r="C5" s="267" t="s">
        <v>0</v>
      </c>
      <c r="D5" s="268"/>
      <c r="E5" s="269" t="s">
        <v>302</v>
      </c>
      <c r="F5" s="270" t="n">
        <f aca="false">F3+F4</f>
        <v>11.972</v>
      </c>
      <c r="G5" s="271" t="s">
        <v>0</v>
      </c>
      <c r="H5" s="272" t="s">
        <v>0</v>
      </c>
      <c r="I5" s="273" t="s">
        <v>303</v>
      </c>
      <c r="J5" s="274" t="s">
        <v>0</v>
      </c>
      <c r="K5" s="275" t="n">
        <f aca="false">PGL_Deliveries!C5/1000</f>
        <v>165</v>
      </c>
      <c r="L5" s="276"/>
      <c r="M5" s="252"/>
      <c r="N5" s="276"/>
      <c r="O5" s="253"/>
    </row>
    <row r="6" customFormat="false" ht="16.5" hidden="false" customHeight="false" outlineLevel="0" collapsed="false">
      <c r="A6" s="277" t="s">
        <v>304</v>
      </c>
      <c r="B6" s="278" t="n">
        <f aca="false">+B5-B3+B2-B4</f>
        <v>71.749</v>
      </c>
      <c r="C6" s="279" t="s">
        <v>0</v>
      </c>
      <c r="D6" s="280"/>
      <c r="E6" s="281" t="s">
        <v>0</v>
      </c>
      <c r="F6" s="282" t="s">
        <v>43</v>
      </c>
      <c r="G6" s="283"/>
      <c r="H6" s="284"/>
      <c r="I6" s="40" t="s">
        <v>305</v>
      </c>
      <c r="J6" s="285"/>
      <c r="K6" s="286" t="n">
        <f aca="false">PGL_Requirements!X7/1000</f>
        <v>0</v>
      </c>
      <c r="L6" s="285"/>
      <c r="M6" s="287"/>
      <c r="N6" s="40"/>
      <c r="O6" s="288"/>
    </row>
    <row r="7" customFormat="false" ht="16.5" hidden="false" customHeight="false" outlineLevel="0" collapsed="false">
      <c r="A7" s="289" t="s">
        <v>0</v>
      </c>
      <c r="B7" s="290" t="s">
        <v>0</v>
      </c>
      <c r="C7" s="291" t="s">
        <v>89</v>
      </c>
      <c r="D7" s="292"/>
      <c r="E7" s="231" t="s">
        <v>306</v>
      </c>
      <c r="F7" s="232" t="n">
        <f aca="false">PGL_Supplies!O7/1000</f>
        <v>0</v>
      </c>
      <c r="G7" s="293" t="s">
        <v>0</v>
      </c>
      <c r="H7" s="294"/>
      <c r="I7" s="295"/>
      <c r="J7" s="282" t="s">
        <v>0</v>
      </c>
      <c r="K7" s="282" t="s">
        <v>0</v>
      </c>
      <c r="L7" s="295"/>
      <c r="M7" s="295"/>
      <c r="N7" s="295"/>
      <c r="O7" s="296"/>
    </row>
    <row r="8" customFormat="false" ht="15" hidden="false" customHeight="false" outlineLevel="0" collapsed="false">
      <c r="A8" s="231" t="s">
        <v>307</v>
      </c>
      <c r="B8" s="232" t="n">
        <f aca="false">PGL_Requirements!T7/1000</f>
        <v>35.345</v>
      </c>
      <c r="C8" s="297"/>
      <c r="D8" s="246"/>
      <c r="E8" s="231" t="s">
        <v>308</v>
      </c>
      <c r="F8" s="247" t="n">
        <f aca="false">PGL_Requirements!E7/1000</f>
        <v>0</v>
      </c>
      <c r="G8" s="293" t="s">
        <v>0</v>
      </c>
      <c r="H8" s="294"/>
      <c r="I8" s="298" t="s">
        <v>309</v>
      </c>
      <c r="J8" s="299" t="s">
        <v>0</v>
      </c>
      <c r="K8" s="300" t="n">
        <f aca="false">B4</f>
        <v>25</v>
      </c>
      <c r="L8" s="301"/>
      <c r="M8" s="252"/>
      <c r="N8" s="301"/>
      <c r="O8" s="253" t="s">
        <v>0</v>
      </c>
    </row>
    <row r="9" customFormat="false" ht="15" hidden="false" customHeight="false" outlineLevel="0" collapsed="false">
      <c r="A9" s="231" t="s">
        <v>310</v>
      </c>
      <c r="B9" s="232" t="n">
        <f aca="false">PGL_Supplies!P7/1000</f>
        <v>0</v>
      </c>
      <c r="C9" s="246"/>
      <c r="D9" s="246"/>
      <c r="E9" s="231" t="s">
        <v>311</v>
      </c>
      <c r="F9" s="232" t="n">
        <f aca="false">PGL_Supplies!F7/1000</f>
        <v>0</v>
      </c>
      <c r="G9" s="232"/>
      <c r="H9" s="294"/>
      <c r="I9" s="40" t="s">
        <v>88</v>
      </c>
      <c r="J9" s="261"/>
      <c r="K9" s="302" t="n">
        <f aca="false">+B6</f>
        <v>71.749</v>
      </c>
      <c r="L9" s="261"/>
      <c r="M9" s="264"/>
      <c r="N9" s="263"/>
      <c r="O9" s="303" t="s">
        <v>0</v>
      </c>
    </row>
    <row r="10" customFormat="false" ht="15.75" hidden="false" customHeight="false" outlineLevel="0" collapsed="false">
      <c r="A10" s="304" t="s">
        <v>312</v>
      </c>
      <c r="B10" s="232" t="n">
        <f aca="false">PGL_Supplies!Y7/1000</f>
        <v>35.418</v>
      </c>
      <c r="C10" s="40"/>
      <c r="D10" s="305"/>
      <c r="E10" s="231" t="s">
        <v>313</v>
      </c>
      <c r="F10" s="306" t="n">
        <f aca="false">PGL_Supplies!AC7/1000</f>
        <v>2.499</v>
      </c>
      <c r="G10" s="307"/>
      <c r="H10" s="308"/>
      <c r="I10" s="309" t="s">
        <v>314</v>
      </c>
      <c r="J10" s="310" t="s">
        <v>0</v>
      </c>
      <c r="K10" s="300" t="n">
        <f aca="false">B11</f>
        <v>0.0730000000000004</v>
      </c>
      <c r="L10" s="276"/>
      <c r="M10" s="311" t="s">
        <v>0</v>
      </c>
      <c r="N10" s="276"/>
      <c r="O10" s="303" t="s">
        <v>0</v>
      </c>
    </row>
    <row r="11" customFormat="false" ht="16.5" hidden="false" customHeight="false" outlineLevel="0" collapsed="false">
      <c r="A11" s="277" t="s">
        <v>304</v>
      </c>
      <c r="B11" s="271" t="n">
        <f aca="false">B10+B9-B8</f>
        <v>0.0730000000000004</v>
      </c>
      <c r="C11" s="280"/>
      <c r="D11" s="280"/>
      <c r="E11" s="312" t="s">
        <v>315</v>
      </c>
      <c r="F11" s="313" t="n">
        <f aca="false">+F10+F9-F8+F7</f>
        <v>2.499</v>
      </c>
      <c r="G11" s="270" t="s">
        <v>0</v>
      </c>
      <c r="H11" s="314"/>
      <c r="I11" s="309" t="s">
        <v>77</v>
      </c>
      <c r="J11" s="310" t="s">
        <v>0</v>
      </c>
      <c r="K11" s="300" t="n">
        <f aca="false">B19</f>
        <v>-145.566</v>
      </c>
      <c r="L11" s="276"/>
      <c r="M11" s="252" t="s">
        <v>0</v>
      </c>
      <c r="N11" s="276"/>
      <c r="O11" s="253"/>
    </row>
    <row r="12" customFormat="false" ht="16.5" hidden="false" customHeight="false" outlineLevel="0" collapsed="false">
      <c r="A12" s="315" t="s">
        <v>0</v>
      </c>
      <c r="B12" s="291" t="s">
        <v>0</v>
      </c>
      <c r="C12" s="291" t="s">
        <v>77</v>
      </c>
      <c r="D12" s="316"/>
      <c r="E12" s="317" t="s">
        <v>0</v>
      </c>
      <c r="F12" s="318" t="s">
        <v>316</v>
      </c>
      <c r="G12" s="319"/>
      <c r="H12" s="320"/>
      <c r="I12" s="309" t="s">
        <v>317</v>
      </c>
      <c r="J12" s="310" t="s">
        <v>0</v>
      </c>
      <c r="K12" s="300" t="n">
        <f aca="false">B28</f>
        <v>0</v>
      </c>
      <c r="L12" s="276"/>
      <c r="M12" s="252" t="s">
        <v>0</v>
      </c>
      <c r="N12" s="276"/>
      <c r="O12" s="253"/>
    </row>
    <row r="13" customFormat="false" ht="15" hidden="false" customHeight="false" outlineLevel="0" collapsed="false">
      <c r="A13" s="231" t="s">
        <v>97</v>
      </c>
      <c r="B13" s="232" t="n">
        <f aca="false">PGL_Requirements!O7/1000</f>
        <v>146.19</v>
      </c>
      <c r="C13" s="246"/>
      <c r="D13" s="321"/>
      <c r="E13" s="322" t="s">
        <v>318</v>
      </c>
      <c r="F13" s="236" t="s">
        <v>0</v>
      </c>
      <c r="G13" s="323" t="s">
        <v>0</v>
      </c>
      <c r="H13" s="324" t="s">
        <v>0</v>
      </c>
      <c r="I13" s="309" t="s">
        <v>319</v>
      </c>
      <c r="J13" s="325" t="s">
        <v>0</v>
      </c>
      <c r="K13" s="300" t="n">
        <f aca="false">B34</f>
        <v>186.072</v>
      </c>
      <c r="L13" s="276"/>
      <c r="M13" s="252" t="s">
        <v>0</v>
      </c>
      <c r="N13" s="276"/>
      <c r="O13" s="253"/>
    </row>
    <row r="14" customFormat="false" ht="15" hidden="false" customHeight="false" outlineLevel="0" collapsed="false">
      <c r="A14" s="231" t="s">
        <v>320</v>
      </c>
      <c r="B14" s="232" t="n">
        <f aca="false">PGL_Supplies!L7/1000</f>
        <v>0</v>
      </c>
      <c r="C14" s="246"/>
      <c r="D14" s="321"/>
      <c r="E14" s="326" t="s">
        <v>321</v>
      </c>
      <c r="F14" s="246"/>
      <c r="G14" s="327"/>
      <c r="H14" s="328"/>
      <c r="I14" s="309" t="s">
        <v>322</v>
      </c>
      <c r="J14" s="310" t="s">
        <v>0</v>
      </c>
      <c r="K14" s="329" t="n">
        <f aca="false">F5</f>
        <v>11.972</v>
      </c>
      <c r="L14" s="276"/>
      <c r="M14" s="252" t="s">
        <v>0</v>
      </c>
      <c r="N14" s="276"/>
      <c r="O14" s="253"/>
    </row>
    <row r="15" customFormat="false" ht="16.5" hidden="false" customHeight="false" outlineLevel="0" collapsed="false">
      <c r="A15" s="231" t="s">
        <v>323</v>
      </c>
      <c r="B15" s="232" t="n">
        <f aca="false">SUM(PGL_Requirements!B7/1000)</f>
        <v>0</v>
      </c>
      <c r="C15" s="246"/>
      <c r="D15" s="294"/>
      <c r="E15" s="330" t="s">
        <v>324</v>
      </c>
      <c r="F15" s="331"/>
      <c r="G15" s="285"/>
      <c r="H15" s="332"/>
      <c r="I15" s="309" t="s">
        <v>325</v>
      </c>
      <c r="J15" s="310" t="s">
        <v>2</v>
      </c>
      <c r="K15" s="300" t="n">
        <f aca="false">F11</f>
        <v>2.499</v>
      </c>
      <c r="L15" s="276"/>
      <c r="M15" s="252" t="s">
        <v>0</v>
      </c>
      <c r="N15" s="276"/>
      <c r="O15" s="253"/>
    </row>
    <row r="16" customFormat="false" ht="16.5" hidden="false" customHeight="false" outlineLevel="0" collapsed="false">
      <c r="A16" s="231" t="s">
        <v>326</v>
      </c>
      <c r="B16" s="232" t="n">
        <f aca="false">PGL_Supplies!G7/1000</f>
        <v>1.254</v>
      </c>
      <c r="C16" s="246"/>
      <c r="D16" s="294"/>
      <c r="E16" s="333" t="s">
        <v>0</v>
      </c>
      <c r="F16" s="295" t="s">
        <v>327</v>
      </c>
      <c r="G16" s="334"/>
      <c r="H16" s="335"/>
      <c r="I16" s="309" t="s">
        <v>328</v>
      </c>
      <c r="J16" s="310" t="s">
        <v>2</v>
      </c>
      <c r="K16" s="329" t="n">
        <f aca="false">PGL_Supplies!B7/1000</f>
        <v>0</v>
      </c>
      <c r="L16" s="276"/>
      <c r="M16" s="252" t="s">
        <v>0</v>
      </c>
      <c r="N16" s="276"/>
      <c r="O16" s="253"/>
    </row>
    <row r="17" customFormat="false" ht="15" hidden="false" customHeight="true" outlineLevel="0" collapsed="false">
      <c r="A17" s="336" t="s">
        <v>329</v>
      </c>
      <c r="B17" s="232" t="n">
        <f aca="false">PGL_Requirements!Q7/1000</f>
        <v>0.63</v>
      </c>
      <c r="C17" s="246"/>
      <c r="D17" s="294"/>
      <c r="E17" s="337" t="s">
        <v>330</v>
      </c>
      <c r="F17" s="338" t="n">
        <f aca="false">+PGL_Supplies!J7/1000</f>
        <v>0</v>
      </c>
      <c r="G17" s="339" t="s">
        <v>0</v>
      </c>
      <c r="H17" s="340" t="s">
        <v>0</v>
      </c>
      <c r="I17" s="309" t="s">
        <v>331</v>
      </c>
      <c r="J17" s="341" t="s">
        <v>0</v>
      </c>
      <c r="K17" s="342" t="n">
        <f aca="false">-PGL_Requirements!F7/1000</f>
        <v>-8.761</v>
      </c>
      <c r="L17" s="276"/>
      <c r="M17" s="252"/>
      <c r="N17" s="276"/>
      <c r="O17" s="253"/>
    </row>
    <row r="18" customFormat="false" ht="16.5" hidden="false" customHeight="false" outlineLevel="0" collapsed="false">
      <c r="A18" s="231" t="s">
        <v>332</v>
      </c>
      <c r="B18" s="232" t="n">
        <f aca="false">PGL_Requirements!P7/1000</f>
        <v>2.19285</v>
      </c>
      <c r="C18" s="268"/>
      <c r="D18" s="308"/>
      <c r="E18" s="281" t="s">
        <v>0</v>
      </c>
      <c r="F18" s="295" t="s">
        <v>333</v>
      </c>
      <c r="G18" s="283"/>
      <c r="H18" s="284"/>
      <c r="I18" s="0" t="s">
        <v>334</v>
      </c>
      <c r="J18" s="261"/>
      <c r="K18" s="343" t="n">
        <f aca="false">-F19</f>
        <v>-0</v>
      </c>
      <c r="L18" s="261"/>
      <c r="M18" s="344"/>
      <c r="N18" s="261"/>
      <c r="O18" s="265"/>
    </row>
    <row r="19" customFormat="false" ht="16.5" hidden="false" customHeight="false" outlineLevel="0" collapsed="false">
      <c r="A19" s="277" t="s">
        <v>302</v>
      </c>
      <c r="B19" s="345" t="n">
        <f aca="false">-B13+B14+B16-B17-B15+B20+B21</f>
        <v>-145.566</v>
      </c>
      <c r="C19" s="346"/>
      <c r="D19" s="314"/>
      <c r="E19" s="347" t="s">
        <v>335</v>
      </c>
      <c r="F19" s="348" t="n">
        <f aca="false">PGL_Requirements!J7/1000</f>
        <v>0</v>
      </c>
      <c r="G19" s="349" t="s">
        <v>0</v>
      </c>
      <c r="H19" s="350" t="s">
        <v>0</v>
      </c>
      <c r="I19" s="0" t="s">
        <v>238</v>
      </c>
      <c r="J19" s="351"/>
      <c r="K19" s="352" t="n">
        <f aca="false">-F24</f>
        <v>-3.1925</v>
      </c>
      <c r="L19" s="351"/>
      <c r="M19" s="353"/>
      <c r="N19" s="351"/>
      <c r="O19" s="354"/>
    </row>
    <row r="20" customFormat="false" ht="16.5" hidden="false" customHeight="false" outlineLevel="0" collapsed="false">
      <c r="A20" s="231" t="s">
        <v>336</v>
      </c>
      <c r="B20" s="232" t="n">
        <v>0</v>
      </c>
      <c r="C20" s="355"/>
      <c r="D20" s="356"/>
      <c r="E20" s="40"/>
      <c r="F20" s="40"/>
      <c r="G20" s="40"/>
      <c r="H20" s="357"/>
      <c r="I20" s="358" t="s">
        <v>324</v>
      </c>
      <c r="J20" s="359" t="s">
        <v>0</v>
      </c>
      <c r="K20" s="360" t="n">
        <f aca="false">SUM(K8:K19)</f>
        <v>139.8455</v>
      </c>
      <c r="L20" s="361" t="s">
        <v>0</v>
      </c>
      <c r="M20" s="362" t="s">
        <v>0</v>
      </c>
      <c r="N20" s="361" t="s">
        <v>0</v>
      </c>
      <c r="O20" s="363"/>
    </row>
    <row r="21" customFormat="false" ht="16.5" hidden="false" customHeight="false" outlineLevel="0" collapsed="false">
      <c r="A21" s="231" t="s">
        <v>337</v>
      </c>
      <c r="B21" s="364" t="n">
        <v>0</v>
      </c>
      <c r="C21" s="365"/>
      <c r="D21" s="366"/>
      <c r="E21" s="367" t="s">
        <v>338</v>
      </c>
      <c r="F21" s="255" t="n">
        <v>0</v>
      </c>
      <c r="G21" s="368"/>
      <c r="H21" s="369"/>
      <c r="I21" s="282" t="s">
        <v>44</v>
      </c>
      <c r="J21" s="370" t="s">
        <v>0</v>
      </c>
      <c r="K21" s="371"/>
      <c r="L21" s="372"/>
      <c r="M21" s="372" t="s">
        <v>339</v>
      </c>
      <c r="N21" s="372"/>
      <c r="O21" s="296"/>
    </row>
    <row r="22" customFormat="false" ht="15.75" hidden="false" customHeight="false" outlineLevel="0" collapsed="false">
      <c r="A22" s="373" t="s">
        <v>340</v>
      </c>
      <c r="B22" s="374" t="n">
        <f aca="false">SUM(B4)</f>
        <v>25</v>
      </c>
      <c r="C22" s="375"/>
      <c r="D22" s="376"/>
      <c r="E22" s="367" t="s">
        <v>341</v>
      </c>
      <c r="F22" s="255" t="n">
        <v>0</v>
      </c>
      <c r="G22" s="368"/>
      <c r="H22" s="369"/>
      <c r="I22" s="309" t="s">
        <v>342</v>
      </c>
      <c r="J22" s="310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5" t="s">
        <v>0</v>
      </c>
      <c r="B23" s="380" t="s">
        <v>0</v>
      </c>
      <c r="C23" s="381" t="s">
        <v>90</v>
      </c>
      <c r="D23" s="284"/>
      <c r="E23" s="382" t="s">
        <v>343</v>
      </c>
      <c r="F23" s="383" t="n">
        <v>0</v>
      </c>
      <c r="G23" s="331"/>
      <c r="H23" s="332"/>
      <c r="I23" s="309" t="s">
        <v>344</v>
      </c>
      <c r="J23" s="310" t="s">
        <v>0</v>
      </c>
      <c r="K23" s="300" t="n">
        <f aca="false">K5+K6-K20</f>
        <v>25.1545</v>
      </c>
      <c r="L23" s="378"/>
      <c r="M23" s="311" t="s">
        <v>0</v>
      </c>
      <c r="N23" s="378"/>
      <c r="O23" s="384"/>
    </row>
    <row r="24" customFormat="false" ht="16.5" hidden="false" customHeight="false" outlineLevel="0" collapsed="false">
      <c r="A24" s="231" t="s">
        <v>345</v>
      </c>
      <c r="B24" s="232" t="n">
        <f aca="false">PGL_Supplies!C7/1000</f>
        <v>0</v>
      </c>
      <c r="C24" s="385"/>
      <c r="D24" s="294"/>
      <c r="E24" s="386" t="s">
        <v>346</v>
      </c>
      <c r="F24" s="348" t="n">
        <f aca="false">PGL_Requirements!G7/1000*0.5</f>
        <v>3.1925</v>
      </c>
      <c r="G24" s="349"/>
      <c r="H24" s="387"/>
      <c r="I24" s="388" t="s">
        <v>292</v>
      </c>
      <c r="J24" s="310" t="s">
        <v>0</v>
      </c>
      <c r="K24" s="300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347</v>
      </c>
      <c r="B25" s="391" t="n">
        <f aca="false">PGL_Supplies!C7/1000</f>
        <v>0</v>
      </c>
      <c r="C25" s="392"/>
      <c r="D25" s="294"/>
      <c r="E25" s="393" t="s">
        <v>348</v>
      </c>
      <c r="F25" s="394" t="n">
        <v>0</v>
      </c>
      <c r="G25" s="395"/>
      <c r="H25" s="396"/>
      <c r="I25" s="309" t="s">
        <v>349</v>
      </c>
      <c r="J25" s="397" t="s">
        <v>0</v>
      </c>
      <c r="K25" s="398" t="n">
        <f aca="false">SUM(B18+B20+B21)</f>
        <v>2.19285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178</v>
      </c>
      <c r="B26" s="391" t="n">
        <f aca="false">PGL_Supplies!Z7/1000</f>
        <v>0</v>
      </c>
      <c r="C26" s="246"/>
      <c r="D26" s="294"/>
      <c r="E26" s="40"/>
      <c r="F26" s="402"/>
      <c r="G26" s="40"/>
      <c r="H26" s="403"/>
      <c r="I26" s="404" t="s">
        <v>350</v>
      </c>
      <c r="J26" s="405" t="s">
        <v>0</v>
      </c>
      <c r="K26" s="406" t="n">
        <f aca="false">SUM(K23:K25)</f>
        <v>27.34735</v>
      </c>
      <c r="L26" s="405" t="s">
        <v>0</v>
      </c>
      <c r="M26" s="311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351</v>
      </c>
      <c r="B27" s="232" t="n">
        <f aca="false">PGL_Supplies!Q7/1000</f>
        <v>0</v>
      </c>
      <c r="C27" s="385"/>
      <c r="D27" s="294"/>
      <c r="E27" s="347" t="s">
        <v>352</v>
      </c>
      <c r="F27" s="409"/>
      <c r="G27" s="349"/>
      <c r="H27" s="350"/>
      <c r="I27" s="298" t="s">
        <v>353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7" t="s">
        <v>304</v>
      </c>
      <c r="B28" s="270" t="n">
        <f aca="false">-B24+B25+B26+B27</f>
        <v>0</v>
      </c>
      <c r="C28" s="415"/>
      <c r="D28" s="314"/>
      <c r="E28" s="40"/>
      <c r="F28" s="402"/>
      <c r="G28" s="40"/>
      <c r="H28" s="403"/>
      <c r="I28" s="309" t="s">
        <v>354</v>
      </c>
      <c r="J28" s="416"/>
      <c r="K28" s="342" t="n">
        <f aca="false">PGL_Requirements!N7/1000</f>
        <v>25.859</v>
      </c>
      <c r="L28" s="341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355</v>
      </c>
      <c r="C29" s="420"/>
      <c r="D29" s="420"/>
      <c r="E29" s="421" t="s">
        <v>356</v>
      </c>
      <c r="F29" s="383"/>
      <c r="G29" s="331"/>
      <c r="H29" s="422"/>
      <c r="I29" s="309" t="s">
        <v>357</v>
      </c>
      <c r="J29" s="423"/>
      <c r="K29" s="424" t="n">
        <f aca="false">-PGL_Supplies!K7/1000</f>
        <v>-0</v>
      </c>
      <c r="L29" s="341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6" t="s">
        <v>358</v>
      </c>
      <c r="B30" s="247" t="n">
        <f aca="false">PGL_Requirements!D7/1000</f>
        <v>0</v>
      </c>
      <c r="C30" s="327"/>
      <c r="D30" s="247" t="s">
        <v>0</v>
      </c>
      <c r="E30" s="426" t="s">
        <v>359</v>
      </c>
      <c r="F30" s="255"/>
      <c r="G30" s="368"/>
      <c r="H30" s="427"/>
      <c r="I30" s="428" t="s">
        <v>360</v>
      </c>
      <c r="J30" s="429"/>
      <c r="K30" s="286" t="n">
        <f aca="false">-PGL_Supplies!AB7/1000</f>
        <v>-55.694</v>
      </c>
      <c r="L30" s="430"/>
      <c r="M30" s="431" t="n">
        <f aca="false">-PGL_Supplies!AB7/1000</f>
        <v>-55.694</v>
      </c>
      <c r="N30" s="432"/>
      <c r="O30" s="433" t="n">
        <f aca="false">-PGL_Supplies!AB7/1000</f>
        <v>-55.694</v>
      </c>
    </row>
    <row r="31" customFormat="false" ht="16.5" hidden="false" customHeight="false" outlineLevel="0" collapsed="false">
      <c r="A31" s="336" t="s">
        <v>361</v>
      </c>
      <c r="B31" s="391" t="n">
        <f aca="false">PGL_Supplies!D7/1000</f>
        <v>0</v>
      </c>
      <c r="C31" s="391" t="s">
        <v>0</v>
      </c>
      <c r="D31" s="434" t="s">
        <v>0</v>
      </c>
      <c r="E31" s="353" t="s">
        <v>362</v>
      </c>
      <c r="F31" s="435"/>
      <c r="G31" s="305"/>
      <c r="H31" s="436"/>
      <c r="I31" s="437" t="s">
        <v>363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178</v>
      </c>
      <c r="B32" s="391" t="n">
        <f aca="false">PGL_Supplies!AA7/1000+NSG_Supplies!M7/1000</f>
        <v>166.072</v>
      </c>
      <c r="C32" s="391" t="s">
        <v>0</v>
      </c>
      <c r="D32" s="434" t="s">
        <v>0</v>
      </c>
      <c r="E32" s="386" t="s">
        <v>364</v>
      </c>
      <c r="F32" s="438"/>
      <c r="G32" s="439"/>
      <c r="H32" s="387"/>
      <c r="I32" s="298" t="s">
        <v>365</v>
      </c>
      <c r="J32" s="355"/>
      <c r="K32" s="440"/>
      <c r="L32" s="441" t="s">
        <v>366</v>
      </c>
      <c r="M32" s="40"/>
      <c r="N32" s="442"/>
      <c r="O32" s="443"/>
    </row>
    <row r="33" customFormat="false" ht="15.75" hidden="false" customHeight="false" outlineLevel="0" collapsed="false">
      <c r="A33" s="444" t="s">
        <v>367</v>
      </c>
      <c r="B33" s="391" t="n">
        <f aca="false">PGL_Supplies!R7/1000</f>
        <v>40</v>
      </c>
      <c r="C33" s="391" t="s">
        <v>0</v>
      </c>
      <c r="D33" s="256"/>
      <c r="E33" s="40"/>
      <c r="F33" s="40"/>
      <c r="G33" s="40"/>
      <c r="H33" s="403"/>
      <c r="I33" s="445" t="s">
        <v>368</v>
      </c>
      <c r="J33" s="446"/>
      <c r="K33" s="447"/>
      <c r="L33" s="448" t="s">
        <v>356</v>
      </c>
      <c r="M33" s="264"/>
      <c r="N33" s="261"/>
      <c r="O33" s="265"/>
    </row>
    <row r="34" customFormat="false" ht="16.5" hidden="false" customHeight="false" outlineLevel="0" collapsed="false">
      <c r="A34" s="449" t="s">
        <v>369</v>
      </c>
      <c r="B34" s="409" t="n">
        <f aca="false">-B30+B31+B32+B33*0.5</f>
        <v>186.072</v>
      </c>
      <c r="C34" s="349"/>
      <c r="D34" s="450" t="s">
        <v>0</v>
      </c>
      <c r="E34" s="451" t="s">
        <v>370</v>
      </c>
      <c r="F34" s="40"/>
      <c r="G34" s="40"/>
      <c r="H34" s="403"/>
      <c r="I34" s="452" t="s">
        <v>371</v>
      </c>
      <c r="J34" s="321"/>
      <c r="K34" s="453"/>
      <c r="L34" s="448" t="s">
        <v>372</v>
      </c>
      <c r="M34" s="264"/>
      <c r="N34" s="261"/>
      <c r="O34" s="265"/>
    </row>
    <row r="35" customFormat="false" ht="15" hidden="false" customHeight="false" outlineLevel="0" collapsed="false">
      <c r="A35" s="454" t="s">
        <v>373</v>
      </c>
      <c r="B35" s="455"/>
      <c r="C35" s="455"/>
      <c r="D35" s="456" t="s">
        <v>0</v>
      </c>
      <c r="E35" s="451" t="s">
        <v>374</v>
      </c>
      <c r="F35" s="40"/>
      <c r="G35" s="457" t="str">
        <f aca="false">G3</f>
        <v> </v>
      </c>
      <c r="H35" s="403"/>
      <c r="I35" s="452" t="s">
        <v>375</v>
      </c>
      <c r="J35" s="321"/>
      <c r="K35" s="447"/>
      <c r="L35" s="458" t="s">
        <v>376</v>
      </c>
      <c r="M35" s="264"/>
      <c r="N35" s="261"/>
      <c r="O35" s="265"/>
    </row>
    <row r="36" customFormat="false" ht="15" hidden="false" customHeight="false" outlineLevel="0" collapsed="false">
      <c r="A36" s="459" t="s">
        <v>377</v>
      </c>
      <c r="B36" s="232" t="n">
        <f aca="false">B34-B35-B37</f>
        <v>182.8795</v>
      </c>
      <c r="C36" s="460" t="s">
        <v>0</v>
      </c>
      <c r="D36" s="461" t="s">
        <v>0</v>
      </c>
      <c r="E36" s="451" t="s">
        <v>378</v>
      </c>
      <c r="F36" s="40"/>
      <c r="G36" s="40"/>
      <c r="H36" s="403"/>
      <c r="I36" s="452" t="s">
        <v>379</v>
      </c>
      <c r="J36" s="321"/>
      <c r="K36" s="447"/>
      <c r="L36" s="458" t="s">
        <v>52</v>
      </c>
      <c r="M36" s="264"/>
      <c r="N36" s="261"/>
      <c r="O36" s="265"/>
    </row>
    <row r="37" customFormat="false" ht="15" hidden="false" customHeight="false" outlineLevel="0" collapsed="false">
      <c r="A37" s="462" t="s">
        <v>380</v>
      </c>
      <c r="B37" s="463" t="n">
        <f aca="false">F24</f>
        <v>3.1925</v>
      </c>
      <c r="C37" s="261"/>
      <c r="D37" s="464" t="s">
        <v>0</v>
      </c>
      <c r="E37" s="40"/>
      <c r="F37" s="40"/>
      <c r="G37" s="40"/>
      <c r="H37" s="40"/>
      <c r="I37" s="465" t="s">
        <v>381</v>
      </c>
      <c r="J37" s="321"/>
      <c r="K37" s="447"/>
      <c r="L37" s="466" t="s">
        <v>382</v>
      </c>
      <c r="M37" s="264"/>
      <c r="N37" s="261"/>
      <c r="O37" s="265"/>
    </row>
    <row r="38" customFormat="false" ht="15" hidden="false" customHeight="false" outlineLevel="0" collapsed="false">
      <c r="A38" s="467" t="s">
        <v>383</v>
      </c>
      <c r="B38" s="255" t="s">
        <v>0</v>
      </c>
      <c r="C38" s="368"/>
      <c r="D38" s="256"/>
      <c r="E38" s="40"/>
      <c r="F38" s="40"/>
      <c r="G38" s="40"/>
      <c r="H38" s="40"/>
      <c r="I38" s="468" t="s">
        <v>384</v>
      </c>
      <c r="J38" s="321"/>
      <c r="K38" s="447"/>
      <c r="L38" s="297" t="s">
        <v>385</v>
      </c>
      <c r="M38" s="40"/>
      <c r="N38" s="469"/>
      <c r="O38" s="470"/>
    </row>
    <row r="39" customFormat="false" ht="16.5" hidden="false" customHeight="false" outlineLevel="0" collapsed="false">
      <c r="A39" s="471" t="s">
        <v>386</v>
      </c>
      <c r="B39" s="472" t="n">
        <f aca="false">B35+B36+B37</f>
        <v>186.072</v>
      </c>
      <c r="C39" s="473"/>
      <c r="D39" s="474" t="s">
        <v>0</v>
      </c>
      <c r="E39" s="40"/>
      <c r="F39" s="40"/>
      <c r="G39" s="40"/>
      <c r="H39" s="40"/>
      <c r="I39" s="475" t="s">
        <v>387</v>
      </c>
      <c r="J39" s="476"/>
      <c r="K39" s="477"/>
      <c r="L39" s="478" t="s">
        <v>388</v>
      </c>
      <c r="M39" s="287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389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7"/>
      <c r="L42" s="495"/>
    </row>
    <row r="43" customFormat="false" ht="15" hidden="false" customHeight="false" outlineLevel="0" collapsed="false">
      <c r="I43" s="40"/>
      <c r="J43" s="494"/>
      <c r="K43" s="297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290</v>
      </c>
      <c r="F1" s="227" t="str">
        <f aca="false">CHOOSE(WEEKDAY(G1),"SUN","MON","TUE","WED","THU","FRI","SAT")</f>
        <v>SAT</v>
      </c>
      <c r="G1" s="499" t="n">
        <f aca="false">Weather_Input!A5</f>
        <v>37114</v>
      </c>
      <c r="H1" s="227" t="s">
        <v>390</v>
      </c>
      <c r="I1" s="230"/>
    </row>
    <row r="2" customFormat="false" ht="20.25" hidden="false" customHeight="false" outlineLevel="0" collapsed="false">
      <c r="A2" s="500" t="s">
        <v>0</v>
      </c>
      <c r="B2" s="501" t="s">
        <v>391</v>
      </c>
      <c r="C2" s="502" t="s">
        <v>0</v>
      </c>
      <c r="D2" s="38" t="s">
        <v>392</v>
      </c>
      <c r="E2" s="503"/>
      <c r="F2" s="38" t="s">
        <v>393</v>
      </c>
      <c r="G2" s="503"/>
      <c r="H2" s="504" t="s">
        <v>394</v>
      </c>
      <c r="I2" s="505"/>
    </row>
    <row r="3" customFormat="false" ht="20.25" hidden="false" customHeight="false" outlineLevel="0" collapsed="false">
      <c r="A3" s="506" t="s">
        <v>395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79</v>
      </c>
      <c r="C4" s="513" t="n">
        <f aca="false">Weather_Input!C5</f>
        <v>61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237</v>
      </c>
      <c r="B5" s="519"/>
      <c r="C5" s="520" t="n">
        <f aca="false">NSG_Deliveries!C5/1000</f>
        <v>29.4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135</v>
      </c>
      <c r="B7" s="519"/>
      <c r="C7" s="529" t="n">
        <f aca="false">C5-C9-C11-C12</f>
        <v>29.4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396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397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398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160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189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399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400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401</v>
      </c>
      <c r="B18" s="524"/>
      <c r="C18" s="525" t="s">
        <v>0</v>
      </c>
      <c r="D18" s="526"/>
      <c r="E18" s="525"/>
      <c r="F18" s="526"/>
      <c r="G18" s="372" t="s">
        <v>402</v>
      </c>
      <c r="H18" s="524"/>
      <c r="I18" s="571"/>
    </row>
    <row r="19" customFormat="false" ht="24" hidden="false" customHeight="false" outlineLevel="0" collapsed="false">
      <c r="A19" s="572" t="s">
        <v>350</v>
      </c>
      <c r="B19" s="573"/>
      <c r="C19" s="574" t="n">
        <f aca="false">C7+C12</f>
        <v>29.4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403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404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405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354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357</v>
      </c>
      <c r="B24" s="584"/>
      <c r="C24" s="580" t="n">
        <f aca="false">-NSG_Supplies!F7/1000</f>
        <v>-7.085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360</v>
      </c>
      <c r="B25" s="587"/>
      <c r="C25" s="580" t="n">
        <f aca="false">-NSG_Supplies!Q7/1000</f>
        <v>-24.824</v>
      </c>
      <c r="D25" s="588"/>
      <c r="E25" s="580" t="n">
        <f aca="false">-NSG_Supplies!Q7/1000</f>
        <v>-24.824</v>
      </c>
      <c r="F25" s="588"/>
      <c r="G25" s="580" t="n">
        <f aca="false">-NSG_Supplies!Q7/1000</f>
        <v>-24.824</v>
      </c>
      <c r="H25" s="587"/>
      <c r="I25" s="589" t="n">
        <f aca="false">-NSG_Supplies!Q7/1000</f>
        <v>-24.824</v>
      </c>
    </row>
    <row r="26" customFormat="false" ht="20.25" hidden="false" customHeight="false" outlineLevel="0" collapsed="false">
      <c r="A26" s="578" t="s">
        <v>406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407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397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408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409</v>
      </c>
      <c r="G29" s="605"/>
      <c r="H29" s="605"/>
      <c r="I29" s="606"/>
    </row>
    <row r="30" customFormat="false" ht="20.25" hidden="false" customHeight="false" outlineLevel="0" collapsed="false">
      <c r="A30" s="607" t="s">
        <v>410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411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412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413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414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415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178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416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417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418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419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420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421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422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4" t="s">
        <v>423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416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90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424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425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413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178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426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427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428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290</v>
      </c>
      <c r="F1" s="655" t="n">
        <f aca="false">Weather_Input!A5</f>
        <v>37114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429</v>
      </c>
      <c r="C3" s="660" t="n">
        <v>44</v>
      </c>
      <c r="D3" s="239"/>
      <c r="E3" s="239"/>
      <c r="F3" s="660" t="s">
        <v>430</v>
      </c>
      <c r="G3" s="660"/>
      <c r="H3" s="239" t="s">
        <v>431</v>
      </c>
      <c r="I3" s="379"/>
    </row>
    <row r="4" customFormat="false" ht="17.1" hidden="false" customHeight="true" outlineLevel="0" collapsed="false">
      <c r="A4" s="661" t="s">
        <v>432</v>
      </c>
      <c r="B4" s="661" t="s">
        <v>432</v>
      </c>
      <c r="C4" s="378" t="s">
        <v>295</v>
      </c>
      <c r="D4" s="378" t="s">
        <v>18</v>
      </c>
      <c r="E4" s="378" t="s">
        <v>295</v>
      </c>
      <c r="F4" s="378" t="s">
        <v>18</v>
      </c>
      <c r="G4" s="378" t="s">
        <v>295</v>
      </c>
      <c r="H4" s="378" t="s">
        <v>18</v>
      </c>
      <c r="I4" s="253" t="s">
        <v>295</v>
      </c>
    </row>
    <row r="5" customFormat="false" ht="17.1" hidden="false" customHeight="true" outlineLevel="0" collapsed="false">
      <c r="A5" s="661" t="s">
        <v>433</v>
      </c>
      <c r="B5" s="378" t="n">
        <f aca="false">Weather_Input!B5</f>
        <v>79</v>
      </c>
      <c r="C5" s="378" t="n">
        <f aca="false">Weather_Input!C5</f>
        <v>61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434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435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436</v>
      </c>
      <c r="B8" s="665" t="n">
        <f aca="false">PGL_Deliveries!C5/1000</f>
        <v>165</v>
      </c>
      <c r="C8" s="666" t="n">
        <f aca="false">NSG_Deliveries!C5/1000</f>
        <v>29.4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66</v>
      </c>
      <c r="C9" s="670" t="s">
        <v>131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89</v>
      </c>
      <c r="B10" s="310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437</v>
      </c>
      <c r="B11" s="310" t="n">
        <f aca="false">+B54</f>
        <v>120.885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3" t="str">
        <f aca="false">+C11</f>
        <v> </v>
      </c>
    </row>
    <row r="12" customFormat="false" ht="17.1" hidden="false" customHeight="true" outlineLevel="0" collapsed="false">
      <c r="A12" s="658" t="s">
        <v>438</v>
      </c>
      <c r="B12" s="310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99</v>
      </c>
      <c r="B13" s="310" t="n">
        <f aca="false">PGL_Supplies!H7/1000</f>
        <v>11.972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439</v>
      </c>
      <c r="B14" s="325" t="n">
        <f aca="false">+B72</f>
        <v>-46.942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70</v>
      </c>
      <c r="B15" s="310" t="n">
        <f aca="false">+B46</f>
        <v>1.254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440</v>
      </c>
      <c r="B16" s="310" t="n">
        <f aca="false">PGL_Requirements!F7/1000</f>
        <v>8.761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441</v>
      </c>
      <c r="B17" s="310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442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78</v>
      </c>
      <c r="B19" s="299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443</v>
      </c>
      <c r="B20" s="310" t="e">
        <f aca="false">B8+B18+B19</f>
        <v>#REF!</v>
      </c>
      <c r="C20" s="685" t="n">
        <f aca="false">C8+C18+C19</f>
        <v>29.4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444</v>
      </c>
      <c r="B21" s="310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445</v>
      </c>
      <c r="B22" s="310" t="n">
        <f aca="false">+B44</f>
        <v>2.19285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446</v>
      </c>
      <c r="B23" s="688" t="e">
        <f aca="false">B20+B21+B22</f>
        <v>#REF!</v>
      </c>
      <c r="C23" s="689" t="n">
        <f aca="false">C20</f>
        <v>29.4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447</v>
      </c>
      <c r="B24" s="676" t="n">
        <f aca="false">-NSG_Requirements!$L$7/1000</f>
        <v>-0</v>
      </c>
      <c r="C24" s="676" t="n">
        <f aca="false">NSG_Requirements!$L$7/1000</f>
        <v>0</v>
      </c>
      <c r="D24" s="341" t="n">
        <f aca="false">B24</f>
        <v>-0</v>
      </c>
      <c r="E24" s="676" t="n">
        <f aca="false">C24</f>
        <v>0</v>
      </c>
      <c r="F24" s="341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448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449</v>
      </c>
      <c r="B27" s="697" t="n">
        <f aca="false">PGL_Requirements!Q7/1000</f>
        <v>0.63</v>
      </c>
      <c r="C27" s="697" t="n">
        <f aca="false">NSG_Requirements!P7/1000</f>
        <v>0</v>
      </c>
      <c r="D27" s="697" t="n">
        <f aca="false">PGL_Requirements!Q7/1000</f>
        <v>0.63</v>
      </c>
      <c r="E27" s="697" t="n">
        <f aca="false">NSG_Requirements!P7/1000</f>
        <v>0</v>
      </c>
      <c r="F27" s="697" t="n">
        <f aca="false">PGL_Requirements!Q7/1000</f>
        <v>0.63</v>
      </c>
      <c r="G27" s="697" t="n">
        <f aca="false">NSG_Requirements!P7/1000</f>
        <v>0</v>
      </c>
      <c r="H27" s="698" t="n">
        <f aca="false">+B27</f>
        <v>0.63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450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451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452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453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360</v>
      </c>
      <c r="B32" s="701" t="n">
        <f aca="false">-PGL_Supplies!AB7/1000</f>
        <v>-55.694</v>
      </c>
      <c r="C32" s="701" t="n">
        <f aca="false">-NSG_Supplies!Q7/1000</f>
        <v>-24.824</v>
      </c>
      <c r="D32" s="701" t="n">
        <f aca="false">B32</f>
        <v>-55.694</v>
      </c>
      <c r="E32" s="701" t="n">
        <f aca="false">C32</f>
        <v>-24.824</v>
      </c>
      <c r="F32" s="701" t="n">
        <f aca="false">B32</f>
        <v>-55.694</v>
      </c>
      <c r="G32" s="701" t="n">
        <f aca="false">C32</f>
        <v>-24.824</v>
      </c>
      <c r="H32" s="702" t="n">
        <f aca="false">B32</f>
        <v>-55.694</v>
      </c>
      <c r="I32" s="703" t="n">
        <f aca="false">C32</f>
        <v>-24.824</v>
      </c>
    </row>
    <row r="33" customFormat="false" ht="17.1" hidden="false" customHeight="true" outlineLevel="0" collapsed="false">
      <c r="A33" s="700" t="s">
        <v>454</v>
      </c>
      <c r="B33" s="701" t="n">
        <f aca="false">-PGL_Supplies!W7/1000</f>
        <v>-0</v>
      </c>
      <c r="C33" s="701" t="n">
        <f aca="false">-NSG_Supplies!R7/1000</f>
        <v>-14.834</v>
      </c>
      <c r="D33" s="701" t="n">
        <f aca="false">B33</f>
        <v>-0</v>
      </c>
      <c r="E33" s="701" t="n">
        <f aca="false">C33</f>
        <v>-14.834</v>
      </c>
      <c r="F33" s="701" t="n">
        <f aca="false">B33</f>
        <v>-0</v>
      </c>
      <c r="G33" s="701" t="n">
        <f aca="false">C33</f>
        <v>-14.834</v>
      </c>
      <c r="H33" s="702" t="n">
        <f aca="false">B33</f>
        <v>-0</v>
      </c>
      <c r="I33" s="703" t="n">
        <f aca="false">C33</f>
        <v>-14.834</v>
      </c>
    </row>
    <row r="34" customFormat="false" ht="17.1" hidden="false" customHeight="true" outlineLevel="0" collapsed="false">
      <c r="A34" s="696" t="s">
        <v>455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456</v>
      </c>
      <c r="B35" s="697" t="n">
        <f aca="false">PGL_Requirements!N7/1000</f>
        <v>25.859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457</v>
      </c>
      <c r="B36" s="701" t="n">
        <f aca="false">-PGL_Supplies!K7/1000</f>
        <v>-0</v>
      </c>
      <c r="C36" s="701" t="n">
        <f aca="false">-NSG_Supplies!F7/1000</f>
        <v>-7.085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458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459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9" t="s">
        <v>0</v>
      </c>
      <c r="B39" s="713" t="s">
        <v>460</v>
      </c>
      <c r="C39" s="714"/>
      <c r="D39" s="715"/>
      <c r="E39" s="716"/>
      <c r="F39" s="437" t="s">
        <v>363</v>
      </c>
      <c r="G39" s="437"/>
      <c r="H39" s="437"/>
      <c r="I39" s="437"/>
    </row>
    <row r="40" customFormat="false" ht="17.1" hidden="false" customHeight="true" outlineLevel="0" collapsed="false">
      <c r="A40" s="231" t="s">
        <v>104</v>
      </c>
      <c r="B40" s="701" t="n">
        <f aca="false">PGL_Requirements!O7/1000</f>
        <v>146.19</v>
      </c>
      <c r="C40" s="701" t="s">
        <v>0</v>
      </c>
      <c r="D40" s="717"/>
      <c r="E40" s="711"/>
      <c r="F40" s="718" t="s">
        <v>461</v>
      </c>
      <c r="G40" s="246"/>
      <c r="H40" s="719"/>
      <c r="I40" s="720"/>
    </row>
    <row r="41" customFormat="false" ht="17.1" hidden="false" customHeight="true" outlineLevel="0" collapsed="false">
      <c r="A41" s="231" t="s">
        <v>462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463</v>
      </c>
      <c r="G41" s="246"/>
      <c r="H41" s="708"/>
      <c r="I41" s="720"/>
    </row>
    <row r="42" customFormat="false" ht="17.1" hidden="false" customHeight="true" outlineLevel="0" collapsed="false">
      <c r="A42" s="231" t="s">
        <v>464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465</v>
      </c>
      <c r="G42" s="246"/>
      <c r="H42" s="708"/>
      <c r="I42" s="720"/>
    </row>
    <row r="43" customFormat="false" ht="17.1" hidden="false" customHeight="true" outlineLevel="0" collapsed="false">
      <c r="A43" s="231" t="s">
        <v>466</v>
      </c>
      <c r="B43" s="701" t="n">
        <f aca="false">PGL_Supplies!G7/1000</f>
        <v>1.254</v>
      </c>
      <c r="C43" s="246"/>
      <c r="D43" s="246"/>
      <c r="E43" s="711"/>
      <c r="F43" s="721" t="s">
        <v>467</v>
      </c>
      <c r="G43" s="246"/>
      <c r="H43" s="708"/>
      <c r="I43" s="720"/>
    </row>
    <row r="44" customFormat="false" ht="17.1" hidden="false" customHeight="true" outlineLevel="0" collapsed="false">
      <c r="A44" s="231" t="s">
        <v>445</v>
      </c>
      <c r="B44" s="722" t="n">
        <f aca="false">+B48+B47+B45</f>
        <v>2.19285</v>
      </c>
      <c r="C44" s="723"/>
      <c r="D44" s="246"/>
      <c r="E44" s="711"/>
      <c r="F44" s="721" t="s">
        <v>468</v>
      </c>
      <c r="G44" s="246"/>
      <c r="H44" s="708"/>
      <c r="I44" s="720"/>
    </row>
    <row r="45" customFormat="false" ht="17.1" hidden="false" customHeight="true" outlineLevel="0" collapsed="false">
      <c r="A45" s="231" t="s">
        <v>106</v>
      </c>
      <c r="B45" s="701" t="n">
        <f aca="false">PGL_Requirements!P7/1000</f>
        <v>2.19285</v>
      </c>
      <c r="C45" s="246"/>
      <c r="D45" s="246"/>
      <c r="E45" s="711"/>
      <c r="F45" s="724" t="s">
        <v>469</v>
      </c>
      <c r="G45" s="246"/>
      <c r="H45" s="708"/>
      <c r="I45" s="720"/>
    </row>
    <row r="46" customFormat="false" ht="17.1" hidden="false" customHeight="true" outlineLevel="0" collapsed="false">
      <c r="A46" s="700" t="s">
        <v>470</v>
      </c>
      <c r="B46" s="701" t="n">
        <f aca="false">+B47+B43+B41</f>
        <v>1.254</v>
      </c>
      <c r="C46" s="246"/>
      <c r="D46" s="246"/>
      <c r="E46" s="711"/>
      <c r="F46" s="721" t="s">
        <v>471</v>
      </c>
      <c r="G46" s="246"/>
      <c r="H46" s="708"/>
      <c r="I46" s="720"/>
    </row>
    <row r="47" customFormat="false" ht="17.1" hidden="false" customHeight="true" outlineLevel="0" collapsed="false">
      <c r="A47" s="231" t="s">
        <v>337</v>
      </c>
      <c r="B47" s="725" t="n">
        <v>0</v>
      </c>
      <c r="C47" s="246"/>
      <c r="D47" s="246"/>
      <c r="E47" s="711"/>
      <c r="F47" s="721" t="s">
        <v>472</v>
      </c>
      <c r="G47" s="246"/>
      <c r="H47" s="708"/>
      <c r="I47" s="720"/>
    </row>
    <row r="48" customFormat="false" ht="17.1" hidden="false" customHeight="true" outlineLevel="0" collapsed="false">
      <c r="A48" s="231" t="s">
        <v>336</v>
      </c>
      <c r="B48" s="726" t="n">
        <v>0</v>
      </c>
      <c r="C48" s="727"/>
      <c r="D48" s="727"/>
      <c r="E48" s="728"/>
      <c r="F48" s="721" t="s">
        <v>473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474</v>
      </c>
      <c r="C49" s="730"/>
      <c r="D49" s="730"/>
      <c r="E49" s="731" t="s">
        <v>0</v>
      </c>
      <c r="F49" s="732" t="s">
        <v>475</v>
      </c>
      <c r="G49" s="268"/>
      <c r="H49" s="733"/>
      <c r="I49" s="720"/>
    </row>
    <row r="50" customFormat="false" ht="17.1" hidden="false" customHeight="true" outlineLevel="0" collapsed="false">
      <c r="A50" s="231" t="s">
        <v>476</v>
      </c>
      <c r="B50" s="232" t="n">
        <f aca="false">PGL_Supplies!U7/1000+PGL_Supplies!C7/1000</f>
        <v>120.885</v>
      </c>
      <c r="C50" s="246"/>
      <c r="D50" s="246"/>
      <c r="E50" s="246"/>
      <c r="F50" s="700" t="s">
        <v>477</v>
      </c>
      <c r="G50" s="734"/>
      <c r="H50" s="385"/>
      <c r="I50" s="720"/>
    </row>
    <row r="51" customFormat="false" ht="17.1" hidden="false" customHeight="true" outlineLevel="0" collapsed="false">
      <c r="A51" s="231" t="s">
        <v>478</v>
      </c>
      <c r="B51" s="232" t="n">
        <f aca="false">PGL_Supplies!Z7/1000</f>
        <v>0</v>
      </c>
      <c r="C51" s="723"/>
      <c r="D51" s="246"/>
      <c r="E51" s="246"/>
      <c r="F51" s="735" t="s">
        <v>479</v>
      </c>
      <c r="G51" s="734"/>
      <c r="H51" s="708"/>
      <c r="I51" s="720"/>
    </row>
    <row r="52" customFormat="false" ht="17.1" hidden="false" customHeight="true" outlineLevel="0" collapsed="false">
      <c r="A52" s="231" t="s">
        <v>480</v>
      </c>
      <c r="B52" s="232" t="n">
        <f aca="false">NSG_Supplies!N7/1000+PGL_Supplies!O7/1000</f>
        <v>0</v>
      </c>
      <c r="C52" s="246"/>
      <c r="D52" s="246"/>
      <c r="E52" s="246"/>
      <c r="F52" s="736" t="s">
        <v>481</v>
      </c>
      <c r="G52" s="737"/>
      <c r="H52" s="738"/>
      <c r="I52" s="720"/>
    </row>
    <row r="53" customFormat="false" ht="17.1" hidden="false" customHeight="true" outlineLevel="0" collapsed="false">
      <c r="A53" s="336" t="s">
        <v>482</v>
      </c>
      <c r="B53" s="232" t="n">
        <f aca="false">PGL_Requirements!I7/1000+NSG_Requirements!E7/1000</f>
        <v>0</v>
      </c>
      <c r="C53" s="246"/>
      <c r="D53" s="246"/>
      <c r="E53" s="246"/>
      <c r="F53" s="732" t="s">
        <v>389</v>
      </c>
      <c r="G53" s="739"/>
      <c r="H53" s="723"/>
      <c r="I53" s="720"/>
    </row>
    <row r="54" customFormat="false" ht="17.1" hidden="false" customHeight="true" outlineLevel="0" collapsed="false">
      <c r="A54" s="700" t="s">
        <v>483</v>
      </c>
      <c r="B54" s="740" t="n">
        <f aca="false">SUM(B50+B51+B52-B53)</f>
        <v>120.885</v>
      </c>
      <c r="C54" s="232"/>
      <c r="D54" s="246"/>
      <c r="E54" s="246"/>
      <c r="F54" s="741" t="s">
        <v>484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89</v>
      </c>
      <c r="C55" s="742"/>
      <c r="D55" s="742"/>
      <c r="E55" s="742"/>
      <c r="F55" s="326" t="s">
        <v>485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454</v>
      </c>
      <c r="B56" s="232" t="n">
        <f aca="false">PGL_Supplies!T7/1000</f>
        <v>0</v>
      </c>
      <c r="C56" s="246"/>
      <c r="D56" s="246"/>
      <c r="E56" s="246"/>
      <c r="F56" s="326" t="s">
        <v>486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487</v>
      </c>
      <c r="B57" s="232" t="e">
        <f aca="false">PGL_Supplies!Y7/1000+#REF!/1000-#REF!/1000</f>
        <v>#REF!</v>
      </c>
      <c r="C57" s="246"/>
      <c r="D57" s="246"/>
      <c r="E57" s="246"/>
      <c r="F57" s="326" t="s">
        <v>488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489</v>
      </c>
      <c r="B58" s="232" t="n">
        <f aca="false">PGL_Requirements!T7/1000</f>
        <v>35.345</v>
      </c>
      <c r="C58" s="246"/>
      <c r="D58" s="246"/>
      <c r="E58" s="246"/>
      <c r="F58" s="326" t="s">
        <v>490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491</v>
      </c>
      <c r="B59" s="232" t="n">
        <f aca="false">PGL_Supplies!P7/1000</f>
        <v>0</v>
      </c>
      <c r="C59" s="246"/>
      <c r="D59" s="246"/>
      <c r="E59" s="246"/>
      <c r="F59" s="748" t="s">
        <v>482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6" t="s">
        <v>482</v>
      </c>
      <c r="B60" s="232" t="n">
        <f aca="false">PGL_Requirements!H7/1000</f>
        <v>0</v>
      </c>
      <c r="C60" s="246"/>
      <c r="D60" s="246"/>
      <c r="E60" s="246"/>
      <c r="F60" s="751" t="s">
        <v>492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493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494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483</v>
      </c>
      <c r="B62" s="740" t="e">
        <f aca="false">B56+B57-B58+B59-B60+B61</f>
        <v>#REF!</v>
      </c>
      <c r="C62" s="756"/>
      <c r="D62" s="756"/>
      <c r="E62" s="756"/>
      <c r="F62" s="757" t="s">
        <v>495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496</v>
      </c>
      <c r="D63" s="730"/>
      <c r="E63" s="759" t="s">
        <v>0</v>
      </c>
      <c r="F63" s="732" t="s">
        <v>497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454</v>
      </c>
      <c r="B64" s="232" t="n">
        <f aca="false">PGL_Supplies!X7/1000</f>
        <v>96.749</v>
      </c>
      <c r="C64" s="246"/>
      <c r="D64" s="246"/>
      <c r="E64" s="760"/>
      <c r="F64" s="741" t="s">
        <v>498</v>
      </c>
      <c r="G64" s="741"/>
      <c r="H64" s="741"/>
      <c r="I64" s="741"/>
    </row>
    <row r="65" customFormat="false" ht="17.1" hidden="false" customHeight="true" outlineLevel="0" collapsed="false">
      <c r="A65" s="231" t="s">
        <v>499</v>
      </c>
      <c r="B65" s="232" t="n">
        <f aca="false">PGL_Supplies!AC7/1000+PGL_Supplies!F7/1000-PGL_Requirements!E7/1000</f>
        <v>2.499</v>
      </c>
      <c r="C65" s="293" t="s">
        <v>0</v>
      </c>
      <c r="D65" s="246"/>
      <c r="E65" s="761"/>
      <c r="F65" s="762" t="s">
        <v>500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501</v>
      </c>
      <c r="B66" s="232" t="n">
        <f aca="false">PGL_Supplies!AD7/1000</f>
        <v>0</v>
      </c>
      <c r="C66" s="293" t="s">
        <v>0</v>
      </c>
      <c r="D66" s="246"/>
      <c r="E66" s="761"/>
      <c r="F66" s="763" t="s">
        <v>502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503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504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505</v>
      </c>
      <c r="B68" s="232" t="n">
        <f aca="false">PGL_Supplies!N7/1000</f>
        <v>0</v>
      </c>
      <c r="C68" s="293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6" t="s">
        <v>482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506</v>
      </c>
      <c r="G69" s="764" t="s">
        <v>0</v>
      </c>
      <c r="H69" s="717" t="s">
        <v>507</v>
      </c>
      <c r="I69" s="761"/>
    </row>
    <row r="70" customFormat="false" ht="17.1" hidden="false" customHeight="true" outlineLevel="0" collapsed="false">
      <c r="A70" s="231" t="s">
        <v>508</v>
      </c>
      <c r="B70" s="247" t="n">
        <f aca="false">PGL_Requirements!O7/1000</f>
        <v>146.19</v>
      </c>
      <c r="C70" s="767" t="s">
        <v>0</v>
      </c>
      <c r="D70" s="246"/>
      <c r="E70" s="761"/>
      <c r="F70" s="773" t="s">
        <v>509</v>
      </c>
      <c r="G70" s="764" t="s">
        <v>0</v>
      </c>
      <c r="H70" s="774" t="s">
        <v>510</v>
      </c>
      <c r="I70" s="775"/>
    </row>
    <row r="71" customFormat="false" ht="17.1" hidden="false" customHeight="true" outlineLevel="0" collapsed="false">
      <c r="A71" s="231" t="s">
        <v>511</v>
      </c>
      <c r="B71" s="247" t="n">
        <f aca="false">PGL_Requirements!E7/1000</f>
        <v>0</v>
      </c>
      <c r="C71" s="293" t="s">
        <v>0</v>
      </c>
      <c r="D71" s="246"/>
      <c r="E71" s="761"/>
      <c r="F71" s="763" t="s">
        <v>512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483</v>
      </c>
      <c r="B72" s="778" t="n">
        <f aca="false">+B65+B64+B66+B68-B67-B69-B70</f>
        <v>-46.942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513</v>
      </c>
      <c r="B73" s="741"/>
      <c r="C73" s="741"/>
      <c r="D73" s="723"/>
      <c r="E73" s="723"/>
      <c r="F73" s="785" t="s">
        <v>514</v>
      </c>
      <c r="G73" s="786" t="str">
        <f aca="false">CHOOSE(WEEKDAY(H73),"SUN","MON","TUE","WED","THU","FRI","SAT")</f>
        <v>SAT</v>
      </c>
      <c r="H73" s="787" t="n">
        <f aca="false">Weather_Input!A5</f>
        <v>37114</v>
      </c>
      <c r="I73" s="788"/>
    </row>
    <row r="74" customFormat="false" ht="17.1" hidden="false" customHeight="true" outlineLevel="0" collapsed="false">
      <c r="A74" s="762" t="s">
        <v>515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6" t="s">
        <v>516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517</v>
      </c>
      <c r="B76" s="727"/>
      <c r="C76" s="728"/>
      <c r="D76" s="792" t="s">
        <v>518</v>
      </c>
      <c r="E76" s="793"/>
      <c r="F76" s="794" t="s">
        <v>519</v>
      </c>
      <c r="G76" s="795"/>
      <c r="H76" s="796" t="s">
        <v>390</v>
      </c>
      <c r="I76" s="797" t="s">
        <v>390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520</v>
      </c>
      <c r="B90" s="226"/>
      <c r="C90" s="226"/>
      <c r="D90" s="226"/>
      <c r="E90" s="227" t="s">
        <v>290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521</v>
      </c>
      <c r="C91" s="252" t="s">
        <v>0</v>
      </c>
      <c r="D91" s="803" t="s">
        <v>522</v>
      </c>
      <c r="E91" s="804"/>
      <c r="F91" s="805" t="s">
        <v>523</v>
      </c>
      <c r="G91" s="804"/>
      <c r="H91" s="805" t="s">
        <v>431</v>
      </c>
      <c r="I91" s="379"/>
    </row>
    <row r="92" customFormat="false" ht="15" hidden="false" customHeight="false" outlineLevel="0" collapsed="false">
      <c r="A92" s="683" t="s">
        <v>524</v>
      </c>
      <c r="B92" s="803" t="s">
        <v>294</v>
      </c>
      <c r="C92" s="239" t="s">
        <v>295</v>
      </c>
      <c r="D92" s="803" t="s">
        <v>18</v>
      </c>
      <c r="E92" s="239" t="s">
        <v>295</v>
      </c>
      <c r="F92" s="803" t="s">
        <v>18</v>
      </c>
      <c r="G92" s="239" t="s">
        <v>295</v>
      </c>
      <c r="H92" s="803" t="s">
        <v>18</v>
      </c>
      <c r="I92" s="379" t="s">
        <v>295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6"/>
      <c r="E93" s="276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303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2" t="s">
        <v>0</v>
      </c>
      <c r="C95" s="282" t="s">
        <v>0</v>
      </c>
      <c r="D95" s="295"/>
      <c r="E95" s="295"/>
      <c r="F95" s="295"/>
      <c r="G95" s="295"/>
      <c r="H95" s="295"/>
      <c r="I95" s="296"/>
    </row>
    <row r="96" customFormat="false" ht="15" hidden="false" customHeight="false" outlineLevel="0" collapsed="false">
      <c r="A96" s="683" t="s">
        <v>438</v>
      </c>
      <c r="B96" s="299" t="s">
        <v>0</v>
      </c>
      <c r="C96" s="812" t="e">
        <f aca="false">I150</f>
        <v>#REF!</v>
      </c>
      <c r="D96" s="301"/>
      <c r="E96" s="252"/>
      <c r="F96" s="301"/>
      <c r="G96" s="252"/>
      <c r="H96" s="301"/>
      <c r="I96" s="253" t="s">
        <v>0</v>
      </c>
    </row>
    <row r="97" customFormat="false" ht="15" hidden="false" customHeight="false" outlineLevel="0" collapsed="false">
      <c r="A97" s="683" t="s">
        <v>89</v>
      </c>
      <c r="B97" s="310" t="s">
        <v>0</v>
      </c>
      <c r="C97" s="812" t="e">
        <f aca="false">B133</f>
        <v>#REF!</v>
      </c>
      <c r="D97" s="276"/>
      <c r="E97" s="311" t="e">
        <f aca="false">+C97</f>
        <v>#REF!</v>
      </c>
      <c r="F97" s="276"/>
      <c r="G97" s="311" t="e">
        <f aca="false">+C97</f>
        <v>#REF!</v>
      </c>
      <c r="H97" s="276"/>
      <c r="I97" s="303" t="e">
        <f aca="false">+C97</f>
        <v>#REF!</v>
      </c>
    </row>
    <row r="98" customFormat="false" ht="15" hidden="false" customHeight="false" outlineLevel="0" collapsed="false">
      <c r="A98" s="683" t="s">
        <v>77</v>
      </c>
      <c r="B98" s="310" t="s">
        <v>0</v>
      </c>
      <c r="C98" s="812" t="n">
        <f aca="false">B149</f>
        <v>1.254</v>
      </c>
      <c r="D98" s="276"/>
      <c r="E98" s="252"/>
      <c r="F98" s="276"/>
      <c r="G98" s="252"/>
      <c r="H98" s="276"/>
      <c r="I98" s="253"/>
    </row>
    <row r="99" customFormat="false" ht="15" hidden="false" customHeight="false" outlineLevel="0" collapsed="false">
      <c r="A99" s="683" t="s">
        <v>90</v>
      </c>
      <c r="B99" s="310" t="s">
        <v>0</v>
      </c>
      <c r="C99" s="812" t="n">
        <f aca="false">B141</f>
        <v>120.885</v>
      </c>
      <c r="D99" s="813"/>
      <c r="E99" s="252"/>
      <c r="F99" s="276"/>
      <c r="G99" s="252"/>
      <c r="H99" s="276"/>
      <c r="I99" s="253"/>
    </row>
    <row r="100" customFormat="false" ht="15" hidden="false" customHeight="false" outlineLevel="0" collapsed="false">
      <c r="A100" s="683" t="s">
        <v>355</v>
      </c>
      <c r="B100" s="325" t="s">
        <v>0</v>
      </c>
      <c r="C100" s="812" t="n">
        <f aca="false">I157+I158</f>
        <v>0</v>
      </c>
      <c r="D100" s="276"/>
      <c r="E100" s="252"/>
      <c r="F100" s="276"/>
      <c r="G100" s="252"/>
      <c r="H100" s="276"/>
      <c r="I100" s="253"/>
    </row>
    <row r="101" customFormat="false" ht="15" hidden="false" customHeight="false" outlineLevel="0" collapsed="false">
      <c r="A101" s="683" t="s">
        <v>322</v>
      </c>
      <c r="B101" s="310" t="s">
        <v>0</v>
      </c>
      <c r="C101" s="812" t="e">
        <f aca="false">I146</f>
        <v>#REF!</v>
      </c>
      <c r="D101" s="276" t="s">
        <v>0</v>
      </c>
      <c r="E101" s="252"/>
      <c r="F101" s="276"/>
      <c r="G101" s="252"/>
      <c r="H101" s="276"/>
      <c r="I101" s="253"/>
    </row>
    <row r="102" customFormat="false" ht="15" hidden="false" customHeight="false" outlineLevel="0" collapsed="false">
      <c r="A102" s="683" t="s">
        <v>43</v>
      </c>
      <c r="B102" s="310" t="s">
        <v>2</v>
      </c>
      <c r="C102" s="812" t="n">
        <f aca="false">B162</f>
        <v>99.248</v>
      </c>
      <c r="D102" s="276"/>
      <c r="E102" s="252"/>
      <c r="F102" s="276"/>
      <c r="G102" s="252"/>
      <c r="H102" s="276"/>
      <c r="I102" s="253"/>
    </row>
    <row r="103" customFormat="false" ht="15" hidden="false" customHeight="false" outlineLevel="0" collapsed="false">
      <c r="A103" s="683" t="s">
        <v>160</v>
      </c>
      <c r="B103" s="310" t="s">
        <v>0</v>
      </c>
      <c r="C103" s="812" t="n">
        <f aca="false">PGL_Requirements!F7/1000</f>
        <v>8.761</v>
      </c>
      <c r="D103" s="813"/>
      <c r="E103" s="252"/>
      <c r="F103" s="276"/>
      <c r="G103" s="252"/>
      <c r="H103" s="276"/>
      <c r="I103" s="253"/>
    </row>
    <row r="104" customFormat="false" ht="15.75" hidden="false" customHeight="false" outlineLevel="0" collapsed="false">
      <c r="A104" s="683" t="s">
        <v>189</v>
      </c>
      <c r="B104" s="814" t="s">
        <v>0</v>
      </c>
      <c r="C104" s="812" t="n">
        <f aca="false">PGL_Supplies!B7/1000</f>
        <v>0</v>
      </c>
      <c r="D104" s="803"/>
      <c r="E104" s="252"/>
      <c r="F104" s="276"/>
      <c r="G104" s="252"/>
      <c r="H104" s="276"/>
      <c r="I104" s="253"/>
    </row>
    <row r="105" customFormat="false" ht="16.5" hidden="false" customHeight="false" outlineLevel="0" collapsed="false">
      <c r="A105" s="815" t="s">
        <v>525</v>
      </c>
      <c r="B105" s="359" t="s">
        <v>0</v>
      </c>
      <c r="C105" s="362" t="s">
        <v>0</v>
      </c>
      <c r="D105" s="361" t="s">
        <v>0</v>
      </c>
      <c r="E105" s="816" t="s">
        <v>0</v>
      </c>
      <c r="F105" s="361" t="s">
        <v>0</v>
      </c>
      <c r="G105" s="816" t="s">
        <v>0</v>
      </c>
      <c r="H105" s="361" t="s">
        <v>0</v>
      </c>
      <c r="I105" s="363"/>
    </row>
    <row r="106" customFormat="false" ht="16.5" hidden="false" customHeight="false" outlineLevel="0" collapsed="false">
      <c r="A106" s="317" t="s">
        <v>44</v>
      </c>
      <c r="B106" s="370" t="n">
        <f aca="false">-PGL_Supplies!T7/1000</f>
        <v>-0</v>
      </c>
      <c r="C106" s="817" t="n">
        <f aca="false">-NSG_Supplies!AE7/1000</f>
        <v>-0</v>
      </c>
      <c r="D106" s="372"/>
      <c r="E106" s="818"/>
      <c r="F106" s="372"/>
      <c r="G106" s="818"/>
      <c r="H106" s="819"/>
      <c r="I106" s="820"/>
    </row>
    <row r="107" customFormat="false" ht="15" hidden="false" customHeight="false" outlineLevel="0" collapsed="false">
      <c r="A107" s="683" t="s">
        <v>526</v>
      </c>
      <c r="B107" s="310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344</v>
      </c>
      <c r="B108" s="310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292</v>
      </c>
      <c r="B109" s="310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349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350</v>
      </c>
      <c r="B111" s="676" t="n">
        <f aca="false">-NSG_Requirements!$L$7/1000</f>
        <v>-0</v>
      </c>
      <c r="C111" s="676" t="n">
        <f aca="false">NSG_Requirements!$L$7/1000</f>
        <v>0</v>
      </c>
      <c r="D111" s="341" t="n">
        <f aca="false">B111</f>
        <v>-0</v>
      </c>
      <c r="E111" s="676" t="n">
        <f aca="false">C111</f>
        <v>0</v>
      </c>
      <c r="F111" s="341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527</v>
      </c>
      <c r="B112" s="676"/>
      <c r="C112" s="676"/>
      <c r="D112" s="341"/>
      <c r="E112" s="676"/>
      <c r="F112" s="341"/>
      <c r="G112" s="676"/>
      <c r="H112" s="413"/>
      <c r="I112" s="823"/>
    </row>
    <row r="113" customFormat="false" ht="15.75" hidden="false" customHeight="false" outlineLevel="0" collapsed="false">
      <c r="A113" s="231" t="s">
        <v>403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528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529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404</v>
      </c>
      <c r="B116" s="704" t="n">
        <f aca="false">-PGL_Supplies!Y7/1000</f>
        <v>-35.418</v>
      </c>
      <c r="C116" s="704" t="n">
        <f aca="false">-NSG_Supplies!V7/1000</f>
        <v>-0</v>
      </c>
      <c r="D116" s="701" t="n">
        <f aca="false">-PGL_Supplies!Y7/1000</f>
        <v>-35.418</v>
      </c>
      <c r="E116" s="701" t="n">
        <f aca="false">-NSG_Supplies!V7/1000</f>
        <v>-0</v>
      </c>
      <c r="F116" s="701" t="n">
        <f aca="false">-PGL_Supplies!Y7/1000</f>
        <v>-35.418</v>
      </c>
      <c r="G116" s="701" t="n">
        <f aca="false">-NSG_Supplies!V7/1000</f>
        <v>-0</v>
      </c>
      <c r="H116" s="702" t="n">
        <f aca="false">-PGL_Supplies!Y7/1000</f>
        <v>-35.418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530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354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357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360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406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531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532</v>
      </c>
      <c r="B123" s="701" t="n">
        <f aca="false">-PGL_Supplies!W7/1000</f>
        <v>-0</v>
      </c>
      <c r="C123" s="701" t="n">
        <f aca="false">-NSG_Supplies!R7/1000</f>
        <v>-14.834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9" t="s">
        <v>0</v>
      </c>
      <c r="B124" s="713" t="s">
        <v>0</v>
      </c>
      <c r="C124" s="742" t="s">
        <v>89</v>
      </c>
      <c r="D124" s="715"/>
      <c r="E124" s="716"/>
      <c r="F124" s="437" t="s">
        <v>363</v>
      </c>
      <c r="G124" s="437"/>
      <c r="H124" s="437"/>
      <c r="I124" s="437"/>
    </row>
    <row r="125" customFormat="false" ht="15" hidden="false" customHeight="false" outlineLevel="0" collapsed="false">
      <c r="A125" s="231" t="s">
        <v>408</v>
      </c>
      <c r="B125" s="701" t="n">
        <f aca="false">PGL_Requirements!T7/1000</f>
        <v>35.345</v>
      </c>
      <c r="F125" s="337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533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365</v>
      </c>
      <c r="G126" s="826"/>
      <c r="H126" s="321"/>
      <c r="I126" s="720"/>
    </row>
    <row r="127" customFormat="false" ht="15" hidden="false" customHeight="false" outlineLevel="0" collapsed="false">
      <c r="A127" s="231" t="s">
        <v>534</v>
      </c>
      <c r="B127" s="701" t="n">
        <f aca="false">PGL_Requirements!N7/1000</f>
        <v>25.859</v>
      </c>
      <c r="C127" s="701" t="s">
        <v>0</v>
      </c>
      <c r="D127" s="246"/>
      <c r="E127" s="711"/>
      <c r="F127" s="231" t="s">
        <v>368</v>
      </c>
      <c r="G127" s="826"/>
      <c r="H127" s="708"/>
      <c r="I127" s="720"/>
    </row>
    <row r="128" customFormat="false" ht="15" hidden="false" customHeight="false" outlineLevel="0" collapsed="false">
      <c r="A128" s="231" t="s">
        <v>403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371</v>
      </c>
      <c r="G128" s="826"/>
      <c r="H128" s="708"/>
      <c r="I128" s="720"/>
    </row>
    <row r="129" customFormat="false" ht="15" hidden="false" customHeight="false" outlineLevel="0" collapsed="false">
      <c r="A129" s="231" t="s">
        <v>535</v>
      </c>
      <c r="B129" s="701" t="e">
        <f aca="false">#REF!/1000</f>
        <v>#REF!</v>
      </c>
      <c r="C129" s="246"/>
      <c r="D129" s="246"/>
      <c r="E129" s="711"/>
      <c r="F129" s="231" t="s">
        <v>375</v>
      </c>
      <c r="G129" s="826"/>
      <c r="H129" s="708"/>
      <c r="I129" s="720"/>
    </row>
    <row r="130" customFormat="false" ht="15" hidden="false" customHeight="false" outlineLevel="0" collapsed="false">
      <c r="A130" s="231" t="s">
        <v>536</v>
      </c>
      <c r="B130" s="701" t="n">
        <f aca="false">PGL_Requirements!Z7/1000</f>
        <v>0</v>
      </c>
      <c r="C130" s="297"/>
      <c r="D130" s="246"/>
      <c r="E130" s="711"/>
      <c r="F130" s="231" t="s">
        <v>379</v>
      </c>
      <c r="G130" s="826"/>
      <c r="H130" s="708"/>
      <c r="I130" s="720"/>
    </row>
    <row r="131" customFormat="false" ht="15" hidden="false" customHeight="false" outlineLevel="0" collapsed="false">
      <c r="A131" s="8" t="s">
        <v>178</v>
      </c>
      <c r="B131" s="232" t="n">
        <f aca="false">PGL_Supplies!Y7/1000</f>
        <v>35.418</v>
      </c>
      <c r="C131" s="246"/>
      <c r="D131" s="246"/>
      <c r="E131" s="711"/>
      <c r="F131" s="336" t="s">
        <v>381</v>
      </c>
      <c r="G131" s="826"/>
      <c r="H131" s="708"/>
      <c r="I131" s="720"/>
    </row>
    <row r="132" customFormat="false" ht="15.75" hidden="false" customHeight="false" outlineLevel="0" collapsed="false">
      <c r="A132" s="231" t="s">
        <v>454</v>
      </c>
      <c r="B132" s="232" t="n">
        <f aca="false">PGL_Supplies!T7/1000</f>
        <v>0</v>
      </c>
      <c r="C132" s="268"/>
      <c r="D132" s="268"/>
      <c r="E132" s="827"/>
      <c r="F132" s="231" t="s">
        <v>384</v>
      </c>
      <c r="G132" s="826"/>
      <c r="H132" s="708"/>
      <c r="I132" s="720"/>
    </row>
    <row r="133" customFormat="false" ht="16.5" hidden="false" customHeight="false" outlineLevel="0" collapsed="false">
      <c r="A133" s="277" t="s">
        <v>304</v>
      </c>
      <c r="B133" s="271" t="e">
        <f aca="false">B126+B127+B130+B131+B132-B125-B128-B129</f>
        <v>#REF!</v>
      </c>
      <c r="C133" s="280"/>
      <c r="D133" s="280"/>
      <c r="E133" s="828"/>
      <c r="F133" s="231" t="s">
        <v>387</v>
      </c>
      <c r="G133" s="826"/>
      <c r="H133" s="708"/>
      <c r="I133" s="720"/>
    </row>
    <row r="134" customFormat="false" ht="15.75" hidden="false" customHeight="false" outlineLevel="0" collapsed="false">
      <c r="A134" s="315" t="s">
        <v>0</v>
      </c>
      <c r="B134" s="380" t="s">
        <v>0</v>
      </c>
      <c r="C134" s="829" t="s">
        <v>90</v>
      </c>
      <c r="D134" s="316"/>
      <c r="E134" s="316" t="s">
        <v>0</v>
      </c>
      <c r="F134" s="830" t="s">
        <v>537</v>
      </c>
      <c r="G134" s="831"/>
      <c r="H134" s="708"/>
      <c r="I134" s="720"/>
    </row>
    <row r="135" customFormat="false" ht="15" hidden="false" customHeight="false" outlineLevel="0" collapsed="false">
      <c r="A135" s="231" t="s">
        <v>403</v>
      </c>
      <c r="B135" s="832" t="n">
        <f aca="false">PGL_Requirements!I7</f>
        <v>0</v>
      </c>
      <c r="C135" s="233"/>
      <c r="D135" s="233"/>
      <c r="E135" s="233"/>
      <c r="F135" s="833" t="s">
        <v>356</v>
      </c>
      <c r="G135" s="831"/>
      <c r="H135" s="733"/>
      <c r="I135" s="720"/>
    </row>
    <row r="136" customFormat="false" ht="15" hidden="false" customHeight="false" outlineLevel="0" collapsed="false">
      <c r="A136" s="231" t="s">
        <v>538</v>
      </c>
      <c r="B136" s="232" t="n">
        <f aca="false">NSG_Supplies!N7/1011</f>
        <v>0</v>
      </c>
      <c r="C136" s="246"/>
      <c r="D136" s="246"/>
      <c r="E136" s="246"/>
      <c r="F136" s="231" t="s">
        <v>372</v>
      </c>
      <c r="G136" s="826"/>
      <c r="H136" s="385"/>
      <c r="I136" s="720"/>
    </row>
    <row r="137" customFormat="false" ht="15" hidden="false" customHeight="false" outlineLevel="0" collapsed="false">
      <c r="A137" s="231" t="s">
        <v>539</v>
      </c>
      <c r="B137" s="232" t="n">
        <f aca="false">PGL_Supplies!Z7/1000</f>
        <v>0</v>
      </c>
      <c r="C137" s="297"/>
      <c r="D137" s="246"/>
      <c r="E137" s="246"/>
      <c r="F137" s="231" t="s">
        <v>376</v>
      </c>
      <c r="G137" s="826"/>
      <c r="H137" s="708"/>
      <c r="I137" s="720"/>
    </row>
    <row r="138" customFormat="false" ht="15" hidden="false" customHeight="false" outlineLevel="0" collapsed="false">
      <c r="A138" s="231" t="s">
        <v>345</v>
      </c>
      <c r="B138" s="832" t="n">
        <f aca="false">PGL_Requirements!C7</f>
        <v>0</v>
      </c>
      <c r="C138" s="246"/>
      <c r="D138" s="246"/>
      <c r="E138" s="246"/>
      <c r="F138" s="231" t="s">
        <v>52</v>
      </c>
      <c r="G138" s="826"/>
      <c r="H138" s="385"/>
      <c r="I138" s="720"/>
    </row>
    <row r="139" customFormat="false" ht="15" hidden="false" customHeight="false" outlineLevel="0" collapsed="false">
      <c r="A139" s="231" t="s">
        <v>540</v>
      </c>
      <c r="B139" s="232" t="n">
        <f aca="false">PGL_Supplies!C7/1000</f>
        <v>0</v>
      </c>
      <c r="C139" s="246"/>
      <c r="D139" s="246"/>
      <c r="E139" s="246"/>
      <c r="F139" s="336" t="s">
        <v>382</v>
      </c>
      <c r="G139" s="834"/>
      <c r="H139" s="835"/>
      <c r="I139" s="720"/>
    </row>
    <row r="140" customFormat="false" ht="15.75" hidden="false" customHeight="false" outlineLevel="0" collapsed="false">
      <c r="A140" s="231" t="s">
        <v>454</v>
      </c>
      <c r="B140" s="232" t="n">
        <f aca="false">PGL_Supplies!U7/1000</f>
        <v>120.885</v>
      </c>
      <c r="C140" s="268"/>
      <c r="D140" s="268"/>
      <c r="E140" s="268"/>
      <c r="F140" s="336" t="s">
        <v>385</v>
      </c>
      <c r="G140" s="834"/>
      <c r="H140" s="365"/>
      <c r="I140" s="720"/>
    </row>
    <row r="141" customFormat="false" ht="16.5" hidden="false" customHeight="false" outlineLevel="0" collapsed="false">
      <c r="A141" s="277" t="s">
        <v>304</v>
      </c>
      <c r="B141" s="836" t="n">
        <f aca="false">-B135+B136+B137-B138+B139+B140</f>
        <v>120.885</v>
      </c>
      <c r="C141" s="338"/>
      <c r="D141" s="280"/>
      <c r="E141" s="314"/>
      <c r="F141" s="386" t="s">
        <v>389</v>
      </c>
      <c r="G141" s="837"/>
      <c r="H141" s="838"/>
      <c r="I141" s="720"/>
    </row>
    <row r="142" customFormat="false" ht="16.5" hidden="false" customHeight="false" outlineLevel="0" collapsed="false">
      <c r="A142" s="315" t="s">
        <v>0</v>
      </c>
      <c r="B142" s="291" t="s">
        <v>0</v>
      </c>
      <c r="C142" s="829" t="s">
        <v>77</v>
      </c>
      <c r="D142" s="316"/>
      <c r="E142" s="316"/>
      <c r="F142" s="839" t="s">
        <v>0</v>
      </c>
      <c r="G142" s="840" t="s">
        <v>541</v>
      </c>
      <c r="H142" s="841" t="s">
        <v>0</v>
      </c>
      <c r="I142" s="841"/>
    </row>
    <row r="143" customFormat="false" ht="15" hidden="false" customHeight="false" outlineLevel="0" collapsed="false">
      <c r="A143" s="231" t="s">
        <v>97</v>
      </c>
      <c r="B143" s="232" t="n">
        <f aca="false">PGL_Requirements!O7/1000</f>
        <v>146.19</v>
      </c>
      <c r="C143" s="246"/>
      <c r="D143" s="246"/>
      <c r="E143" s="246"/>
      <c r="F143" s="235" t="s">
        <v>292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320</v>
      </c>
      <c r="B144" s="232" t="n">
        <f aca="false">PGL_Supplies!L7/1000</f>
        <v>0</v>
      </c>
      <c r="C144" s="246"/>
      <c r="D144" s="246"/>
      <c r="E144" s="246"/>
      <c r="F144" s="326" t="s">
        <v>297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323</v>
      </c>
      <c r="B145" s="232" t="n">
        <f aca="false">PGL_Requirements!B7/1000</f>
        <v>0</v>
      </c>
      <c r="C145" s="246"/>
      <c r="D145" s="246"/>
      <c r="E145" s="246"/>
      <c r="F145" s="257" t="s">
        <v>299</v>
      </c>
      <c r="G145" s="737"/>
      <c r="H145" s="259" t="s">
        <v>0</v>
      </c>
      <c r="I145" s="788"/>
    </row>
    <row r="146" customFormat="false" ht="15.75" hidden="false" customHeight="false" outlineLevel="0" collapsed="false">
      <c r="A146" s="231" t="s">
        <v>326</v>
      </c>
      <c r="B146" s="232" t="n">
        <f aca="false">PGL_Supplies!G7/1000</f>
        <v>1.254</v>
      </c>
      <c r="C146" s="246"/>
      <c r="D146" s="246"/>
      <c r="E146" s="246"/>
      <c r="F146" s="843" t="s">
        <v>302</v>
      </c>
      <c r="G146" s="280"/>
      <c r="H146" s="271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6" t="s">
        <v>349</v>
      </c>
      <c r="B147" s="232" t="s">
        <v>0</v>
      </c>
      <c r="C147" s="246"/>
      <c r="D147" s="246"/>
      <c r="E147" s="246"/>
      <c r="F147" s="741" t="s">
        <v>327</v>
      </c>
      <c r="G147" s="741"/>
      <c r="H147" s="741"/>
      <c r="I147" s="741"/>
    </row>
    <row r="148" customFormat="false" ht="15.75" hidden="false" customHeight="false" outlineLevel="0" collapsed="false">
      <c r="A148" s="231" t="s">
        <v>542</v>
      </c>
      <c r="B148" s="232" t="n">
        <f aca="false">PGL_Requirements!P7/1000</f>
        <v>2.19285</v>
      </c>
      <c r="C148" s="268"/>
      <c r="D148" s="268"/>
      <c r="E148" s="268"/>
      <c r="F148" s="337" t="s">
        <v>330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7" t="s">
        <v>302</v>
      </c>
      <c r="B149" s="847" t="n">
        <f aca="false">B144+B146</f>
        <v>1.254</v>
      </c>
      <c r="C149" s="346"/>
      <c r="D149" s="346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336</v>
      </c>
      <c r="B150" s="850" t="n">
        <f aca="false">PGL_Deliveries!AG5</f>
        <v>0</v>
      </c>
      <c r="C150" s="355"/>
      <c r="D150" s="355"/>
      <c r="E150" s="851"/>
      <c r="F150" s="843" t="s">
        <v>302</v>
      </c>
      <c r="G150" s="280"/>
      <c r="H150" s="271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337</v>
      </c>
      <c r="B151" s="850" t="n">
        <f aca="false">PGL_Deliveries!AI5</f>
        <v>0</v>
      </c>
      <c r="C151" s="756"/>
      <c r="D151" s="756"/>
      <c r="E151" s="756"/>
      <c r="F151" s="741" t="s">
        <v>355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43</v>
      </c>
      <c r="D152" s="731"/>
      <c r="E152" s="759" t="s">
        <v>0</v>
      </c>
      <c r="F152" s="337" t="s">
        <v>543</v>
      </c>
      <c r="G152" s="824"/>
      <c r="H152" s="323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544</v>
      </c>
      <c r="B153" s="247" t="n">
        <f aca="false">PGL_Requirements!M7/1000</f>
        <v>0</v>
      </c>
      <c r="C153" s="246"/>
      <c r="D153" s="246"/>
      <c r="E153" s="760"/>
      <c r="F153" s="853" t="s">
        <v>358</v>
      </c>
      <c r="G153" s="831"/>
      <c r="H153" s="327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306</v>
      </c>
      <c r="B154" s="232" t="n">
        <f aca="false">PGL_Supplies!AD7/1000</f>
        <v>0</v>
      </c>
      <c r="C154" s="293" t="s">
        <v>0</v>
      </c>
      <c r="D154" s="246"/>
      <c r="E154" s="761"/>
      <c r="F154" s="257" t="s">
        <v>361</v>
      </c>
      <c r="G154" s="826"/>
      <c r="H154" s="327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308</v>
      </c>
      <c r="B155" s="247" t="n">
        <f aca="false">PGL_Requirements!E7/1000</f>
        <v>0</v>
      </c>
      <c r="C155" s="293" t="s">
        <v>0</v>
      </c>
      <c r="D155" s="246"/>
      <c r="E155" s="761"/>
      <c r="F155" s="231" t="s">
        <v>178</v>
      </c>
      <c r="G155" s="854"/>
      <c r="H155" s="327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311</v>
      </c>
      <c r="B156" s="232" t="n">
        <f aca="false">PGL_Supplies!F7/1000</f>
        <v>0</v>
      </c>
      <c r="C156" s="767" t="s">
        <v>0</v>
      </c>
      <c r="D156" s="246"/>
      <c r="E156" s="761"/>
      <c r="F156" s="336" t="s">
        <v>454</v>
      </c>
      <c r="G156" s="854"/>
      <c r="H156" s="365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545</v>
      </c>
      <c r="B157" s="247" t="n">
        <f aca="false">PGL_Requirements!S7/1000</f>
        <v>0</v>
      </c>
      <c r="C157" s="293" t="s">
        <v>0</v>
      </c>
      <c r="D157" s="246"/>
      <c r="E157" s="761"/>
      <c r="F157" s="855" t="s">
        <v>546</v>
      </c>
      <c r="G157" s="856"/>
      <c r="H157" s="323"/>
      <c r="I157" s="857" t="n">
        <v>0</v>
      </c>
    </row>
    <row r="158" customFormat="false" ht="15.75" hidden="false" customHeight="false" outlineLevel="0" collapsed="false">
      <c r="A158" s="231" t="s">
        <v>547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548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178</v>
      </c>
      <c r="B159" s="232" t="n">
        <f aca="false">PGL_Supplies!AC7/1000</f>
        <v>2.499</v>
      </c>
      <c r="C159" s="767" t="s">
        <v>0</v>
      </c>
      <c r="D159" s="246"/>
      <c r="E159" s="761"/>
      <c r="F159" s="861" t="s">
        <v>513</v>
      </c>
      <c r="G159" s="861"/>
      <c r="H159" s="861"/>
      <c r="I159" s="861"/>
    </row>
    <row r="160" customFormat="false" ht="15.75" hidden="false" customHeight="false" outlineLevel="0" collapsed="false">
      <c r="A160" s="231" t="s">
        <v>454</v>
      </c>
      <c r="B160" s="862" t="n">
        <f aca="false">PGL_Supplies!X7/1000</f>
        <v>96.749</v>
      </c>
      <c r="C160" s="307" t="s">
        <v>0</v>
      </c>
      <c r="D160" s="268"/>
      <c r="E160" s="863"/>
      <c r="F160" s="322" t="s">
        <v>318</v>
      </c>
      <c r="G160" s="842" t="s">
        <v>0</v>
      </c>
      <c r="H160" s="355"/>
      <c r="I160" s="864"/>
    </row>
    <row r="161" customFormat="false" ht="16.5" hidden="false" customHeight="false" outlineLevel="0" collapsed="false">
      <c r="A161" s="865" t="s">
        <v>549</v>
      </c>
      <c r="B161" s="234"/>
      <c r="C161" s="866" t="s">
        <v>0</v>
      </c>
      <c r="D161" s="867"/>
      <c r="E161" s="868"/>
      <c r="F161" s="869" t="s">
        <v>321</v>
      </c>
      <c r="G161" s="268"/>
      <c r="H161" s="476"/>
      <c r="I161" s="870" t="s">
        <v>0</v>
      </c>
    </row>
    <row r="162" customFormat="false" ht="16.5" hidden="false" customHeight="false" outlineLevel="0" collapsed="false">
      <c r="A162" s="777" t="s">
        <v>302</v>
      </c>
      <c r="B162" s="871" t="n">
        <f aca="false">B154+B156+B158+B159+B160-B153-B155-B157-B161</f>
        <v>99.248</v>
      </c>
      <c r="C162" s="778"/>
      <c r="D162" s="779"/>
      <c r="E162" s="872"/>
      <c r="F162" s="873" t="s">
        <v>517</v>
      </c>
      <c r="G162" s="280"/>
      <c r="H162" s="346"/>
      <c r="I162" s="874"/>
    </row>
    <row r="163" customFormat="false" ht="12.75" hidden="false" customHeight="false" outlineLevel="0" collapsed="false">
      <c r="A163" s="875"/>
      <c r="B163" s="876" t="s">
        <v>550</v>
      </c>
      <c r="C163" s="876"/>
      <c r="D163" s="876" t="s">
        <v>551</v>
      </c>
      <c r="E163" s="876"/>
      <c r="F163" s="876"/>
      <c r="G163" s="876"/>
      <c r="H163" s="877" t="s">
        <v>390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552</v>
      </c>
      <c r="B2" s="879" t="s">
        <v>552</v>
      </c>
      <c r="C2" s="879" t="s">
        <v>552</v>
      </c>
      <c r="D2" s="879" t="s">
        <v>552</v>
      </c>
      <c r="E2" s="879" t="s">
        <v>552</v>
      </c>
      <c r="F2" s="879" t="s">
        <v>552</v>
      </c>
      <c r="G2" s="879" t="s">
        <v>552</v>
      </c>
      <c r="H2" s="879" t="s">
        <v>552</v>
      </c>
      <c r="I2" s="880" t="s">
        <v>552</v>
      </c>
      <c r="J2" s="880"/>
    </row>
    <row r="14" customFormat="false" ht="30" hidden="false" customHeight="false" outlineLevel="0" collapsed="false">
      <c r="A14" s="879" t="s">
        <v>553</v>
      </c>
      <c r="B14" s="879" t="s">
        <v>553</v>
      </c>
      <c r="C14" s="879" t="s">
        <v>553</v>
      </c>
      <c r="D14" s="879" t="s">
        <v>553</v>
      </c>
      <c r="E14" s="879" t="s">
        <v>553</v>
      </c>
      <c r="F14" s="879" t="s">
        <v>553</v>
      </c>
      <c r="G14" s="879" t="s">
        <v>553</v>
      </c>
      <c r="H14" s="879" t="s">
        <v>553</v>
      </c>
      <c r="I14" s="880" t="s">
        <v>553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552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554</v>
      </c>
      <c r="D5" s="9" t="s">
        <v>555</v>
      </c>
      <c r="F5" s="881" t="s">
        <v>556</v>
      </c>
      <c r="G5" s="9" t="s">
        <v>557</v>
      </c>
    </row>
    <row r="6" customFormat="false" ht="15" hidden="false" customHeight="false" outlineLevel="0" collapsed="false">
      <c r="D6" s="9" t="s">
        <v>558</v>
      </c>
      <c r="G6" s="9" t="s">
        <v>559</v>
      </c>
    </row>
    <row r="7" customFormat="false" ht="15" hidden="false" customHeight="false" outlineLevel="0" collapsed="false">
      <c r="D7" s="9" t="s">
        <v>559</v>
      </c>
    </row>
    <row r="8" customFormat="false" ht="15" hidden="false" customHeight="false" outlineLevel="0" collapsed="false">
      <c r="G8" s="9" t="s">
        <v>560</v>
      </c>
    </row>
    <row r="9" customFormat="false" ht="15" hidden="false" customHeight="false" outlineLevel="0" collapsed="false">
      <c r="D9" s="9" t="s">
        <v>561</v>
      </c>
      <c r="G9" s="9" t="s">
        <v>562</v>
      </c>
    </row>
    <row r="10" customFormat="false" ht="15" hidden="false" customHeight="false" outlineLevel="0" collapsed="false">
      <c r="D10" s="9" t="s">
        <v>563</v>
      </c>
    </row>
    <row r="11" customFormat="false" ht="15.75" hidden="false" customHeight="false" outlineLevel="0" collapsed="false">
      <c r="D11" s="881" t="s">
        <v>564</v>
      </c>
    </row>
    <row r="12" customFormat="false" ht="15.75" hidden="false" customHeight="false" outlineLevel="0" collapsed="false">
      <c r="D12" s="881" t="s">
        <v>565</v>
      </c>
    </row>
    <row r="14" customFormat="false" ht="30" hidden="false" customHeight="false" outlineLevel="0" collapsed="false">
      <c r="A14" s="880" t="s">
        <v>553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566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567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568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569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570</v>
      </c>
      <c r="D22" s="884" t="n">
        <f aca="true">NOW()</f>
        <v>45927.0030213476</v>
      </c>
      <c r="F22" s="9" t="s">
        <v>571</v>
      </c>
      <c r="G22" s="885" t="n">
        <f aca="true">NOW()</f>
        <v>45927.0030213477</v>
      </c>
    </row>
    <row r="24" customFormat="false" ht="15" hidden="false" customHeight="false" outlineLevel="0" collapsed="false">
      <c r="B24" s="9" t="s">
        <v>572</v>
      </c>
      <c r="D24" s="886" t="s">
        <v>573</v>
      </c>
      <c r="E24" s="0" t="s">
        <v>0</v>
      </c>
      <c r="F24" s="9" t="s">
        <v>574</v>
      </c>
      <c r="G24" s="887" t="s">
        <v>575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576</v>
      </c>
    </row>
    <row r="27" customFormat="false" ht="15.75" hidden="false" customHeight="false" outlineLevel="0" collapsed="false">
      <c r="B27" s="888" t="s">
        <v>0</v>
      </c>
      <c r="C27" s="9" t="s">
        <v>577</v>
      </c>
    </row>
    <row r="28" customFormat="false" ht="15.75" hidden="false" customHeight="false" outlineLevel="0" collapsed="false">
      <c r="B28" s="888" t="s">
        <v>578</v>
      </c>
      <c r="C28" s="9" t="s">
        <v>579</v>
      </c>
    </row>
    <row r="29" customFormat="false" ht="15" hidden="false" customHeight="false" outlineLevel="0" collapsed="false">
      <c r="B29" s="0" t="s">
        <v>0</v>
      </c>
      <c r="C29" s="9" t="s">
        <v>580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581</v>
      </c>
      <c r="E32" s="889" t="n">
        <v>35915</v>
      </c>
    </row>
    <row r="34" customFormat="false" ht="15.75" hidden="false" customHeight="false" outlineLevel="0" collapsed="false">
      <c r="B34" s="9" t="s">
        <v>582</v>
      </c>
      <c r="E34" s="890" t="n">
        <v>0</v>
      </c>
      <c r="F34" s="0" t="s">
        <v>583</v>
      </c>
    </row>
    <row r="36" customFormat="false" ht="15.75" hidden="false" customHeight="false" outlineLevel="0" collapsed="false">
      <c r="B36" s="9" t="s">
        <v>584</v>
      </c>
      <c r="E36" s="890" t="n">
        <v>0</v>
      </c>
      <c r="F36" s="0" t="s">
        <v>583</v>
      </c>
    </row>
    <row r="38" customFormat="false" ht="15.75" hidden="false" customHeight="false" outlineLevel="0" collapsed="false">
      <c r="B38" s="0" t="s">
        <v>585</v>
      </c>
      <c r="E38" s="884" t="n">
        <f aca="false">+E32+1</f>
        <v>35916</v>
      </c>
      <c r="F38" s="890" t="n">
        <v>0</v>
      </c>
      <c r="G38" s="0" t="s">
        <v>583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583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583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583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583</v>
      </c>
    </row>
    <row r="44" customFormat="false" ht="15" hidden="false" customHeight="false" outlineLevel="0" collapsed="false">
      <c r="B44" s="9" t="s">
        <v>586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409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587</v>
      </c>
      <c r="D49" s="892"/>
    </row>
    <row r="50" customFormat="false" ht="15" hidden="false" customHeight="false" outlineLevel="0" collapsed="false">
      <c r="B50" s="893"/>
      <c r="C50" s="891" t="s">
        <v>588</v>
      </c>
    </row>
    <row r="51" customFormat="false" ht="15" hidden="false" customHeight="false" outlineLevel="0" collapsed="false">
      <c r="B51" s="893"/>
      <c r="C51" s="891" t="s">
        <v>589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590</v>
      </c>
      <c r="E4" s="903"/>
      <c r="F4" s="903" t="s">
        <v>591</v>
      </c>
      <c r="G4" s="903"/>
      <c r="H4" s="904"/>
      <c r="I4" s="905" t="s">
        <v>592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Saturday</v>
      </c>
      <c r="B5" s="906" t="n">
        <f aca="false">Weather_Input!A5</f>
        <v>37114</v>
      </c>
      <c r="C5" s="13"/>
      <c r="D5" s="907" t="s">
        <v>593</v>
      </c>
      <c r="E5" s="908" t="n">
        <f aca="false">Weather_Input!B5</f>
        <v>79</v>
      </c>
      <c r="F5" s="909" t="s">
        <v>594</v>
      </c>
      <c r="G5" s="910" t="n">
        <f aca="false">Weather_Input!H5</f>
        <v>0</v>
      </c>
      <c r="H5" s="911" t="s">
        <v>595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295</v>
      </c>
      <c r="E6" s="908" t="n">
        <f aca="false">Weather_Input!C5</f>
        <v>61</v>
      </c>
      <c r="F6" s="909" t="s">
        <v>596</v>
      </c>
      <c r="G6" s="910" t="n">
        <f aca="false">Weather_Input!F5</f>
        <v>0</v>
      </c>
      <c r="H6" s="911" t="s">
        <v>597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598</v>
      </c>
      <c r="E7" s="908" t="n">
        <f aca="false">IF(Weather_Input!E5="N/A",(Weather_Input!C5+Weather_Input!B5)/2,Weather_Input!E5)</f>
        <v>69.8</v>
      </c>
      <c r="F7" s="909" t="s">
        <v>599</v>
      </c>
      <c r="G7" s="910" t="n">
        <f aca="false">Weather_Input!G5</f>
        <v>0</v>
      </c>
      <c r="H7" s="911" t="s">
        <v>599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  PARTLY  SUNNY  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  TONIGHT  CLEAR  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Sunday</v>
      </c>
      <c r="B10" s="906" t="n">
        <f aca="false">Weather_Input!A6</f>
        <v>37115</v>
      </c>
      <c r="C10" s="13"/>
      <c r="D10" s="907" t="s">
        <v>593</v>
      </c>
      <c r="E10" s="908" t="n">
        <f aca="false">Weather_Input!B6</f>
        <v>84</v>
      </c>
      <c r="F10" s="909" t="s">
        <v>594</v>
      </c>
      <c r="G10" s="910" t="n">
        <f aca="false">IF(E12&lt;65,65-(Weather_Input!B6+Weather_Input!C6)/2,0)</f>
        <v>0</v>
      </c>
      <c r="H10" s="911" t="s">
        <v>595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295</v>
      </c>
      <c r="E11" s="908" t="n">
        <f aca="false">Weather_Input!C6</f>
        <v>62</v>
      </c>
      <c r="F11" s="909" t="s">
        <v>596</v>
      </c>
      <c r="G11" s="910" t="n">
        <f aca="false">IF(DAY(B10)=1,G10,G6+G10)</f>
        <v>0</v>
      </c>
      <c r="H11" s="911" t="s">
        <v>597</v>
      </c>
      <c r="I11" s="912" t="n">
        <f aca="true">G11-(VLOOKUP(B10,DD_Normal_Data,CELL("Col",C12),FALSE()))</f>
        <v>0</v>
      </c>
      <c r="DE11" s="27" t="s">
        <v>600</v>
      </c>
    </row>
    <row r="12" customFormat="false" ht="15" hidden="false" customHeight="false" outlineLevel="0" collapsed="false">
      <c r="A12" s="900"/>
      <c r="B12" s="902"/>
      <c r="C12" s="13"/>
      <c r="D12" s="907" t="s">
        <v>598</v>
      </c>
      <c r="E12" s="908" t="n">
        <f aca="false">(Weather_Input!C6+Weather_Input!B6)/2</f>
        <v>73</v>
      </c>
      <c r="F12" s="909" t="s">
        <v>599</v>
      </c>
      <c r="G12" s="910" t="n">
        <f aca="false">IF(AND(DAY(B10)=1,MONTH(B10)=8),G10,G7+G10)</f>
        <v>0</v>
      </c>
      <c r="H12" s="911" t="s">
        <v>599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  PARTLY CLOUDY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  TONIGHT  MOSTLY CLOUDY  WITH  A  CHANCE  OF  SHOWERS.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Monday</v>
      </c>
      <c r="B15" s="906" t="n">
        <f aca="false">Weather_Input!A7</f>
        <v>37116</v>
      </c>
      <c r="C15" s="13"/>
      <c r="D15" s="907" t="s">
        <v>593</v>
      </c>
      <c r="E15" s="908" t="n">
        <f aca="false">Weather_Input!B7</f>
        <v>78</v>
      </c>
      <c r="F15" s="909" t="s">
        <v>594</v>
      </c>
      <c r="G15" s="910" t="n">
        <f aca="false">IF(E17&lt;65,65-(Weather_Input!B7+Weather_Input!C7)/2,0)</f>
        <v>0</v>
      </c>
      <c r="H15" s="911" t="s">
        <v>595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295</v>
      </c>
      <c r="E16" s="908" t="n">
        <f aca="false">Weather_Input!C7</f>
        <v>56</v>
      </c>
      <c r="F16" s="909" t="s">
        <v>596</v>
      </c>
      <c r="G16" s="910" t="n">
        <f aca="false">IF(DAY(B15)=1,G15,G11+G15)</f>
        <v>0</v>
      </c>
      <c r="H16" s="911" t="s">
        <v>597</v>
      </c>
      <c r="I16" s="912" t="n">
        <f aca="true">G16-(VLOOKUP(B15,DD_Normal_Data,CELL("Col",C17),FALSE()))</f>
        <v>0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598</v>
      </c>
      <c r="E17" s="908" t="n">
        <f aca="false">(Weather_Input!C7+Weather_Input!B7)/2</f>
        <v>67</v>
      </c>
      <c r="F17" s="909" t="s">
        <v>599</v>
      </c>
      <c r="G17" s="910" t="n">
        <f aca="false">IF(AND(DAY(B15)=1,MONTH(B15)=8),G15,G12+G15)</f>
        <v>0</v>
      </c>
      <c r="H17" s="911" t="s">
        <v>599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   MOSTLY  CLOUDY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Tuesday</v>
      </c>
      <c r="B20" s="906" t="n">
        <f aca="false">Weather_Input!A8</f>
        <v>37117</v>
      </c>
      <c r="C20" s="13"/>
      <c r="D20" s="907" t="s">
        <v>593</v>
      </c>
      <c r="E20" s="908" t="n">
        <f aca="false">Weather_Input!B8</f>
        <v>80</v>
      </c>
      <c r="F20" s="909" t="s">
        <v>594</v>
      </c>
      <c r="G20" s="910" t="n">
        <f aca="false">IF(E22&lt;65,65-(Weather_Input!B8+Weather_Input!C8)/2,0)</f>
        <v>0</v>
      </c>
      <c r="H20" s="911" t="s">
        <v>595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295</v>
      </c>
      <c r="E21" s="908" t="n">
        <f aca="false">Weather_Input!C8</f>
        <v>65</v>
      </c>
      <c r="F21" s="909" t="s">
        <v>596</v>
      </c>
      <c r="G21" s="910" t="n">
        <f aca="false">IF(DAY(B20)=1,G20,G16+G20)</f>
        <v>0</v>
      </c>
      <c r="H21" s="911" t="s">
        <v>597</v>
      </c>
      <c r="I21" s="912" t="n">
        <f aca="true">G21-(VLOOKUP(B20,DD_Normal_Data,CELL("Col",C22),FALSE()))</f>
        <v>0</v>
      </c>
      <c r="DE21" s="27" t="s">
        <v>601</v>
      </c>
    </row>
    <row r="22" customFormat="false" ht="15" hidden="false" customHeight="false" outlineLevel="0" collapsed="false">
      <c r="A22" s="900"/>
      <c r="B22" s="906"/>
      <c r="C22" s="13"/>
      <c r="D22" s="907" t="s">
        <v>598</v>
      </c>
      <c r="E22" s="908" t="n">
        <f aca="false">(Weather_Input!C8+Weather_Input!B8)/2</f>
        <v>72.5</v>
      </c>
      <c r="F22" s="909" t="s">
        <v>599</v>
      </c>
      <c r="G22" s="910" t="n">
        <f aca="false">IF(AND(DAY(B20)=1,MONTH(B20)=8),G20,G17+G20)</f>
        <v>0</v>
      </c>
      <c r="H22" s="911" t="s">
        <v>599</v>
      </c>
      <c r="I22" s="912" t="n">
        <f aca="true">G22-(VLOOKUP(B20,DD_Normal_Data,CELL("Col",D19),FALSE()))</f>
        <v>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   MOSTLY  CLOUDY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Wednesday</v>
      </c>
      <c r="B25" s="906" t="n">
        <f aca="false">Weather_Input!A9</f>
        <v>37118</v>
      </c>
      <c r="C25" s="13"/>
      <c r="D25" s="907" t="s">
        <v>593</v>
      </c>
      <c r="E25" s="908" t="n">
        <f aca="false">Weather_Input!B9</f>
        <v>85</v>
      </c>
      <c r="F25" s="909" t="s">
        <v>594</v>
      </c>
      <c r="G25" s="910" t="n">
        <f aca="false">IF(E27&lt;65,65-(Weather_Input!B9+Weather_Input!C9)/2,0)</f>
        <v>0</v>
      </c>
      <c r="H25" s="911" t="s">
        <v>595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295</v>
      </c>
      <c r="E26" s="908" t="n">
        <f aca="false">Weather_Input!C9</f>
        <v>69</v>
      </c>
      <c r="F26" s="909" t="s">
        <v>596</v>
      </c>
      <c r="G26" s="910" t="n">
        <f aca="false">IF(DAY(B25)=1,G25,G21+G25)</f>
        <v>0</v>
      </c>
      <c r="H26" s="911" t="s">
        <v>597</v>
      </c>
      <c r="I26" s="912" t="n">
        <f aca="true">G26-(VLOOKUP(B25,DD_Normal_Data,CELL("Col",C27),FALSE()))</f>
        <v>0</v>
      </c>
      <c r="DE26" s="27" t="s">
        <v>602</v>
      </c>
    </row>
    <row r="27" customFormat="false" ht="15" hidden="false" customHeight="false" outlineLevel="0" collapsed="false">
      <c r="A27" s="900"/>
      <c r="B27" s="902"/>
      <c r="C27" s="13"/>
      <c r="D27" s="907" t="s">
        <v>598</v>
      </c>
      <c r="E27" s="908" t="n">
        <f aca="false">(Weather_Input!C9+Weather_Input!B9)/2</f>
        <v>77</v>
      </c>
      <c r="F27" s="909" t="s">
        <v>599</v>
      </c>
      <c r="G27" s="910" t="n">
        <f aca="false">IF(AND(DAY(B25)=1,MONTH(B25)=8),G25,G22+G25)</f>
        <v>0</v>
      </c>
      <c r="H27" s="911" t="s">
        <v>599</v>
      </c>
      <c r="I27" s="912" t="n">
        <f aca="true">G27-(VLOOKUP(B25,DD_Normal_Data,CELL("Col",D24),FALSE()))</f>
        <v>0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   PARTLY CLOUDY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Thursday</v>
      </c>
      <c r="B30" s="906" t="n">
        <f aca="false">Weather_Input!A10</f>
        <v>37119</v>
      </c>
      <c r="C30" s="13"/>
      <c r="D30" s="907" t="s">
        <v>593</v>
      </c>
      <c r="E30" s="908" t="n">
        <f aca="false">Weather_Input!B10</f>
        <v>80</v>
      </c>
      <c r="F30" s="909" t="s">
        <v>594</v>
      </c>
      <c r="G30" s="910" t="n">
        <f aca="false">IF(E32&lt;65,65-(Weather_Input!B10+Weather_Input!C10)/2,0)</f>
        <v>0</v>
      </c>
      <c r="H30" s="911" t="s">
        <v>595</v>
      </c>
      <c r="I30" s="912" t="n">
        <f aca="true">G30-(VLOOKUP(B30,DD_Normal_Data,CELL("Col",B31),FALSE()))</f>
        <v>0</v>
      </c>
    </row>
    <row r="31" customFormat="false" ht="15" hidden="false" customHeight="false" outlineLevel="0" collapsed="false">
      <c r="A31" s="13"/>
      <c r="B31" s="13"/>
      <c r="C31" s="13"/>
      <c r="D31" s="907" t="s">
        <v>295</v>
      </c>
      <c r="E31" s="908" t="n">
        <f aca="false">Weather_Input!C10</f>
        <v>60</v>
      </c>
      <c r="F31" s="909" t="s">
        <v>596</v>
      </c>
      <c r="G31" s="910" t="n">
        <f aca="false">IF(DAY(B30)=1,G30,G26+G30)</f>
        <v>0</v>
      </c>
      <c r="H31" s="911" t="s">
        <v>597</v>
      </c>
      <c r="I31" s="912" t="n">
        <f aca="true">G31-(VLOOKUP(B30,DD_Normal_Data,CELL("Col",C32),FALSE()))</f>
        <v>0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598</v>
      </c>
      <c r="E32" s="908" t="n">
        <f aca="false">(Weather_Input!C10+Weather_Input!B10)/2</f>
        <v>70</v>
      </c>
      <c r="F32" s="909" t="s">
        <v>599</v>
      </c>
      <c r="G32" s="910" t="n">
        <f aca="false">IF(AND(DAY(B30)=1,MONTH(B30)=8),G30,G27+G30)</f>
        <v>0</v>
      </c>
      <c r="H32" s="911" t="s">
        <v>599</v>
      </c>
      <c r="I32" s="912" t="n">
        <f aca="true">G32-(VLOOKUP(B30,DD_Normal_Data,CELL("Col",D29),FALSE()))</f>
        <v>0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   MOSTLY  SUNNY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603</v>
      </c>
      <c r="B35" s="900" t="s">
        <v>274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66</v>
      </c>
      <c r="B36" s="927" t="n">
        <f aca="false">B5</f>
        <v>37114</v>
      </c>
      <c r="C36" s="927" t="n">
        <f aca="false">B10</f>
        <v>37115</v>
      </c>
      <c r="D36" s="927" t="n">
        <f aca="false">B15</f>
        <v>37116</v>
      </c>
      <c r="E36" s="927" t="n">
        <f aca="false">B20</f>
        <v>37117</v>
      </c>
      <c r="F36" s="927" t="n">
        <f aca="false">B25</f>
        <v>37118</v>
      </c>
      <c r="G36" s="927" t="n">
        <f aca="false">B30</f>
        <v>37119</v>
      </c>
      <c r="H36" s="27"/>
      <c r="I36" s="13"/>
    </row>
    <row r="37" customFormat="false" ht="15" hidden="false" customHeight="false" outlineLevel="0" collapsed="false">
      <c r="A37" s="13" t="s">
        <v>74</v>
      </c>
      <c r="B37" s="928" t="n">
        <f aca="true">(VLOOKUP(B36,PGL_Sendouts,(CELL("COL",PGL_Deliveries!C6))))/1000</f>
        <v>165</v>
      </c>
      <c r="C37" s="928" t="n">
        <f aca="true">(VLOOKUP(C36,PGL_Sendouts,(CELL("COL",PGL_Deliveries!C7))))/1000</f>
        <v>175</v>
      </c>
      <c r="D37" s="928" t="n">
        <f aca="true">(VLOOKUP(D36,PGL_Sendouts,(CELL("COL",PGL_Deliveries!C8))))/1000</f>
        <v>190</v>
      </c>
      <c r="E37" s="928" t="n">
        <f aca="true">(VLOOKUP(E36,PGL_Sendouts,(CELL("COL",PGL_Deliveries!C9))))/1000</f>
        <v>190</v>
      </c>
      <c r="F37" s="928" t="n">
        <f aca="true">(VLOOKUP(F36,PGL_Sendouts,(CELL("COL",PGL_Deliveries!C10))))/1000</f>
        <v>190</v>
      </c>
      <c r="G37" s="928" t="n">
        <f aca="true">(VLOOKUP(G36,PGL_Sendouts,(CELL("COL",PGL_Deliveries!C10))))/1000</f>
        <v>190</v>
      </c>
      <c r="H37" s="27"/>
      <c r="I37" s="13"/>
    </row>
    <row r="38" customFormat="false" ht="15" hidden="false" customHeight="false" outlineLevel="0" collapsed="false">
      <c r="A38" s="13" t="s">
        <v>604</v>
      </c>
      <c r="B38" s="928" t="n">
        <f aca="false">PGL_6_Day_Report!D25</f>
        <v>387.17035</v>
      </c>
      <c r="C38" s="928" t="n">
        <f aca="false">PGL_6_Day_Report!E25</f>
        <v>397.428</v>
      </c>
      <c r="D38" s="928" t="n">
        <f aca="false">PGL_6_Day_Report!F25</f>
        <v>398.439</v>
      </c>
      <c r="E38" s="928" t="n">
        <f aca="false">PGL_6_Day_Report!G25</f>
        <v>322.55</v>
      </c>
      <c r="F38" s="928" t="n">
        <f aca="false">PGL_6_Day_Report!H25</f>
        <v>322.55</v>
      </c>
      <c r="G38" s="928" t="n">
        <f aca="false">PGL_6_Day_Report!I25</f>
        <v>322.55</v>
      </c>
      <c r="H38" s="27"/>
      <c r="I38" s="13"/>
    </row>
    <row r="39" customFormat="false" ht="15" hidden="false" customHeight="false" outlineLevel="0" collapsed="false">
      <c r="A39" s="929" t="s">
        <v>178</v>
      </c>
      <c r="B39" s="928" t="n">
        <f aca="false">SUM(PGL_Supplies!Y7:AD7)/1000</f>
        <v>259.683</v>
      </c>
      <c r="C39" s="928" t="n">
        <f aca="false">SUM(PGL_Supplies!Y8:AD8)/1000</f>
        <v>259.683</v>
      </c>
      <c r="D39" s="928" t="n">
        <f aca="false">SUM(PGL_Supplies!Y9:AD9)/1000</f>
        <v>259.683</v>
      </c>
      <c r="E39" s="928" t="n">
        <f aca="false">SUM(PGL_Supplies!Y10:AD10)/1000</f>
        <v>259.683</v>
      </c>
      <c r="F39" s="928" t="n">
        <f aca="false">SUM(PGL_Supplies!Y11:AD11)/1000</f>
        <v>259.683</v>
      </c>
      <c r="G39" s="928" t="n">
        <f aca="false">SUM(PGL_Supplies!Y12:AD12)/1000</f>
        <v>259.683</v>
      </c>
      <c r="H39" s="27"/>
      <c r="I39" s="13"/>
    </row>
    <row r="40" customFormat="false" ht="15" hidden="false" customHeight="false" outlineLevel="0" collapsed="false">
      <c r="A40" s="929" t="s">
        <v>605</v>
      </c>
      <c r="B40" s="928" t="e">
        <f aca="false">(PGL_Supplies!M7+#REF!+PGL_Supplies!N7+PGL_Supplies!P7+PGL_Supplies!Q7)/1000</f>
        <v>#REF!</v>
      </c>
      <c r="C40" s="928" t="e">
        <f aca="false">(PGL_Supplies!M8+#REF!+PGL_Supplies!N8+PGL_Supplies!P8+PGL_Supplies!Q8)/1000</f>
        <v>#REF!</v>
      </c>
      <c r="D40" s="928" t="e">
        <f aca="false">(PGL_Supplies!M9+#REF!+PGL_Supplies!N9+PGL_Supplies!P9+PGL_Supplies!Q9)/1000</f>
        <v>#REF!</v>
      </c>
      <c r="E40" s="928" t="e">
        <f aca="false">(PGL_Supplies!M10+#REF!+PGL_Supplies!N10+PGL_Supplies!P10+PGL_Supplies!Q10)/1000</f>
        <v>#REF!</v>
      </c>
      <c r="F40" s="928" t="e">
        <f aca="false">(PGL_Supplies!M11+#REF!+PGL_Supplies!N11+PGL_Supplies!P11+PGL_Supplies!Q11)/1000</f>
        <v>#REF!</v>
      </c>
      <c r="G40" s="928" t="e">
        <f aca="false">(PGL_Supplies!M12+#REF!+PGL_Supplies!N12+PGL_Supplies!P12+PGL_Supplies!Q12)/1000</f>
        <v>#REF!</v>
      </c>
      <c r="H40" s="27"/>
      <c r="I40" s="13"/>
    </row>
    <row r="41" customFormat="false" ht="15" hidden="false" customHeight="false" outlineLevel="0" collapsed="false">
      <c r="A41" s="929" t="s">
        <v>606</v>
      </c>
      <c r="B41" s="928" t="n">
        <f aca="false">SUM(PGL_Requirements!Q7:T7)/1000</f>
        <v>35.975</v>
      </c>
      <c r="C41" s="928" t="n">
        <f aca="false">SUM(PGL_Requirements!Q7:T7)/1000</f>
        <v>35.975</v>
      </c>
      <c r="D41" s="928" t="n">
        <f aca="false">SUM(PGL_Requirements!Q7:T7)/1000</f>
        <v>35.975</v>
      </c>
      <c r="E41" s="928" t="n">
        <f aca="false">SUM(PGL_Requirements!Q7:T7)/1000</f>
        <v>35.975</v>
      </c>
      <c r="F41" s="928" t="n">
        <f aca="false">SUM(PGL_Requirements!Q7:T7)/1000</f>
        <v>35.975</v>
      </c>
      <c r="G41" s="928" t="n">
        <f aca="false">SUM(PGL_Requirements!Q7:T7)/1000</f>
        <v>35.975</v>
      </c>
      <c r="H41" s="27"/>
      <c r="I41" s="13"/>
    </row>
    <row r="42" customFormat="false" ht="15" hidden="false" customHeight="false" outlineLevel="0" collapsed="false">
      <c r="A42" s="13" t="s">
        <v>607</v>
      </c>
      <c r="B42" s="928" t="n">
        <f aca="false">PGL_Supplies!U7/1000</f>
        <v>120.885</v>
      </c>
      <c r="C42" s="928" t="n">
        <f aca="false">PGL_Supplies!U8/1000</f>
        <v>120.885</v>
      </c>
      <c r="D42" s="928" t="n">
        <f aca="false">PGL_Supplies!U9/1000</f>
        <v>120.885</v>
      </c>
      <c r="E42" s="928" t="n">
        <f aca="false">PGL_Supplies!U10/1000</f>
        <v>120.885</v>
      </c>
      <c r="F42" s="928" t="n">
        <f aca="false">PGL_Supplies!U11/1000</f>
        <v>120.885</v>
      </c>
      <c r="G42" s="928" t="n">
        <f aca="false">PGL_Supplies!U12/1000</f>
        <v>120.885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131</v>
      </c>
      <c r="B44" s="927" t="n">
        <f aca="false">B36</f>
        <v>37114</v>
      </c>
      <c r="C44" s="927" t="n">
        <f aca="false">C36</f>
        <v>37115</v>
      </c>
      <c r="D44" s="927" t="n">
        <f aca="false">D36</f>
        <v>37116</v>
      </c>
      <c r="E44" s="927" t="n">
        <f aca="false">E36</f>
        <v>37117</v>
      </c>
      <c r="F44" s="927" t="n">
        <f aca="false">F36</f>
        <v>37118</v>
      </c>
      <c r="G44" s="927" t="n">
        <f aca="false">G36</f>
        <v>37119</v>
      </c>
      <c r="H44" s="27"/>
      <c r="I44" s="13"/>
    </row>
    <row r="45" customFormat="false" ht="15" hidden="false" customHeight="false" outlineLevel="0" collapsed="false">
      <c r="A45" s="13" t="s">
        <v>74</v>
      </c>
      <c r="B45" s="928" t="n">
        <f aca="false">NSG_6_Day_Report!D6</f>
        <v>29.4</v>
      </c>
      <c r="C45" s="928" t="n">
        <f aca="false">NSG_6_Day_Report!E6</f>
        <v>30</v>
      </c>
      <c r="D45" s="928" t="n">
        <f aca="false">NSG_6_Day_Report!F6</f>
        <v>31</v>
      </c>
      <c r="E45" s="928" t="n">
        <f aca="false">NSG_6_Day_Report!G6</f>
        <v>31</v>
      </c>
      <c r="F45" s="928" t="n">
        <f aca="false">NSG_6_Day_Report!H6</f>
        <v>31</v>
      </c>
      <c r="G45" s="928" t="n">
        <f aca="false">NSG_6_Day_Report!I6</f>
        <v>31</v>
      </c>
      <c r="H45" s="27"/>
      <c r="I45" s="13"/>
    </row>
    <row r="46" customFormat="false" ht="15" hidden="false" customHeight="false" outlineLevel="0" collapsed="false">
      <c r="A46" s="929" t="s">
        <v>604</v>
      </c>
      <c r="B46" s="928" t="n">
        <f aca="false">NSG_6_Day_Report!D11</f>
        <v>36.4</v>
      </c>
      <c r="C46" s="928" t="n">
        <f aca="false">NSG_6_Day_Report!E11</f>
        <v>37</v>
      </c>
      <c r="D46" s="928" t="n">
        <f aca="false">NSG_6_Day_Report!F11</f>
        <v>38</v>
      </c>
      <c r="E46" s="928" t="n">
        <f aca="false">NSG_6_Day_Report!G11</f>
        <v>38</v>
      </c>
      <c r="F46" s="928" t="n">
        <f aca="false">NSG_6_Day_Report!H11</f>
        <v>38</v>
      </c>
      <c r="G46" s="928" t="n">
        <f aca="false">NSG_6_Day_Report!I11</f>
        <v>38</v>
      </c>
      <c r="H46" s="27"/>
      <c r="I46" s="13"/>
    </row>
    <row r="47" customFormat="false" ht="15" hidden="false" customHeight="false" outlineLevel="0" collapsed="false">
      <c r="A47" s="929" t="s">
        <v>178</v>
      </c>
      <c r="B47" s="928" t="n">
        <f aca="false">SUM(NSG_Supplies!O7:Q7)/1000</f>
        <v>31.824</v>
      </c>
      <c r="C47" s="928" t="n">
        <f aca="false">SUM(NSG_Supplies!O8:Q8)/1000</f>
        <v>31.824</v>
      </c>
      <c r="D47" s="928" t="n">
        <f aca="false">SUM(NSG_Supplies!O9:Q9)/1000</f>
        <v>31.824</v>
      </c>
      <c r="E47" s="928" t="n">
        <f aca="false">SUM(NSG_Supplies!O10:Q10)/1000</f>
        <v>31.824</v>
      </c>
      <c r="F47" s="928" t="n">
        <f aca="false">SUM(NSG_Supplies!O11:Q11)/1000</f>
        <v>31.824</v>
      </c>
      <c r="G47" s="928" t="n">
        <f aca="false">SUM(NSG_Supplies!O12:Q12)/1000</f>
        <v>31.824</v>
      </c>
      <c r="H47" s="27"/>
      <c r="I47" s="13"/>
    </row>
    <row r="48" customFormat="false" ht="15" hidden="false" customHeight="false" outlineLevel="0" collapsed="false">
      <c r="A48" s="929" t="s">
        <v>605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606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607</v>
      </c>
      <c r="B50" s="928" t="n">
        <f aca="false">NSG_Supplies!R7/1000</f>
        <v>14.834</v>
      </c>
      <c r="C50" s="928" t="n">
        <f aca="false">NSG_Supplies!R8/1000</f>
        <v>14.834</v>
      </c>
      <c r="D50" s="928" t="n">
        <f aca="false">NSG_Supplies!R9/1000</f>
        <v>14.834</v>
      </c>
      <c r="E50" s="928" t="n">
        <f aca="false">NSG_Supplies!R10/1000</f>
        <v>14.834</v>
      </c>
      <c r="F50" s="928" t="n">
        <f aca="false">NSG_Supplies!R11/1000</f>
        <v>14.834</v>
      </c>
      <c r="G50" s="928" t="n">
        <f aca="false">NSG_Supplies!R12/1000</f>
        <v>14.834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608</v>
      </c>
      <c r="B52" s="927" t="n">
        <f aca="false">B36</f>
        <v>37114</v>
      </c>
      <c r="C52" s="927" t="n">
        <f aca="false">C36</f>
        <v>37115</v>
      </c>
      <c r="D52" s="927" t="n">
        <f aca="false">D36</f>
        <v>37116</v>
      </c>
      <c r="E52" s="927" t="n">
        <f aca="false">E36</f>
        <v>37117</v>
      </c>
      <c r="F52" s="927" t="n">
        <f aca="false">F36</f>
        <v>37118</v>
      </c>
      <c r="G52" s="927" t="n">
        <f aca="false">G36</f>
        <v>37119</v>
      </c>
      <c r="H52" s="27"/>
      <c r="I52" s="13"/>
    </row>
    <row r="53" customFormat="false" ht="15" hidden="false" customHeight="false" outlineLevel="0" collapsed="false">
      <c r="A53" s="932" t="s">
        <v>609</v>
      </c>
      <c r="B53" s="928" t="n">
        <f aca="false">PGL_Requirements!O7/1000</f>
        <v>146.19</v>
      </c>
      <c r="C53" s="928" t="n">
        <f aca="false">PGL_Requirements!O8/1000</f>
        <v>150</v>
      </c>
      <c r="D53" s="928" t="n">
        <f aca="false">PGL_Requirements!O9/1000</f>
        <v>150</v>
      </c>
      <c r="E53" s="928" t="n">
        <f aca="false">PGL_Requirements!O10/1000</f>
        <v>130</v>
      </c>
      <c r="F53" s="928" t="n">
        <f aca="false">PGL_Requirements!O11/1000</f>
        <v>130</v>
      </c>
      <c r="G53" s="928" t="n">
        <f aca="false">PGL_Requirements!O12/1000</f>
        <v>130</v>
      </c>
      <c r="H53" s="27"/>
      <c r="I53" s="13"/>
    </row>
    <row r="54" customFormat="false" ht="15" hidden="false" customHeight="false" outlineLevel="0" collapsed="false">
      <c r="A54" s="13" t="s">
        <v>610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611</v>
      </c>
    </row>
    <row r="57" customFormat="false" ht="15.75" hidden="false" customHeight="false" outlineLevel="0" collapsed="false">
      <c r="A57" s="897" t="s">
        <v>612</v>
      </c>
    </row>
    <row r="58" customFormat="false" ht="15.75" hidden="false" customHeight="false" outlineLevel="0" collapsed="false">
      <c r="A58" s="897" t="s">
        <v>613</v>
      </c>
      <c r="G58" s="934"/>
    </row>
    <row r="59" customFormat="false" ht="15.75" hidden="false" customHeight="false" outlineLevel="0" collapsed="false">
      <c r="A59" s="897" t="s">
        <v>614</v>
      </c>
    </row>
    <row r="60" customFormat="false" ht="15.75" hidden="false" customHeight="false" outlineLevel="0" collapsed="false">
      <c r="A60" s="897" t="s">
        <v>615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616</v>
      </c>
    </row>
    <row r="4" customFormat="false" ht="15" hidden="false" customHeight="false" outlineLevel="0" collapsed="false">
      <c r="A4" s="940"/>
      <c r="B4" s="941" t="str">
        <f aca="false">Six_Day_Summary!A10</f>
        <v>Sunday</v>
      </c>
      <c r="C4" s="942" t="str">
        <f aca="false">Six_Day_Summary!A15</f>
        <v>Monday</v>
      </c>
      <c r="D4" s="942" t="str">
        <f aca="false">Six_Day_Summary!A20</f>
        <v>Tuesday</v>
      </c>
      <c r="E4" s="942" t="str">
        <f aca="false">Six_Day_Summary!A25</f>
        <v>Wednesday</v>
      </c>
      <c r="F4" s="943" t="str">
        <f aca="false">Six_Day_Summary!A30</f>
        <v>Thursday</v>
      </c>
      <c r="G4" s="944"/>
    </row>
    <row r="5" customFormat="false" ht="15" hidden="false" customHeight="false" outlineLevel="0" collapsed="false">
      <c r="A5" s="945" t="s">
        <v>617</v>
      </c>
      <c r="B5" s="946" t="n">
        <f aca="false">Weather_Input!A6</f>
        <v>37115</v>
      </c>
      <c r="C5" s="947" t="n">
        <f aca="false">Weather_Input!A7</f>
        <v>37116</v>
      </c>
      <c r="D5" s="947" t="n">
        <f aca="false">Weather_Input!A8</f>
        <v>37117</v>
      </c>
      <c r="E5" s="947" t="n">
        <f aca="false">Weather_Input!A9</f>
        <v>37118</v>
      </c>
      <c r="F5" s="948" t="n">
        <f aca="false">Weather_Input!A10</f>
        <v>37119</v>
      </c>
      <c r="G5" s="944"/>
    </row>
    <row r="6" customFormat="false" ht="15" hidden="false" customHeight="false" outlineLevel="0" collapsed="false">
      <c r="A6" s="944" t="s">
        <v>618</v>
      </c>
      <c r="B6" s="949" t="n">
        <f aca="false">PGL_Supplies!AB8/1000+PGL_Supplies!K8/1000-PGL_Requirements!N8/1000-PGL_Requirements!S8/1000+B8</f>
        <v>28.254</v>
      </c>
      <c r="C6" s="949" t="n">
        <f aca="false">PGL_Supplies!AB9/1000+PGL_Supplies!K9/1000-PGL_Requirements!N9/1000+C15-PGL_Requirements!S9/1000</f>
        <v>28.194</v>
      </c>
      <c r="D6" s="949" t="n">
        <f aca="false">PGL_Supplies!AB10/1000+PGL_Supplies!K10/1000-PGL_Requirements!N10/1000+D15-PGL_Requirements!S10/1000</f>
        <v>55.694</v>
      </c>
      <c r="E6" s="949" t="n">
        <f aca="false">PGL_Supplies!AB11/1000+PGL_Supplies!K11/1000-PGL_Requirements!N11/1000+E15-PGL_Requirements!S11/1000</f>
        <v>55.694</v>
      </c>
      <c r="F6" s="950" t="n">
        <f aca="false">PGL_Supplies!AB12/1000+PGL_Supplies!K12/1000-PGL_Requirements!N12/1000+F15-PGL_Requirements!S12/1000</f>
        <v>55.694</v>
      </c>
      <c r="G6" s="944"/>
      <c r="H6" s="0" t="s">
        <v>0</v>
      </c>
    </row>
    <row r="7" customFormat="false" ht="15" hidden="false" customHeight="false" outlineLevel="0" collapsed="false">
      <c r="A7" s="944" t="s">
        <v>619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620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621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622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623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624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445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625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626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627</v>
      </c>
      <c r="B17" s="959" t="n">
        <v>25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628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Sunday</v>
      </c>
      <c r="C21" s="963" t="str">
        <f aca="false">C4</f>
        <v>Monday</v>
      </c>
      <c r="D21" s="963" t="str">
        <f aca="false">D4</f>
        <v>Tuesday</v>
      </c>
      <c r="E21" s="963" t="str">
        <f aca="false">E4</f>
        <v>Wednesday</v>
      </c>
      <c r="F21" s="964" t="str">
        <f aca="false">F4</f>
        <v>Thursday</v>
      </c>
      <c r="G21" s="944"/>
    </row>
    <row r="22" customFormat="false" ht="15" hidden="false" customHeight="false" outlineLevel="0" collapsed="false">
      <c r="A22" s="965" t="s">
        <v>617</v>
      </c>
      <c r="B22" s="966" t="n">
        <f aca="false">B5</f>
        <v>37115</v>
      </c>
      <c r="C22" s="966" t="n">
        <f aca="false">C5</f>
        <v>37116</v>
      </c>
      <c r="D22" s="966" t="n">
        <f aca="false">D5</f>
        <v>37117</v>
      </c>
      <c r="E22" s="966" t="n">
        <f aca="false">E5</f>
        <v>37118</v>
      </c>
      <c r="F22" s="967" t="n">
        <f aca="false">F5</f>
        <v>37119</v>
      </c>
      <c r="G22" s="944"/>
    </row>
    <row r="23" customFormat="false" ht="15" hidden="false" customHeight="false" outlineLevel="0" collapsed="false">
      <c r="A23" s="944" t="s">
        <v>618</v>
      </c>
      <c r="B23" s="955" t="n">
        <f aca="false">NSG_Supplies!Q8/1000+NSG_Supplies!F8/1000-NSG_Requirements!H8/1000</f>
        <v>30.004</v>
      </c>
      <c r="C23" s="955" t="n">
        <f aca="false">NSG_Supplies!Q9/1000+NSG_Supplies!F9/1000-NSG_Requirements!H9/1000</f>
        <v>24.824</v>
      </c>
      <c r="D23" s="955" t="n">
        <f aca="false">NSG_Supplies!Q10/1000+NSG_Supplies!F10/1000-NSG_Requirements!H10/1000</f>
        <v>24.824</v>
      </c>
      <c r="E23" s="955" t="n">
        <f aca="false">NSG_Supplies!Q12/1000+NSG_Supplies!F11/1000-NSG_Requirements!H11/1000</f>
        <v>24.824</v>
      </c>
      <c r="F23" s="950" t="n">
        <f aca="false">NSG_Supplies!Q12/1000+NSG_Supplies!F12/1000-NSG_Requirements!H12/1000</f>
        <v>24.824</v>
      </c>
      <c r="G23" s="944"/>
    </row>
    <row r="24" customFormat="false" ht="15" hidden="false" customHeight="false" outlineLevel="0" collapsed="false">
      <c r="A24" s="944" t="s">
        <v>629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619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620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621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630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622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623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624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631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632</v>
      </c>
      <c r="C1" s="970" t="n">
        <f aca="false">Weather_Input!A6</f>
        <v>37115</v>
      </c>
      <c r="D1" s="971" t="s">
        <v>633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634</v>
      </c>
      <c r="E2" s="403"/>
      <c r="I2" s="403"/>
    </row>
    <row r="3" customFormat="false" ht="15.75" hidden="false" customHeight="true" outlineLevel="0" collapsed="false">
      <c r="B3" s="975" t="s">
        <v>178</v>
      </c>
      <c r="C3" s="976" t="n">
        <f aca="false">NSG_Supplies!P8/1000</f>
        <v>7</v>
      </c>
      <c r="E3" s="403"/>
      <c r="F3" s="977" t="s">
        <v>279</v>
      </c>
      <c r="G3" s="489"/>
      <c r="H3" s="978" t="s">
        <v>635</v>
      </c>
      <c r="I3" s="979" t="s">
        <v>636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637</v>
      </c>
      <c r="G4" s="95"/>
      <c r="H4" s="981" t="n">
        <f aca="false">PGL_Requirements!O8/1000</f>
        <v>150</v>
      </c>
      <c r="I4" s="982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983" t="s">
        <v>638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320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639</v>
      </c>
      <c r="C6" s="991"/>
      <c r="D6" s="40"/>
      <c r="E6" s="992"/>
      <c r="F6" s="0" t="s">
        <v>640</v>
      </c>
      <c r="G6" s="991" t="n">
        <f aca="false">AVERAGE(H4/24)</f>
        <v>6.25</v>
      </c>
      <c r="H6" s="439"/>
      <c r="I6" s="387"/>
    </row>
    <row r="7" customFormat="false" ht="15.75" hidden="false" customHeight="true" outlineLevel="0" collapsed="false">
      <c r="B7" s="975" t="s">
        <v>641</v>
      </c>
      <c r="C7" s="981" t="n">
        <f aca="false">NSG_Supplies!K8/1000</f>
        <v>0</v>
      </c>
      <c r="D7" s="95"/>
      <c r="E7" s="993"/>
      <c r="F7" s="974" t="s">
        <v>642</v>
      </c>
      <c r="G7" s="994"/>
      <c r="H7" s="95"/>
      <c r="I7" s="403"/>
    </row>
    <row r="8" customFormat="false" ht="15.75" hidden="false" customHeight="true" outlineLevel="0" collapsed="false">
      <c r="B8" s="975" t="s">
        <v>643</v>
      </c>
      <c r="C8" s="981" t="n">
        <f aca="false">PGL_Requirements!V8/1000</f>
        <v>0</v>
      </c>
      <c r="D8" s="95"/>
      <c r="E8" s="993"/>
      <c r="F8" s="975" t="s">
        <v>644</v>
      </c>
      <c r="G8" s="981" t="n">
        <f aca="false">PGL_Supplies!S8/1000</f>
        <v>20</v>
      </c>
      <c r="H8" s="95"/>
      <c r="I8" s="403"/>
    </row>
    <row r="9" customFormat="false" ht="15.75" hidden="false" customHeight="true" outlineLevel="0" collapsed="false">
      <c r="B9" s="975" t="s">
        <v>645</v>
      </c>
      <c r="C9" s="981" t="n">
        <f aca="false">NSG_Requirements!B8/1000</f>
        <v>0</v>
      </c>
      <c r="D9" s="95"/>
      <c r="E9" s="993"/>
      <c r="F9" s="29" t="s">
        <v>646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647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539</v>
      </c>
      <c r="G10" s="981" t="n">
        <f aca="false">PGL_Supplies!AA8/1000</f>
        <v>166.072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648</v>
      </c>
      <c r="C11" s="981" t="n">
        <f aca="false">PGL_Supplies!X8/1000</f>
        <v>96.749</v>
      </c>
      <c r="D11" s="489"/>
      <c r="E11" s="996"/>
      <c r="F11" s="997" t="s">
        <v>649</v>
      </c>
      <c r="G11" s="998" t="n">
        <f aca="false">G8+G10</f>
        <v>186.072</v>
      </c>
      <c r="H11" s="263"/>
      <c r="I11" s="369"/>
    </row>
    <row r="12" customFormat="false" ht="15.75" hidden="false" customHeight="true" outlineLevel="0" collapsed="false">
      <c r="B12" s="254" t="s">
        <v>650</v>
      </c>
      <c r="C12" s="981" t="n">
        <v>25</v>
      </c>
      <c r="D12" s="40"/>
      <c r="E12" s="403"/>
      <c r="F12" s="999" t="s">
        <v>651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652</v>
      </c>
      <c r="C13" s="40"/>
      <c r="D13" s="981" t="n">
        <f aca="false">PGL_Requirements!I8/1000</f>
        <v>0</v>
      </c>
      <c r="E13" s="403"/>
      <c r="F13" s="999" t="s">
        <v>653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654</v>
      </c>
      <c r="C14" s="984" t="n">
        <f aca="false">C11-D13-C12</f>
        <v>71.749</v>
      </c>
      <c r="D14" s="482"/>
      <c r="E14" s="985" t="n">
        <f aca="false">AVERAGE(C14/24)</f>
        <v>2.98954166666667</v>
      </c>
      <c r="F14" s="1001" t="s">
        <v>655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656</v>
      </c>
      <c r="C15" s="981" t="n">
        <f aca="false">PGL_Supplies!Y8/1000</f>
        <v>35.418</v>
      </c>
      <c r="D15" s="95"/>
      <c r="E15" s="403"/>
      <c r="F15" s="1001" t="s">
        <v>657</v>
      </c>
      <c r="G15" s="998" t="n">
        <f aca="false">SUM(G11)-G16-G17-H13</f>
        <v>177.63</v>
      </c>
      <c r="H15" s="482" t="s">
        <v>0</v>
      </c>
      <c r="I15" s="985" t="n">
        <f aca="false">AVERAGE(G15/24)</f>
        <v>7.40125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35.418</v>
      </c>
      <c r="E16" s="403"/>
      <c r="F16" s="1001" t="s">
        <v>658</v>
      </c>
      <c r="G16" s="984" t="n">
        <f aca="false">PGL_Requirements!G8/1000</f>
        <v>8.442</v>
      </c>
      <c r="H16" s="984" t="s">
        <v>0</v>
      </c>
      <c r="I16" s="985" t="n">
        <f aca="false">AVERAGE(G16/24)</f>
        <v>0.35175</v>
      </c>
    </row>
    <row r="17" customFormat="false" ht="15.75" hidden="false" customHeight="true" outlineLevel="0" collapsed="false">
      <c r="B17" s="997" t="s">
        <v>649</v>
      </c>
      <c r="C17" s="998" t="n">
        <f aca="false">SUM(C15:C16)-SUM(D15:D16)</f>
        <v>0</v>
      </c>
      <c r="D17" s="263"/>
      <c r="E17" s="369"/>
      <c r="F17" s="1002" t="s">
        <v>659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660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661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662</v>
      </c>
      <c r="C20" s="984" t="n">
        <f aca="false">C17+C18-D19</f>
        <v>0</v>
      </c>
      <c r="D20" s="1010" t="s">
        <v>0</v>
      </c>
      <c r="E20" s="985" t="n">
        <f aca="false">AVERAGE(C20/24)</f>
        <v>0</v>
      </c>
      <c r="F20" s="1011" t="s">
        <v>439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663</v>
      </c>
      <c r="C21" s="981" t="n">
        <f aca="false">PGL_Supplies!Z8/1000</f>
        <v>0</v>
      </c>
      <c r="D21" s="981" t="s">
        <v>0</v>
      </c>
      <c r="E21" s="403"/>
      <c r="F21" s="975" t="s">
        <v>178</v>
      </c>
      <c r="G21" s="981" t="n">
        <f aca="false">PGL_Supplies!AC8/1000</f>
        <v>2.499</v>
      </c>
      <c r="H21" s="981" t="s">
        <v>0</v>
      </c>
      <c r="I21" s="403"/>
    </row>
    <row r="22" customFormat="false" ht="15.75" hidden="false" customHeight="true" outlineLevel="0" collapsed="false">
      <c r="B22" s="997" t="s">
        <v>649</v>
      </c>
      <c r="C22" s="998" t="n">
        <f aca="false">SUM(C21)-SUM(D21)</f>
        <v>0</v>
      </c>
      <c r="D22" s="263"/>
      <c r="E22" s="369"/>
      <c r="F22" s="997" t="s">
        <v>649</v>
      </c>
      <c r="G22" s="998" t="n">
        <f aca="false">G21</f>
        <v>2.499</v>
      </c>
      <c r="H22" s="263"/>
      <c r="I22" s="369"/>
    </row>
    <row r="23" customFormat="false" ht="15.75" hidden="false" customHeight="true" outlineLevel="0" collapsed="false">
      <c r="B23" s="975" t="s">
        <v>664</v>
      </c>
      <c r="C23" s="981" t="n">
        <f aca="false">PGL_Supplies!C8/1000</f>
        <v>0</v>
      </c>
      <c r="D23" s="95"/>
      <c r="E23" s="403"/>
      <c r="F23" s="975" t="s">
        <v>665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666</v>
      </c>
      <c r="C24" s="95" t="n">
        <v>0</v>
      </c>
      <c r="D24" s="981" t="n">
        <f aca="false">PGL_Requirements!C8/1000</f>
        <v>0</v>
      </c>
      <c r="E24" s="403"/>
      <c r="F24" s="975" t="s">
        <v>667</v>
      </c>
      <c r="G24" s="95"/>
      <c r="H24" s="981" t="n">
        <f aca="false">PGL_Requirements!E8/1000</f>
        <v>2.499</v>
      </c>
      <c r="I24" s="403"/>
    </row>
    <row r="25" customFormat="false" ht="15.75" hidden="false" customHeight="true" outlineLevel="0" collapsed="false">
      <c r="B25" s="983" t="s">
        <v>668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669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670</v>
      </c>
    </row>
    <row r="27" customFormat="false" ht="15.75" hidden="false" customHeight="true" outlineLevel="0" collapsed="false">
      <c r="B27" s="0" t="s">
        <v>671</v>
      </c>
    </row>
    <row r="28" customFormat="false" ht="15.75" hidden="false" customHeight="true" outlineLevel="0" collapsed="false">
      <c r="A28" s="0" t="s">
        <v>0</v>
      </c>
      <c r="B28" s="29" t="s">
        <v>672</v>
      </c>
      <c r="C28" s="11" t="s">
        <v>673</v>
      </c>
      <c r="D28" s="11" t="s">
        <v>674</v>
      </c>
      <c r="E28" s="0" t="s">
        <v>675</v>
      </c>
      <c r="F28" s="887"/>
    </row>
    <row r="29" customFormat="false" ht="15.75" hidden="false" customHeight="true" outlineLevel="0" collapsed="false">
      <c r="B29" s="29" t="s">
        <v>676</v>
      </c>
      <c r="C29" s="11" t="s">
        <v>673</v>
      </c>
      <c r="D29" s="11" t="s">
        <v>674</v>
      </c>
      <c r="E29" s="0" t="s">
        <v>675</v>
      </c>
      <c r="F29" s="263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677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678</v>
      </c>
      <c r="D1" s="1018"/>
      <c r="E1" s="1018" t="s">
        <v>679</v>
      </c>
      <c r="F1" s="1018"/>
      <c r="G1" s="1019" t="s">
        <v>680</v>
      </c>
      <c r="H1" s="1020" t="n">
        <f aca="false">Weather_Input!A6</f>
        <v>37115</v>
      </c>
      <c r="I1" s="1021"/>
      <c r="J1" s="1022"/>
      <c r="K1" s="1022"/>
    </row>
    <row r="2" customFormat="false" ht="16.5" hidden="false" customHeight="true" outlineLevel="0" collapsed="false">
      <c r="A2" s="1023" t="s">
        <v>681</v>
      </c>
      <c r="C2" s="1024" t="n">
        <v>335</v>
      </c>
      <c r="F2" s="1025" t="n">
        <v>340</v>
      </c>
      <c r="H2" s="1022"/>
      <c r="I2" s="1021" t="s">
        <v>682</v>
      </c>
      <c r="J2" s="1026" t="n">
        <f aca="false">NSG_Supplies!P8/1000</f>
        <v>7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683</v>
      </c>
      <c r="G4" s="1029"/>
      <c r="H4" s="1022"/>
      <c r="I4" s="1021"/>
      <c r="J4" s="1021" t="s">
        <v>684</v>
      </c>
      <c r="K4" s="1026" t="n">
        <f aca="false">Billy_Sheet!C5</f>
        <v>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685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99</v>
      </c>
      <c r="G8" s="1016"/>
      <c r="H8" s="1021" t="s">
        <v>434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20</v>
      </c>
      <c r="H9" s="1026" t="n">
        <f aca="false">NSG_Supplies!Q8/1000+NSG_Supplies!F8/1000-NSG_Requirements!H8/1000</f>
        <v>30.004</v>
      </c>
      <c r="I9" s="1034"/>
      <c r="K9" s="1021" t="s">
        <v>686</v>
      </c>
      <c r="L9" s="1026" t="n">
        <f aca="false">NSG_Deliveries!C6/1000</f>
        <v>30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89</v>
      </c>
      <c r="H10" s="1035" t="s">
        <v>687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</v>
      </c>
      <c r="B11" s="1034"/>
      <c r="H11" s="1026" t="n">
        <f aca="false">NSG_Supplies!T8/1000</f>
        <v>0</v>
      </c>
      <c r="K11" s="1016" t="s">
        <v>688</v>
      </c>
      <c r="L11" s="1029" t="n">
        <f aca="false">SUM(K4+K17+K19+H11+H9-L9)</f>
        <v>0.00400000000000134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689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96.749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340</v>
      </c>
      <c r="D15" s="1014" t="n">
        <v>410</v>
      </c>
      <c r="F15" s="1037" t="n">
        <v>340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690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568</v>
      </c>
      <c r="D18" s="1041"/>
      <c r="E18" s="1041"/>
      <c r="F18" s="1025" t="n">
        <v>806</v>
      </c>
    </row>
    <row r="19" customFormat="false" ht="11.25" hidden="false" customHeight="false" outlineLevel="0" collapsed="false">
      <c r="A19" s="1032" t="s">
        <v>691</v>
      </c>
      <c r="C19" s="1014" t="s">
        <v>0</v>
      </c>
      <c r="J19" s="1021" t="s">
        <v>692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177.63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437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693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439</v>
      </c>
      <c r="B25" s="1022"/>
      <c r="C25" s="1022"/>
      <c r="D25" s="1022"/>
      <c r="F25" s="1022"/>
      <c r="G25" s="1021" t="s">
        <v>694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695</v>
      </c>
      <c r="K26" s="1047" t="n">
        <f aca="false">PGL_Deliveries!C6/1000</f>
        <v>175</v>
      </c>
      <c r="L26" s="1021" t="s">
        <v>686</v>
      </c>
      <c r="M26" s="1026" t="n">
        <f aca="false">NSG_Deliveries!C6/1000</f>
        <v>30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696</v>
      </c>
      <c r="B28" s="1026"/>
      <c r="C28" s="1022"/>
      <c r="D28" s="1016"/>
      <c r="F28" s="1021"/>
      <c r="G28" s="1038" t="s">
        <v>697</v>
      </c>
      <c r="H28" s="34"/>
      <c r="J28" s="1016" t="s">
        <v>698</v>
      </c>
      <c r="K28" s="1029" t="n">
        <f aca="false">SUM(A42)</f>
        <v>136.937</v>
      </c>
      <c r="L28" s="1016" t="s">
        <v>699</v>
      </c>
      <c r="M28" s="1029" t="n">
        <f aca="false">SUM(J2+K17+K19+H11+H9-M26)</f>
        <v>7.00400000000001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37114</v>
      </c>
      <c r="G29" s="1026" t="n">
        <f aca="false">PGL_Requirements!G7/1000</f>
        <v>6.385</v>
      </c>
      <c r="H29" s="1033"/>
      <c r="J29" s="1016" t="s">
        <v>700</v>
      </c>
      <c r="K29" s="1026" t="n">
        <f aca="false">PGL_Supplies!AB8/1000+PGL_Supplies!K8/1000-PGL_Requirements!N8/1000</f>
        <v>28.254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37115</v>
      </c>
      <c r="G30" s="1026" t="n">
        <f aca="false">PGL_Requirements!G8/1000</f>
        <v>8.442</v>
      </c>
    </row>
    <row r="31" customFormat="false" ht="17.25" hidden="false" customHeight="true" outlineLevel="0" collapsed="false">
      <c r="A31" s="1018" t="s">
        <v>701</v>
      </c>
      <c r="B31" s="1053"/>
      <c r="C31" s="1054"/>
      <c r="D31" s="1029"/>
      <c r="G31" s="1038" t="s">
        <v>702</v>
      </c>
      <c r="H31" s="1029"/>
      <c r="J31" s="1016" t="s">
        <v>688</v>
      </c>
      <c r="K31" s="1029" t="n">
        <f aca="false">SUM(K28+K29-K26)</f>
        <v>-9.809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703</v>
      </c>
      <c r="G34" s="1016" t="s">
        <v>704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705</v>
      </c>
      <c r="F37" s="1021" t="s">
        <v>706</v>
      </c>
      <c r="G37" s="1026"/>
    </row>
    <row r="38" customFormat="false" ht="11.25" hidden="false" customHeight="false" outlineLevel="0" collapsed="false">
      <c r="C38" s="1037" t="n">
        <v>570</v>
      </c>
      <c r="F38" s="1037" t="n">
        <v>753</v>
      </c>
    </row>
    <row r="39" customFormat="false" ht="11.25" hidden="false" customHeight="false" outlineLevel="0" collapsed="false">
      <c r="A39" s="1023" t="s">
        <v>707</v>
      </c>
      <c r="E39" s="1022" t="s">
        <v>708</v>
      </c>
      <c r="F39" s="1022"/>
    </row>
    <row r="40" customFormat="false" ht="11.25" hidden="false" customHeight="false" outlineLevel="0" collapsed="false">
      <c r="A40" s="1029" t="n">
        <f aca="false">SUM(A3:A35)</f>
        <v>295.379</v>
      </c>
      <c r="B40" s="1036"/>
      <c r="C40" s="1055"/>
      <c r="D40" s="1036"/>
      <c r="E40" s="1036"/>
      <c r="F40" s="1026"/>
      <c r="G40" s="1026" t="n">
        <f aca="false">SUM(G30:G35)</f>
        <v>158.442</v>
      </c>
      <c r="H40" s="1036"/>
      <c r="I40" s="1055"/>
    </row>
    <row r="41" customFormat="false" ht="11.25" hidden="false" customHeight="false" outlineLevel="0" collapsed="false">
      <c r="A41" s="1056" t="s">
        <v>709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136.937</v>
      </c>
      <c r="B42" s="1026"/>
      <c r="C42" s="1036"/>
      <c r="D42" s="1036"/>
      <c r="E42" s="1036"/>
      <c r="F42" s="1057"/>
      <c r="G42" s="1058" t="s">
        <v>710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711</v>
      </c>
      <c r="G43" s="1057" t="s">
        <v>712</v>
      </c>
      <c r="I43" s="1026"/>
    </row>
    <row r="44" customFormat="false" ht="12.75" hidden="false" customHeight="true" outlineLevel="0" collapsed="false">
      <c r="A44" s="1056" t="s">
        <v>713</v>
      </c>
      <c r="B44" s="1026" t="s">
        <v>714</v>
      </c>
      <c r="C44" s="1026" t="s">
        <v>715</v>
      </c>
      <c r="D44" s="1026" t="s">
        <v>716</v>
      </c>
      <c r="E44" s="1061"/>
      <c r="F44" s="1061" t="s">
        <v>717</v>
      </c>
      <c r="G44" s="1036" t="s">
        <v>718</v>
      </c>
      <c r="H44" s="1022" t="s">
        <v>719</v>
      </c>
      <c r="I44" s="1026"/>
      <c r="K44" s="1022"/>
    </row>
    <row r="45" customFormat="false" ht="11.25" hidden="false" customHeight="false" outlineLevel="0" collapsed="false">
      <c r="A45" s="1056" t="s">
        <v>720</v>
      </c>
      <c r="B45" s="1062" t="n">
        <v>250</v>
      </c>
      <c r="C45" s="1062" t="n">
        <v>410</v>
      </c>
      <c r="D45" s="1063" t="n">
        <f aca="false">SUM(F2+F15)/2</f>
        <v>340</v>
      </c>
      <c r="E45" s="1064"/>
      <c r="F45" s="1065" t="n">
        <v>0.067</v>
      </c>
      <c r="G45" s="1066" t="n">
        <f aca="false">(C45-D45)*F45</f>
        <v>4.69</v>
      </c>
      <c r="H45" s="1066" t="n">
        <f aca="false">(D45-B45)*F45</f>
        <v>6.03</v>
      </c>
      <c r="I45" s="1026"/>
      <c r="J45" s="1067"/>
    </row>
    <row r="46" customFormat="false" ht="11.25" hidden="false" customHeight="false" outlineLevel="0" collapsed="false">
      <c r="A46" s="1022" t="s">
        <v>721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722</v>
      </c>
      <c r="B47" s="1068" t="n">
        <v>250</v>
      </c>
      <c r="C47" s="1062" t="n">
        <v>410</v>
      </c>
      <c r="D47" s="1063" t="n">
        <f aca="false">SUM(C2+C15)/2</f>
        <v>337.5</v>
      </c>
      <c r="E47" s="1064"/>
      <c r="F47" s="1065" t="n">
        <v>0.141</v>
      </c>
      <c r="G47" s="1066" t="n">
        <f aca="false">(C47-D47)*F47</f>
        <v>10.2225</v>
      </c>
      <c r="H47" s="1066" t="n">
        <f aca="false">(D47-B47)*F47</f>
        <v>12.3375</v>
      </c>
      <c r="I47" s="1026"/>
    </row>
    <row r="48" customFormat="false" ht="11.25" hidden="false" customHeight="false" outlineLevel="0" collapsed="false">
      <c r="A48" s="1022" t="s">
        <v>723</v>
      </c>
      <c r="B48" s="1068" t="n">
        <v>285</v>
      </c>
      <c r="C48" s="1062" t="n">
        <v>750</v>
      </c>
      <c r="D48" s="1063" t="n">
        <f aca="false">SUM(C18+C38)/2</f>
        <v>569</v>
      </c>
      <c r="E48" s="1064"/>
      <c r="F48" s="1065" t="n">
        <v>0.161</v>
      </c>
      <c r="G48" s="1066" t="n">
        <f aca="false">(C48-D48)*F48</f>
        <v>29.141</v>
      </c>
      <c r="H48" s="1066" t="n">
        <f aca="false">(D48-B48)*F48</f>
        <v>45.724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724</v>
      </c>
      <c r="G49" s="1066" t="n">
        <f aca="false">SUM(G45:G48)</f>
        <v>44.0535</v>
      </c>
      <c r="H49" s="1066" t="n">
        <f aca="false">SUM(H45:H48)</f>
        <v>64.0915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5" activeCellId="0" sqref="G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37114</v>
      </c>
      <c r="B5" s="18" t="n">
        <v>79</v>
      </c>
      <c r="C5" s="19" t="n">
        <v>61</v>
      </c>
      <c r="D5" s="19" t="n">
        <v>6.2</v>
      </c>
      <c r="E5" s="18" t="n">
        <v>69.8</v>
      </c>
      <c r="F5" s="18" t="n">
        <v>0</v>
      </c>
      <c r="G5" s="18" t="n">
        <v>0</v>
      </c>
      <c r="H5" s="18" t="n">
        <v>0</v>
      </c>
      <c r="I5" s="20" t="s">
        <v>29</v>
      </c>
      <c r="J5" s="20" t="s">
        <v>30</v>
      </c>
      <c r="K5" s="18" t="n">
        <v>1</v>
      </c>
      <c r="L5" s="18" t="n">
        <v>1</v>
      </c>
      <c r="N5" s="13" t="str">
        <f aca="false">I5&amp;" "&amp;I5</f>
        <v>  PARTLY  SUNNY     PARTLY  SUNNY  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37115</v>
      </c>
      <c r="B6" s="18" t="n">
        <v>84</v>
      </c>
      <c r="C6" s="19" t="n">
        <v>62</v>
      </c>
      <c r="D6" s="19" t="n">
        <v>7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33</v>
      </c>
      <c r="K6" s="18" t="n">
        <v>3</v>
      </c>
      <c r="L6" s="18" t="s">
        <v>34</v>
      </c>
      <c r="N6" s="13" t="str">
        <f aca="false">I6&amp;" "&amp;J6</f>
        <v>  PARTLY CLOUDY    TONIGHT  MOSTLY CLOUDY  WITH  A  CHANCE  OF  SHOWERS. 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37116</v>
      </c>
      <c r="B7" s="18" t="n">
        <v>78</v>
      </c>
      <c r="C7" s="19" t="n">
        <v>56</v>
      </c>
      <c r="D7" s="19" t="n">
        <v>8</v>
      </c>
      <c r="E7" s="18" t="s">
        <v>0</v>
      </c>
      <c r="F7" s="18" t="s">
        <v>0</v>
      </c>
      <c r="G7" s="18"/>
      <c r="H7" s="18" t="s">
        <v>0</v>
      </c>
      <c r="I7" s="20" t="s">
        <v>36</v>
      </c>
      <c r="J7" s="20" t="s">
        <v>0</v>
      </c>
      <c r="K7" s="18" t="n">
        <v>2</v>
      </c>
      <c r="L7" s="18" t="s">
        <v>17</v>
      </c>
      <c r="N7" s="13" t="str">
        <f aca="false">I7&amp;" "&amp;J7</f>
        <v>   MOSTLY  CLOUDY  </v>
      </c>
    </row>
    <row r="8" customFormat="false" ht="16.5" hidden="false" customHeight="true" outlineLevel="0" collapsed="false">
      <c r="A8" s="17" t="n">
        <f aca="false">A7+1</f>
        <v>37117</v>
      </c>
      <c r="B8" s="18" t="n">
        <v>80</v>
      </c>
      <c r="C8" s="19" t="n">
        <v>65</v>
      </c>
      <c r="D8" s="19" t="n">
        <v>8</v>
      </c>
      <c r="E8" s="18" t="s">
        <v>0</v>
      </c>
      <c r="F8" s="18" t="s">
        <v>0</v>
      </c>
      <c r="G8" s="18"/>
      <c r="H8" s="18" t="s">
        <v>0</v>
      </c>
      <c r="I8" s="20" t="s">
        <v>36</v>
      </c>
      <c r="J8" s="20" t="s">
        <v>0</v>
      </c>
      <c r="K8" s="18" t="n">
        <v>2</v>
      </c>
      <c r="L8" s="18"/>
      <c r="N8" s="13" t="str">
        <f aca="false">I8&amp;" "&amp;J8</f>
        <v>   MOSTLY  CLOUDY  </v>
      </c>
    </row>
    <row r="9" customFormat="false" ht="16.5" hidden="false" customHeight="true" outlineLevel="0" collapsed="false">
      <c r="A9" s="17" t="n">
        <f aca="false">A8+1</f>
        <v>37118</v>
      </c>
      <c r="B9" s="18" t="n">
        <v>85</v>
      </c>
      <c r="C9" s="19" t="n">
        <v>69</v>
      </c>
      <c r="D9" s="19" t="n">
        <v>10</v>
      </c>
      <c r="E9" s="18" t="s">
        <v>0</v>
      </c>
      <c r="F9" s="18" t="s">
        <v>0</v>
      </c>
      <c r="G9" s="18"/>
      <c r="H9" s="18" t="s">
        <v>0</v>
      </c>
      <c r="I9" s="20" t="s">
        <v>37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   PARTLY CLOUDY  </v>
      </c>
    </row>
    <row r="10" customFormat="false" ht="16.5" hidden="false" customHeight="true" outlineLevel="0" collapsed="false">
      <c r="A10" s="17" t="n">
        <f aca="false">A9+1</f>
        <v>37119</v>
      </c>
      <c r="B10" s="18" t="n">
        <v>80</v>
      </c>
      <c r="C10" s="19" t="n">
        <v>60</v>
      </c>
      <c r="D10" s="19" t="n">
        <v>10</v>
      </c>
      <c r="E10" s="18" t="s">
        <v>0</v>
      </c>
      <c r="F10" s="18" t="s">
        <v>0</v>
      </c>
      <c r="G10" s="18"/>
      <c r="H10" s="18" t="s">
        <v>0</v>
      </c>
      <c r="I10" s="20" t="s">
        <v>38</v>
      </c>
      <c r="J10" s="20" t="s">
        <v>0</v>
      </c>
      <c r="K10" s="18" t="n">
        <v>1</v>
      </c>
      <c r="L10" s="18" t="s">
        <v>39</v>
      </c>
      <c r="N10" s="13" t="str">
        <f aca="false">I10&amp;" "&amp;J10</f>
        <v>   MOSTLY  SUNNY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695</v>
      </c>
      <c r="B2" s="1072" t="n">
        <f aca="false">PGL_Deliveries!V5/1000</f>
        <v>163.476</v>
      </c>
      <c r="C2" s="95"/>
      <c r="D2" s="1073" t="s">
        <v>680</v>
      </c>
      <c r="E2" s="1074" t="n">
        <f aca="false">Weather_Input!A5</f>
        <v>37114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725</v>
      </c>
      <c r="B3" s="1075" t="n">
        <f aca="false">PGL_Supplies!I7/1000</f>
        <v>0</v>
      </c>
      <c r="C3" s="1076"/>
      <c r="D3" s="1077" t="s">
        <v>305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3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726</v>
      </c>
      <c r="B5" s="981" t="n">
        <f aca="false">PGL_Deliveries!D5/1000</f>
        <v>18.112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516</v>
      </c>
      <c r="B6" s="981" t="n">
        <f aca="false">PGL_Deliveries!I5/1000</f>
        <v>117.722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727</v>
      </c>
      <c r="B7" s="1088" t="n">
        <f aca="false">SUM(B5:B6)</f>
        <v>135.834</v>
      </c>
      <c r="C7" s="1085"/>
      <c r="D7" s="73" t="s">
        <v>728</v>
      </c>
      <c r="E7" s="981" t="n">
        <f aca="false">PGL_Deliveries!P5/1000</f>
        <v>0.001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729</v>
      </c>
      <c r="B8" s="1078"/>
      <c r="C8" s="1090"/>
      <c r="D8" s="73" t="s">
        <v>730</v>
      </c>
      <c r="E8" s="981" t="n">
        <f aca="false">PGL_Deliveries!Q5/1000</f>
        <v>0.666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689</v>
      </c>
      <c r="B9" s="981" t="n">
        <f aca="false">PGL_Deliveries!W5/1000</f>
        <v>97.872</v>
      </c>
      <c r="C9" s="71"/>
      <c r="D9" s="73" t="s">
        <v>465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89</v>
      </c>
      <c r="B10" s="981" t="n">
        <f aca="false">PGL_Deliveries!X5/1000</f>
        <v>0.073</v>
      </c>
      <c r="C10" s="71"/>
      <c r="D10" s="73" t="s">
        <v>731</v>
      </c>
      <c r="E10" s="981" t="n">
        <f aca="false">PGL_Deliveries!O5/1000</f>
        <v>3.632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437</v>
      </c>
      <c r="B11" s="981" t="n">
        <f aca="false">PGL_Deliveries!Y5/1000</f>
        <v>0</v>
      </c>
      <c r="C11" s="71"/>
      <c r="D11" s="73" t="s">
        <v>468</v>
      </c>
      <c r="E11" s="981" t="n">
        <f aca="false">PGL_Deliveries!R5/1000</f>
        <v>0.337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99</v>
      </c>
      <c r="B12" s="981" t="n">
        <f aca="false">(PGL_Deliveries!AL5+PGL_Deliveries!AM5)/1000</f>
        <v>11.972</v>
      </c>
      <c r="C12" s="71"/>
      <c r="D12" s="73" t="s">
        <v>469</v>
      </c>
      <c r="E12" s="981" t="n">
        <f aca="false">PGL_Deliveries!T5/1000</f>
        <v>4.242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732</v>
      </c>
      <c r="B13" s="981" t="n">
        <f aca="false">PGL_Supplies!J7/1000</f>
        <v>0</v>
      </c>
      <c r="C13" s="71"/>
      <c r="D13" s="73" t="s">
        <v>733</v>
      </c>
      <c r="E13" s="981" t="n">
        <f aca="false">PGL_Deliveries!S5/1000</f>
        <v>0.298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734</v>
      </c>
      <c r="B14" s="981" t="n">
        <f aca="false">PGL_Deliveries!Z5/1000+PGL_Deliveries!AA5/1000+PGL_Deliveries!AB5/1000</f>
        <v>186.629</v>
      </c>
      <c r="C14" s="71"/>
      <c r="D14" s="73" t="s">
        <v>472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439</v>
      </c>
      <c r="B15" s="981" t="n">
        <f aca="false">PGL_Deliveries!AF5/1000</f>
        <v>0</v>
      </c>
      <c r="C15" s="71"/>
      <c r="D15" s="73" t="s">
        <v>473</v>
      </c>
      <c r="E15" s="981" t="n">
        <f aca="false">PGL_Deliveries!F5/1000</f>
        <v>16.808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70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-145.566</v>
      </c>
      <c r="C16" s="71"/>
      <c r="D16" s="73" t="s">
        <v>475</v>
      </c>
      <c r="E16" s="981" t="n">
        <f aca="false">PGL_Deliveries!H5/1000</f>
        <v>0.023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735</v>
      </c>
      <c r="B17" s="95"/>
      <c r="C17" s="1091" t="n">
        <f aca="false">PGL_Deliveries!AQ5/1000</f>
        <v>8.761</v>
      </c>
      <c r="D17" s="73" t="s">
        <v>477</v>
      </c>
      <c r="E17" s="981" t="n">
        <f aca="false">PGL_Deliveries!K5/1000</f>
        <v>0.006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441</v>
      </c>
      <c r="B18" s="981" t="n">
        <f aca="false">PGL_Deliveries!AR5/1000</f>
        <v>0</v>
      </c>
      <c r="C18" s="71" t="s">
        <v>0</v>
      </c>
      <c r="D18" s="73" t="s">
        <v>481</v>
      </c>
      <c r="E18" s="981" t="n">
        <f aca="false">PGL_Deliveries!L5/1000</f>
        <v>0.013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736</v>
      </c>
      <c r="B19" s="95"/>
      <c r="C19" s="981" t="n">
        <f aca="false">PGL_Deliveries!AC5/1000</f>
        <v>0</v>
      </c>
      <c r="D19" s="37" t="s">
        <v>479</v>
      </c>
      <c r="E19" s="981" t="n">
        <f aca="false">PGL_Deliveries!M5/1000</f>
        <v>1.616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697</v>
      </c>
      <c r="B20" s="95"/>
      <c r="C20" s="981" t="n">
        <f aca="false">PGL_Deliveries!BG5/1000</f>
        <v>6.385</v>
      </c>
      <c r="D20" s="1092" t="s">
        <v>54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737</v>
      </c>
      <c r="B21" s="1012" t="n">
        <f aca="false">SUM(B9:B20)-C17-C19-C20</f>
        <v>135.834</v>
      </c>
      <c r="C21" s="1094"/>
      <c r="D21" s="1095" t="s">
        <v>738</v>
      </c>
      <c r="E21" s="1096" t="n">
        <f aca="false">SUM(E7:E20)</f>
        <v>27.642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648</v>
      </c>
      <c r="B22" s="981" t="n">
        <f aca="false">PGL_Supplies!X7/1000</f>
        <v>96.749</v>
      </c>
      <c r="C22" s="1090"/>
      <c r="D22" s="73" t="s">
        <v>626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291</v>
      </c>
      <c r="B23" s="981" t="n">
        <f aca="false">PGL_Supplies!W7/1000</f>
        <v>0</v>
      </c>
      <c r="C23" s="71"/>
      <c r="D23" s="73" t="s">
        <v>445</v>
      </c>
      <c r="E23" s="981" t="n">
        <f aca="false">PGL_Deliveries!AY5/1000+B44</f>
        <v>2.19285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652</v>
      </c>
      <c r="B24" s="95"/>
      <c r="C24" s="1091" t="n">
        <f aca="false">PGL_Requirements!I7/1000</f>
        <v>0</v>
      </c>
      <c r="D24" s="1097" t="s">
        <v>739</v>
      </c>
      <c r="E24" s="1088" t="n">
        <f aca="false">SUM(E21:E23)</f>
        <v>29.83485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724</v>
      </c>
      <c r="B25" s="1100" t="n">
        <f aca="false">+B22+B23-C24</f>
        <v>96.749</v>
      </c>
      <c r="C25" s="76"/>
      <c r="D25" s="1101" t="s">
        <v>740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485</v>
      </c>
      <c r="B26" s="981" t="n">
        <f aca="false">PGL_Supplies!Y7/1000</f>
        <v>35.418</v>
      </c>
      <c r="C26" s="71"/>
      <c r="D26" s="1101" t="s">
        <v>741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742</v>
      </c>
      <c r="B27" s="1102"/>
      <c r="C27" s="1091" t="n">
        <f aca="false">PGL_Requirements!T7/1000</f>
        <v>35.345</v>
      </c>
      <c r="D27" s="1101" t="s">
        <v>743</v>
      </c>
      <c r="E27" s="95" t="s">
        <v>0</v>
      </c>
      <c r="F27" s="982" t="n">
        <f aca="false">PGL_Deliveries!AS5/1000</f>
        <v>25.859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744</v>
      </c>
      <c r="B28" s="981" t="n">
        <f aca="false">PGL_Supplies!P7/1000</f>
        <v>0</v>
      </c>
      <c r="C28" s="71"/>
      <c r="D28" s="1103" t="s">
        <v>745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482</v>
      </c>
      <c r="B29" s="82" t="s">
        <v>0</v>
      </c>
      <c r="C29" s="1104" t="s">
        <v>0</v>
      </c>
      <c r="D29" s="1101" t="s">
        <v>746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747</v>
      </c>
      <c r="B30" s="981" t="n">
        <f aca="false">PGL_Supplies!Z7/1000</f>
        <v>0</v>
      </c>
      <c r="C30" s="71"/>
      <c r="D30" s="95" t="s">
        <v>360</v>
      </c>
      <c r="E30" s="981" t="n">
        <f aca="false">PGL_Supplies!AB7/1000</f>
        <v>55.694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748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749</v>
      </c>
      <c r="B32" s="1105" t="n">
        <f aca="false">PGL_Supplies!AC7/1000</f>
        <v>2.499</v>
      </c>
      <c r="C32" s="71"/>
      <c r="D32" s="1106" t="s">
        <v>389</v>
      </c>
      <c r="E32" s="1088" t="n">
        <f aca="false">SUM(E25:E31)-SUM(F26:F31)-E29</f>
        <v>29.835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750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751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752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753</v>
      </c>
      <c r="B36" s="1107" t="n">
        <f aca="false">(PGL_Deliveries!AD5+PGL_Deliveries!AE5+PGL_Deliveries!AF5)/1000</f>
        <v>0</v>
      </c>
      <c r="C36" s="71"/>
      <c r="D36" s="1108" t="s">
        <v>754</v>
      </c>
      <c r="E36" s="1078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755</v>
      </c>
      <c r="B37" s="95"/>
      <c r="C37" s="71" t="n">
        <f aca="false">PGL_Deliveries!AE5/1000</f>
        <v>0</v>
      </c>
      <c r="D37" s="1101" t="s">
        <v>756</v>
      </c>
      <c r="E37" s="1109" t="n">
        <f aca="false">PGL_Supplies!AA7/1000</f>
        <v>166.072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757</v>
      </c>
      <c r="B38" s="82"/>
      <c r="C38" s="1104" t="n">
        <f aca="false">PGL_Deliveries!AD5/1000</f>
        <v>0</v>
      </c>
      <c r="D38" s="95" t="s">
        <v>454</v>
      </c>
      <c r="E38" s="1109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758</v>
      </c>
      <c r="B39" s="981" t="s">
        <v>0</v>
      </c>
      <c r="C39" s="1091" t="n">
        <f aca="false">PGL_Requirements!O7/1000</f>
        <v>146.19</v>
      </c>
      <c r="D39" s="95" t="s">
        <v>643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759</v>
      </c>
      <c r="B40" s="981" t="n">
        <f aca="false">PGL_Supplies!L7/1000</f>
        <v>0</v>
      </c>
      <c r="C40" s="71"/>
      <c r="D40" s="95" t="s">
        <v>760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761</v>
      </c>
      <c r="B41" s="95"/>
      <c r="C41" s="1091" t="n">
        <f aca="false">PGL_Deliveries!AU5/1000</f>
        <v>0</v>
      </c>
      <c r="D41" s="95" t="s">
        <v>367</v>
      </c>
      <c r="E41" s="1109" t="n">
        <f aca="false">PGL_Supplies!R7/1000</f>
        <v>40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466</v>
      </c>
      <c r="B42" s="981" t="n">
        <f aca="false">PGL_Deliveries!AV5/1000</f>
        <v>1.254</v>
      </c>
      <c r="C42" s="71"/>
      <c r="D42" s="30" t="s">
        <v>762</v>
      </c>
      <c r="E42" s="95"/>
      <c r="F42" s="982" t="n">
        <f aca="false">PGL_Deliveries!BG5/1000</f>
        <v>6.385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337</v>
      </c>
      <c r="B43" s="981" t="n">
        <f aca="false">PGL_Deliveries!AI5/1000</f>
        <v>0</v>
      </c>
      <c r="C43" s="71"/>
      <c r="D43" s="1110" t="s">
        <v>763</v>
      </c>
      <c r="E43" s="82"/>
      <c r="F43" s="1111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764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765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766</v>
      </c>
      <c r="E45" s="95" t="n">
        <f aca="false">Weather_Input!B5</f>
        <v>79</v>
      </c>
      <c r="F45" s="357"/>
    </row>
    <row r="46" customFormat="false" ht="15" hidden="false" customHeight="false" outlineLevel="0" collapsed="false">
      <c r="A46" s="975" t="s">
        <v>767</v>
      </c>
      <c r="B46" s="981" t="n">
        <f aca="false">PGL_Deliveries!AY5/1000</f>
        <v>2.19285</v>
      </c>
      <c r="C46" s="71"/>
      <c r="D46" s="975" t="s">
        <v>768</v>
      </c>
      <c r="E46" s="1112" t="n">
        <f aca="false">Weather_Input!C5</f>
        <v>61</v>
      </c>
      <c r="F46" s="403"/>
    </row>
    <row r="47" customFormat="false" ht="15" hidden="false" customHeight="false" outlineLevel="0" collapsed="false">
      <c r="A47" s="1099" t="s">
        <v>769</v>
      </c>
      <c r="B47" s="82"/>
      <c r="C47" s="1111" t="n">
        <f aca="false">PGL_Requirements!Q7/1000</f>
        <v>0.63</v>
      </c>
      <c r="D47" s="999" t="s">
        <v>770</v>
      </c>
      <c r="E47" s="95" t="n">
        <f aca="false">Weather_Input!E5</f>
        <v>69.8</v>
      </c>
      <c r="F47" s="403"/>
    </row>
    <row r="48" customFormat="false" ht="15" hidden="false" customHeight="false" outlineLevel="0" collapsed="false">
      <c r="A48" s="999" t="s">
        <v>506</v>
      </c>
      <c r="B48" s="981" t="n">
        <f aca="false">PGL_Deliveries!AK5/1000</f>
        <v>0</v>
      </c>
      <c r="C48" s="403"/>
      <c r="D48" s="975" t="s">
        <v>771</v>
      </c>
      <c r="E48" s="1113" t="n">
        <f aca="false">Weather_Input!D5</f>
        <v>6.2</v>
      </c>
      <c r="F48" s="403"/>
    </row>
    <row r="49" customFormat="false" ht="15" hidden="false" customHeight="false" outlineLevel="0" collapsed="false">
      <c r="A49" s="975" t="s">
        <v>772</v>
      </c>
      <c r="B49" s="981" t="n">
        <f aca="false">PGL_Deliveries!AL5/1000</f>
        <v>11.972</v>
      </c>
      <c r="C49" s="403"/>
      <c r="D49" s="975" t="s">
        <v>773</v>
      </c>
      <c r="E49" s="981" t="n">
        <f aca="false">PGL_Deliveries!AO5/1000</f>
        <v>1.029</v>
      </c>
      <c r="F49" s="403"/>
    </row>
    <row r="50" customFormat="false" ht="15.75" hidden="false" customHeight="false" outlineLevel="2" collapsed="false">
      <c r="A50" s="986" t="s">
        <v>774</v>
      </c>
      <c r="B50" s="987" t="n">
        <f aca="false">PGL_Deliveries!AM5/1000</f>
        <v>0</v>
      </c>
      <c r="C50" s="1009"/>
      <c r="D50" s="958" t="s">
        <v>775</v>
      </c>
      <c r="E50" s="1080"/>
      <c r="F50" s="1009"/>
    </row>
    <row r="51" customFormat="false" ht="15" hidden="false" customHeight="false" outlineLevel="2" collapsed="false">
      <c r="A51" s="1114" t="s">
        <v>776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3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5" t="s">
        <v>777</v>
      </c>
      <c r="B3" s="1116" t="n">
        <f aca="false">NSG_Deliveries!H5/1000</f>
        <v>31.909</v>
      </c>
      <c r="C3" s="483"/>
      <c r="D3" s="1117" t="s">
        <v>680</v>
      </c>
      <c r="E3" s="1118" t="n">
        <f aca="false">Weather_Input!A5</f>
        <v>37114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19"/>
      <c r="C4" s="1120"/>
      <c r="D4" s="41"/>
      <c r="E4" s="41"/>
      <c r="F4" s="1121"/>
      <c r="G4" s="0"/>
      <c r="J4" s="0"/>
      <c r="K4" s="0"/>
    </row>
    <row r="5" customFormat="false" ht="15" hidden="false" customHeight="false" outlineLevel="0" collapsed="false">
      <c r="A5" s="1122" t="s">
        <v>434</v>
      </c>
      <c r="B5" s="1123" t="n">
        <f aca="false">NSG_Deliveries!E5/1000</f>
        <v>8.004</v>
      </c>
      <c r="C5" s="1124"/>
      <c r="D5" s="1125" t="s">
        <v>690</v>
      </c>
      <c r="E5" s="1126" t="n">
        <f aca="false">NSG_Deliveries!D5/1000</f>
        <v>0</v>
      </c>
      <c r="F5" s="1127"/>
      <c r="G5" s="0"/>
      <c r="J5" s="0"/>
      <c r="K5" s="0"/>
    </row>
    <row r="6" customFormat="false" ht="15" hidden="false" customHeight="true" outlineLevel="0" collapsed="false">
      <c r="A6" s="254"/>
      <c r="B6" s="1119"/>
      <c r="C6" s="1120"/>
      <c r="D6" s="41"/>
      <c r="E6" s="41"/>
      <c r="F6" s="1128"/>
      <c r="G6" s="0"/>
    </row>
    <row r="7" customFormat="false" ht="15" hidden="false" customHeight="true" outlineLevel="0" collapsed="false">
      <c r="A7" s="1122" t="s">
        <v>778</v>
      </c>
      <c r="B7" s="1126" t="n">
        <f aca="false">NSG_Deliveries!G5/1000</f>
        <v>23.905</v>
      </c>
      <c r="C7" s="1129"/>
      <c r="D7" s="1125" t="s">
        <v>779</v>
      </c>
      <c r="E7" s="1126" t="n">
        <f aca="false">NSG_Supplies!T7/1000</f>
        <v>0</v>
      </c>
      <c r="F7" s="1130"/>
      <c r="G7" s="0"/>
    </row>
    <row r="8" customFormat="false" ht="15" hidden="false" customHeight="true" outlineLevel="0" collapsed="false">
      <c r="A8" s="1131" t="s">
        <v>389</v>
      </c>
      <c r="B8" s="1126" t="n">
        <f aca="false">B5+B7</f>
        <v>31.909</v>
      </c>
      <c r="C8" s="403"/>
      <c r="D8" s="1132" t="s">
        <v>780</v>
      </c>
      <c r="E8" s="1133" t="n">
        <f aca="false">NSG_Deliveries!F5/1000</f>
        <v>0</v>
      </c>
      <c r="F8" s="265"/>
      <c r="G8" s="0"/>
    </row>
    <row r="9" customFormat="false" ht="15" hidden="false" customHeight="true" outlineLevel="0" collapsed="false">
      <c r="A9" s="1134" t="s">
        <v>631</v>
      </c>
      <c r="B9" s="1135" t="s">
        <v>0</v>
      </c>
      <c r="C9" s="1136" t="n">
        <f aca="false">NSG_Requirements!L7/1000</f>
        <v>0</v>
      </c>
      <c r="D9" s="29" t="s">
        <v>307</v>
      </c>
      <c r="E9" s="1137" t="s">
        <v>0</v>
      </c>
      <c r="F9" s="1138" t="n">
        <f aca="false">NSG_Deliveries!M5/1000</f>
        <v>7</v>
      </c>
      <c r="G9" s="40"/>
    </row>
    <row r="10" customFormat="false" ht="15" hidden="false" customHeight="true" outlineLevel="0" collapsed="false">
      <c r="A10" s="1139" t="s">
        <v>781</v>
      </c>
      <c r="B10" s="1140" t="n">
        <f aca="false">NSG_Supplies!G7/1000</f>
        <v>0</v>
      </c>
      <c r="C10" s="1141"/>
      <c r="D10" s="1142" t="s">
        <v>782</v>
      </c>
      <c r="E10" s="1143" t="n">
        <f aca="false">NSG_Deliveries!N5/1000</f>
        <v>0</v>
      </c>
      <c r="F10" s="1144"/>
      <c r="G10" s="0"/>
    </row>
    <row r="11" customFormat="false" ht="15" hidden="false" customHeight="true" outlineLevel="0" collapsed="false">
      <c r="A11" s="1145" t="s">
        <v>783</v>
      </c>
      <c r="B11" s="1146" t="s">
        <v>0</v>
      </c>
      <c r="C11" s="1147"/>
      <c r="D11" s="986" t="s">
        <v>784</v>
      </c>
      <c r="E11" s="1148" t="n">
        <f aca="false">NSG_Supplies!P7/1000</f>
        <v>7</v>
      </c>
      <c r="F11" s="1149"/>
      <c r="G11" s="0"/>
    </row>
    <row r="12" customFormat="false" ht="15" hidden="false" customHeight="true" outlineLevel="0" collapsed="false">
      <c r="A12" s="1139" t="s">
        <v>785</v>
      </c>
      <c r="B12" s="1140" t="n">
        <v>0</v>
      </c>
      <c r="C12" s="1120"/>
      <c r="D12" s="0" t="s">
        <v>786</v>
      </c>
      <c r="E12" s="1119"/>
      <c r="F12" s="1150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9" t="s">
        <v>787</v>
      </c>
      <c r="B13" s="1140" t="n">
        <f aca="false">NSG_Supplies!Q7/1000</f>
        <v>24.824</v>
      </c>
      <c r="C13" s="1120"/>
      <c r="D13" s="1151" t="s">
        <v>788</v>
      </c>
      <c r="E13" s="1152"/>
      <c r="F13" s="1153"/>
      <c r="G13" s="0"/>
    </row>
    <row r="14" customFormat="false" ht="15" hidden="false" customHeight="true" outlineLevel="0" collapsed="false">
      <c r="A14" s="1139" t="s">
        <v>450</v>
      </c>
      <c r="B14" s="1140" t="n">
        <f aca="false">NSG_Supplies!C7/1000</f>
        <v>0</v>
      </c>
      <c r="C14" s="1120"/>
      <c r="D14" s="1154" t="s">
        <v>789</v>
      </c>
      <c r="E14" s="1155" t="s">
        <v>0</v>
      </c>
      <c r="F14" s="1156" t="n">
        <f aca="false">NSG_Requirements!M7/1000</f>
        <v>0</v>
      </c>
    </row>
    <row r="15" customFormat="false" ht="15" hidden="false" customHeight="true" outlineLevel="0" collapsed="false">
      <c r="A15" s="1157" t="s">
        <v>790</v>
      </c>
      <c r="B15" s="1154"/>
      <c r="C15" s="1136" t="n">
        <f aca="false">NSG_Deliveries!K5/1000</f>
        <v>0</v>
      </c>
      <c r="D15" s="1158" t="s">
        <v>791</v>
      </c>
      <c r="E15" s="1159" t="n">
        <f aca="false">+NSG_Supplies!N7/1000</f>
        <v>0</v>
      </c>
      <c r="F15" s="1160"/>
    </row>
    <row r="16" customFormat="false" ht="15" hidden="false" customHeight="true" outlineLevel="0" collapsed="false">
      <c r="A16" s="1157" t="s">
        <v>792</v>
      </c>
      <c r="B16" s="1143" t="n">
        <f aca="false">NSG_Deliveries!L5/1000</f>
        <v>7.085</v>
      </c>
      <c r="C16" s="1161"/>
      <c r="D16" s="1162" t="s">
        <v>504</v>
      </c>
      <c r="E16" s="1163" t="s">
        <v>0</v>
      </c>
      <c r="F16" s="1156" t="n">
        <f aca="false">NSG_Requirements!X7/1000</f>
        <v>0</v>
      </c>
    </row>
    <row r="17" customFormat="false" ht="15" hidden="false" customHeight="true" outlineLevel="0" collapsed="false">
      <c r="A17" s="1139" t="s">
        <v>793</v>
      </c>
      <c r="B17" s="1154"/>
      <c r="C17" s="1136" t="n">
        <f aca="false">NSG_Requirements!P7/1000</f>
        <v>0</v>
      </c>
      <c r="D17" s="1164" t="s">
        <v>794</v>
      </c>
      <c r="E17" s="439"/>
      <c r="F17" s="1165"/>
    </row>
    <row r="18" customFormat="false" ht="15" hidden="false" customHeight="true" outlineLevel="0" collapsed="false">
      <c r="A18" s="1139" t="s">
        <v>795</v>
      </c>
      <c r="B18" s="1140" t="n">
        <f aca="false">NSG_Supplies!H7/1000</f>
        <v>0</v>
      </c>
      <c r="C18" s="1120"/>
      <c r="D18" s="71" t="s">
        <v>796</v>
      </c>
      <c r="E18" s="41"/>
      <c r="F18" s="1156" t="n">
        <f aca="false">NSG_Requirements!N7/1000</f>
        <v>0</v>
      </c>
    </row>
    <row r="19" customFormat="false" ht="15" hidden="false" customHeight="true" outlineLevel="0" collapsed="false">
      <c r="A19" s="1157" t="s">
        <v>0</v>
      </c>
      <c r="B19" s="1143" t="s">
        <v>0</v>
      </c>
      <c r="C19" s="1166" t="s">
        <v>0</v>
      </c>
      <c r="D19" s="1167" t="s">
        <v>797</v>
      </c>
      <c r="E19" s="41"/>
      <c r="F19" s="1156" t="n">
        <f aca="false">NSG_Requirements!S7/1000</f>
        <v>0</v>
      </c>
    </row>
    <row r="20" customFormat="false" ht="15" hidden="false" customHeight="true" outlineLevel="0" collapsed="false">
      <c r="A20" s="1157" t="s">
        <v>0</v>
      </c>
      <c r="B20" s="1143" t="s">
        <v>0</v>
      </c>
      <c r="C20" s="1166" t="s">
        <v>0</v>
      </c>
      <c r="D20" s="1154" t="s">
        <v>798</v>
      </c>
      <c r="E20" s="41"/>
      <c r="F20" s="1156" t="n">
        <f aca="false">NSG_Requirements!O7/1000</f>
        <v>0</v>
      </c>
    </row>
    <row r="21" customFormat="false" ht="15" hidden="false" customHeight="true" outlineLevel="0" collapsed="false">
      <c r="A21" s="1157" t="s">
        <v>0</v>
      </c>
      <c r="B21" s="1143" t="s">
        <v>0</v>
      </c>
      <c r="C21" s="1166" t="s">
        <v>0</v>
      </c>
      <c r="D21" s="1168" t="s">
        <v>799</v>
      </c>
      <c r="E21" s="1140" t="n">
        <f aca="false">NSG_Supplies!K7/1000</f>
        <v>0</v>
      </c>
      <c r="F21" s="1169"/>
    </row>
    <row r="22" customFormat="false" ht="15" hidden="false" customHeight="true" outlineLevel="0" collapsed="false">
      <c r="A22" s="1139" t="s">
        <v>0</v>
      </c>
      <c r="B22" s="1154" t="s">
        <v>0</v>
      </c>
      <c r="C22" s="1136" t="s">
        <v>0</v>
      </c>
      <c r="D22" s="1168" t="s">
        <v>800</v>
      </c>
      <c r="E22" s="1140" t="n">
        <f aca="false">NSG_Supplies!L7/1000</f>
        <v>0</v>
      </c>
      <c r="F22" s="1169"/>
    </row>
    <row r="23" customFormat="false" ht="15" hidden="false" customHeight="true" outlineLevel="0" collapsed="false">
      <c r="A23" s="1139" t="s">
        <v>0</v>
      </c>
      <c r="B23" s="1154" t="s">
        <v>0</v>
      </c>
      <c r="C23" s="1136" t="s">
        <v>0</v>
      </c>
      <c r="D23" s="1168" t="s">
        <v>801</v>
      </c>
      <c r="E23" s="1140" t="n">
        <f aca="false">PGL_Supplies!Q7/1000</f>
        <v>0</v>
      </c>
      <c r="F23" s="1156" t="s">
        <v>0</v>
      </c>
    </row>
    <row r="24" customFormat="false" ht="15" hidden="false" customHeight="true" outlineLevel="0" collapsed="false">
      <c r="A24" s="1139" t="s">
        <v>0</v>
      </c>
      <c r="B24" s="1140" t="s">
        <v>0</v>
      </c>
      <c r="C24" s="1120" t="s">
        <v>0</v>
      </c>
      <c r="D24" s="1168" t="s">
        <v>802</v>
      </c>
      <c r="E24" s="1140" t="n">
        <f aca="false">NSG_Supplies!O7/1000</f>
        <v>0</v>
      </c>
      <c r="F24" s="1128"/>
    </row>
    <row r="25" customFormat="false" ht="15" hidden="false" customHeight="true" outlineLevel="0" collapsed="false">
      <c r="A25" s="1157" t="s">
        <v>0</v>
      </c>
      <c r="B25" s="1154" t="s">
        <v>0</v>
      </c>
      <c r="C25" s="1136" t="s">
        <v>0</v>
      </c>
      <c r="D25" s="1168" t="s">
        <v>803</v>
      </c>
      <c r="E25" s="1140" t="n">
        <f aca="false">PGL_Requirements!V71/1000</f>
        <v>0</v>
      </c>
      <c r="F25" s="288"/>
    </row>
    <row r="26" customFormat="false" ht="15" hidden="false" customHeight="true" outlineLevel="0" collapsed="false">
      <c r="A26" s="1170" t="s">
        <v>0</v>
      </c>
      <c r="B26" s="1171" t="s">
        <v>0</v>
      </c>
      <c r="C26" s="1124"/>
      <c r="D26" s="1172" t="s">
        <v>804</v>
      </c>
      <c r="E26" s="1173"/>
      <c r="F26" s="1156" t="n">
        <f aca="false">NSG_Requirements!D7/1000</f>
        <v>0</v>
      </c>
    </row>
    <row r="27" customFormat="false" ht="15" hidden="false" customHeight="true" outlineLevel="0" collapsed="false">
      <c r="A27" s="1174" t="s">
        <v>389</v>
      </c>
      <c r="B27" s="1175" t="n">
        <f aca="false">SUM(B9:B26)-SUM(C9:C26)</f>
        <v>31.909</v>
      </c>
      <c r="C27" s="1176"/>
      <c r="D27" s="1177" t="s">
        <v>805</v>
      </c>
      <c r="E27" s="1175" t="n">
        <f aca="false">SUM(E18:E26)-SUM(F18:F26)</f>
        <v>0</v>
      </c>
      <c r="F27" s="1178"/>
      <c r="H27" s="29" t="s">
        <v>0</v>
      </c>
    </row>
    <row r="28" customFormat="false" ht="15" hidden="false" customHeight="true" outlineLevel="0" collapsed="false">
      <c r="A28" s="9" t="s">
        <v>806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807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79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79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0" t="s">
        <v>2</v>
      </c>
      <c r="C4" s="0" t="s">
        <v>808</v>
      </c>
      <c r="E4" s="0" t="s">
        <v>809</v>
      </c>
      <c r="G4" s="0" t="s">
        <v>810</v>
      </c>
    </row>
    <row r="5" customFormat="false" ht="15.75" hidden="false" customHeight="false" outlineLevel="0" collapsed="false">
      <c r="C5" s="11" t="n">
        <f aca="false">SUM(PGL_Nine_to_Nine!B34)</f>
        <v>186.072</v>
      </c>
      <c r="E5" s="1181" t="n">
        <f aca="false">SUM(PGL_Nine_to_Nine!F24)*2</f>
        <v>6.385</v>
      </c>
      <c r="G5" s="1181" t="n">
        <f aca="false">SUM(C5-E5)</f>
        <v>179.687</v>
      </c>
    </row>
    <row r="6" customFormat="false" ht="15.75" hidden="false" customHeight="false" outlineLevel="0" collapsed="false">
      <c r="B6" s="1073" t="s">
        <v>0</v>
      </c>
      <c r="E6" s="0" t="s">
        <v>811</v>
      </c>
      <c r="G6" s="0" t="s">
        <v>812</v>
      </c>
    </row>
    <row r="7" customFormat="false" ht="15.75" hidden="false" customHeight="false" outlineLevel="0" collapsed="false">
      <c r="B7" s="1073"/>
      <c r="E7" s="1181" t="n">
        <v>50</v>
      </c>
    </row>
    <row r="8" customFormat="false" ht="15.75" hidden="false" customHeight="false" outlineLevel="0" collapsed="false">
      <c r="B8" s="1073" t="s">
        <v>0</v>
      </c>
      <c r="C8" s="0" t="s">
        <v>813</v>
      </c>
      <c r="G8" s="0" t="s">
        <v>814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Y1" colorId="64" zoomScale="75" zoomScaleNormal="75" zoomScalePageLayoutView="100" workbookViewId="0">
      <selection pane="topLeft" activeCell="BL5" activeCellId="0" sqref="BL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40</v>
      </c>
      <c r="BG1" s="0" t="s">
        <v>41</v>
      </c>
    </row>
    <row r="2" customFormat="false" ht="15" hidden="false" customHeight="false" outlineLevel="0" collapsed="false">
      <c r="A2" s="29"/>
      <c r="B2" s="29"/>
      <c r="C2" s="29"/>
      <c r="D2" s="32" t="s">
        <v>42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43</v>
      </c>
      <c r="AE2" s="33" t="s">
        <v>0</v>
      </c>
      <c r="AF2" s="33" t="s">
        <v>0</v>
      </c>
      <c r="AG2" s="33" t="s">
        <v>44</v>
      </c>
      <c r="AH2" s="33"/>
      <c r="AI2" s="33" t="s">
        <v>44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44</v>
      </c>
      <c r="BC2" s="0" t="s">
        <v>45</v>
      </c>
      <c r="BE2" s="0" t="s">
        <v>46</v>
      </c>
      <c r="BG2" s="35" t="n">
        <v>1</v>
      </c>
      <c r="BH2" s="11" t="s">
        <v>46</v>
      </c>
      <c r="BJ2" s="0" t="s">
        <v>47</v>
      </c>
    </row>
    <row r="3" customFormat="false" ht="15" hidden="false" customHeight="false" outlineLevel="0" collapsed="false">
      <c r="A3" s="29"/>
      <c r="B3" s="36" t="s">
        <v>48</v>
      </c>
      <c r="C3" s="29" t="s">
        <v>0</v>
      </c>
      <c r="D3" s="37" t="s">
        <v>49</v>
      </c>
      <c r="E3" s="36" t="s">
        <v>50</v>
      </c>
      <c r="F3" s="36" t="s">
        <v>50</v>
      </c>
      <c r="G3" s="36" t="s">
        <v>50</v>
      </c>
      <c r="H3" s="36" t="s">
        <v>51</v>
      </c>
      <c r="I3" s="36" t="s">
        <v>51</v>
      </c>
      <c r="J3" s="36" t="s">
        <v>51</v>
      </c>
      <c r="K3" s="36" t="s">
        <v>52</v>
      </c>
      <c r="L3" s="36" t="s">
        <v>53</v>
      </c>
      <c r="M3" s="36" t="s">
        <v>53</v>
      </c>
      <c r="N3" s="36" t="s">
        <v>54</v>
      </c>
      <c r="O3" s="36" t="s">
        <v>55</v>
      </c>
      <c r="P3" s="36" t="s">
        <v>56</v>
      </c>
      <c r="Q3" s="36" t="s">
        <v>57</v>
      </c>
      <c r="S3" s="36"/>
      <c r="T3" s="36"/>
      <c r="U3" s="36" t="s">
        <v>52</v>
      </c>
      <c r="V3" s="36" t="s">
        <v>10</v>
      </c>
      <c r="W3" s="36"/>
      <c r="X3" s="28"/>
      <c r="Y3" s="29"/>
      <c r="Z3" s="29" t="s">
        <v>58</v>
      </c>
      <c r="AA3" s="29"/>
      <c r="AB3" s="29"/>
      <c r="AC3" s="29"/>
      <c r="AD3" s="36" t="s">
        <v>59</v>
      </c>
      <c r="AE3" s="36" t="s">
        <v>43</v>
      </c>
      <c r="AF3" s="36" t="s">
        <v>43</v>
      </c>
      <c r="AG3" s="36" t="s">
        <v>60</v>
      </c>
      <c r="AH3" s="36" t="s">
        <v>60</v>
      </c>
      <c r="AI3" s="36" t="s">
        <v>61</v>
      </c>
      <c r="AJ3" s="36" t="s">
        <v>61</v>
      </c>
      <c r="AK3" s="36" t="s">
        <v>62</v>
      </c>
      <c r="AL3" s="36" t="s">
        <v>63</v>
      </c>
      <c r="AM3" s="36" t="s">
        <v>64</v>
      </c>
      <c r="AN3" s="36" t="s">
        <v>65</v>
      </c>
      <c r="AO3" s="11" t="s">
        <v>66</v>
      </c>
      <c r="AQ3" s="38" t="s">
        <v>67</v>
      </c>
      <c r="AR3" s="39"/>
      <c r="AS3" s="38" t="s">
        <v>68</v>
      </c>
      <c r="AT3" s="39"/>
      <c r="AU3" s="38" t="s">
        <v>69</v>
      </c>
      <c r="AV3" s="39"/>
      <c r="AW3" s="34" t="s">
        <v>70</v>
      </c>
      <c r="AX3" s="34" t="s">
        <v>70</v>
      </c>
      <c r="AY3" s="34"/>
      <c r="AZ3" s="34" t="s">
        <v>70</v>
      </c>
      <c r="BB3" s="40" t="s">
        <v>71</v>
      </c>
      <c r="BC3" s="40"/>
      <c r="BD3" s="41"/>
      <c r="BE3" s="40" t="s">
        <v>51</v>
      </c>
      <c r="BG3" s="35" t="s">
        <v>72</v>
      </c>
      <c r="BJ3" s="0" t="s">
        <v>73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74</v>
      </c>
      <c r="D4" s="37" t="s">
        <v>0</v>
      </c>
      <c r="E4" s="36" t="n">
        <v>2</v>
      </c>
      <c r="F4" s="36" t="n">
        <v>3</v>
      </c>
      <c r="G4" s="36" t="s">
        <v>75</v>
      </c>
      <c r="H4" s="36" t="s">
        <v>76</v>
      </c>
      <c r="I4" s="36" t="s">
        <v>77</v>
      </c>
      <c r="J4" s="36" t="s">
        <v>78</v>
      </c>
      <c r="K4" s="36" t="s">
        <v>79</v>
      </c>
      <c r="L4" s="36" t="n">
        <v>1</v>
      </c>
      <c r="M4" s="36" t="n">
        <v>2</v>
      </c>
      <c r="N4" s="36" t="s">
        <v>80</v>
      </c>
      <c r="O4" s="36" t="s">
        <v>81</v>
      </c>
      <c r="P4" s="36" t="s">
        <v>82</v>
      </c>
      <c r="Q4" s="36" t="s">
        <v>83</v>
      </c>
      <c r="R4" s="36" t="s">
        <v>84</v>
      </c>
      <c r="S4" s="36" t="s">
        <v>85</v>
      </c>
      <c r="T4" s="36" t="s">
        <v>86</v>
      </c>
      <c r="U4" s="36" t="s">
        <v>87</v>
      </c>
      <c r="V4" s="36" t="s">
        <v>74</v>
      </c>
      <c r="W4" s="36" t="s">
        <v>88</v>
      </c>
      <c r="X4" s="36" t="s">
        <v>89</v>
      </c>
      <c r="Y4" s="36" t="s">
        <v>90</v>
      </c>
      <c r="Z4" s="36" t="s">
        <v>91</v>
      </c>
      <c r="AA4" s="36" t="s">
        <v>92</v>
      </c>
      <c r="AB4" s="36" t="s">
        <v>93</v>
      </c>
      <c r="AC4" s="36" t="s">
        <v>94</v>
      </c>
      <c r="AD4" s="36" t="s">
        <v>77</v>
      </c>
      <c r="AE4" s="36" t="s">
        <v>95</v>
      </c>
      <c r="AF4" s="36" t="s">
        <v>96</v>
      </c>
      <c r="AG4" s="36" t="s">
        <v>97</v>
      </c>
      <c r="AH4" s="36" t="s">
        <v>96</v>
      </c>
      <c r="AI4" s="36" t="s">
        <v>97</v>
      </c>
      <c r="AJ4" s="36" t="s">
        <v>96</v>
      </c>
      <c r="AK4" s="36" t="s">
        <v>98</v>
      </c>
      <c r="AL4" s="36" t="s">
        <v>99</v>
      </c>
      <c r="AM4" s="36" t="s">
        <v>99</v>
      </c>
      <c r="AN4" s="36" t="s">
        <v>100</v>
      </c>
      <c r="AO4" s="36" t="s">
        <v>101</v>
      </c>
      <c r="AP4" s="29"/>
      <c r="AQ4" s="42" t="s">
        <v>102</v>
      </c>
      <c r="AR4" s="36" t="s">
        <v>103</v>
      </c>
      <c r="AS4" s="36" t="s">
        <v>102</v>
      </c>
      <c r="AT4" s="36" t="s">
        <v>103</v>
      </c>
      <c r="AU4" s="36" t="s">
        <v>102</v>
      </c>
      <c r="AV4" s="36" t="s">
        <v>103</v>
      </c>
      <c r="AW4" s="34" t="s">
        <v>104</v>
      </c>
      <c r="AX4" s="34" t="s">
        <v>105</v>
      </c>
      <c r="AY4" s="34" t="s">
        <v>106</v>
      </c>
      <c r="AZ4" s="34" t="s">
        <v>107</v>
      </c>
      <c r="BA4" s="29"/>
      <c r="BB4" s="43" t="s">
        <v>50</v>
      </c>
      <c r="BC4" s="44" t="s">
        <v>51</v>
      </c>
      <c r="BD4" s="45" t="s">
        <v>108</v>
      </c>
      <c r="BE4" s="45" t="s">
        <v>109</v>
      </c>
      <c r="BG4" s="11" t="s">
        <v>87</v>
      </c>
      <c r="BH4" s="11" t="s">
        <v>110</v>
      </c>
      <c r="BI4" s="29"/>
      <c r="BJ4" s="29" t="s">
        <v>111</v>
      </c>
      <c r="BK4" s="29" t="s">
        <v>112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37114</v>
      </c>
      <c r="B5" s="29" t="n">
        <f aca="false">(Weather_Input!B5+Weather_Input!C5)/2</f>
        <v>70</v>
      </c>
      <c r="C5" s="46" t="n">
        <v>165000</v>
      </c>
      <c r="D5" s="47" t="n">
        <v>18112</v>
      </c>
      <c r="E5" s="47" t="n">
        <v>0</v>
      </c>
      <c r="F5" s="47" t="n">
        <v>16808</v>
      </c>
      <c r="G5" s="47" t="n">
        <v>0</v>
      </c>
      <c r="H5" s="47" t="n">
        <v>23</v>
      </c>
      <c r="I5" s="47" t="n">
        <v>117722</v>
      </c>
      <c r="J5" s="47" t="n">
        <v>0</v>
      </c>
      <c r="K5" s="47" t="n">
        <v>6</v>
      </c>
      <c r="L5" s="47" t="n">
        <v>13</v>
      </c>
      <c r="M5" s="47" t="n">
        <v>1616</v>
      </c>
      <c r="N5" s="47" t="n">
        <v>0</v>
      </c>
      <c r="O5" s="47" t="n">
        <v>3632</v>
      </c>
      <c r="P5" s="47" t="n">
        <v>1</v>
      </c>
      <c r="Q5" s="47" t="n">
        <v>666</v>
      </c>
      <c r="R5" s="47" t="n">
        <v>337</v>
      </c>
      <c r="S5" s="47" t="n">
        <v>298</v>
      </c>
      <c r="T5" s="48" t="n">
        <v>4242</v>
      </c>
      <c r="U5" s="49" t="n">
        <v>0</v>
      </c>
      <c r="V5" s="46" t="n">
        <f aca="false">SUM(D5:T5)-U5</f>
        <v>163476</v>
      </c>
      <c r="W5" s="46" t="n">
        <v>97872</v>
      </c>
      <c r="X5" s="18" t="n">
        <v>73</v>
      </c>
      <c r="Y5" s="18" t="n">
        <v>0</v>
      </c>
      <c r="Z5" s="18" t="n">
        <v>0</v>
      </c>
      <c r="AA5" s="18" t="n">
        <v>186629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11972</v>
      </c>
      <c r="AM5" s="18" t="n">
        <v>0</v>
      </c>
      <c r="AN5" s="18" t="n">
        <v>0</v>
      </c>
      <c r="AO5" s="29" t="n">
        <v>1029</v>
      </c>
      <c r="AP5" s="29"/>
      <c r="AQ5" s="29" t="n">
        <v>8761</v>
      </c>
      <c r="AR5" s="29" t="n">
        <v>0</v>
      </c>
      <c r="AS5" s="29" t="n">
        <v>25859</v>
      </c>
      <c r="AT5" s="29" t="n">
        <v>0</v>
      </c>
      <c r="AU5" s="29" t="n">
        <v>0</v>
      </c>
      <c r="AV5" s="29" t="n">
        <v>1254</v>
      </c>
      <c r="AW5" s="29" t="n">
        <v>146190</v>
      </c>
      <c r="AX5" s="29" t="n">
        <v>630</v>
      </c>
      <c r="AY5" s="50" t="n">
        <f aca="false">AW5*0.015</f>
        <v>2192.85</v>
      </c>
      <c r="AZ5" s="29" t="n">
        <v>0</v>
      </c>
      <c r="BA5" s="29"/>
      <c r="BB5" s="29" t="n">
        <v>0</v>
      </c>
      <c r="BC5" s="29" t="n">
        <v>12</v>
      </c>
      <c r="BD5" s="29" t="n">
        <v>0</v>
      </c>
      <c r="BE5" s="29" t="n">
        <v>0</v>
      </c>
      <c r="BF5" s="29"/>
      <c r="BG5" s="29" t="n">
        <v>6385</v>
      </c>
      <c r="BH5" s="29" t="n">
        <v>0</v>
      </c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37115</v>
      </c>
      <c r="B6" s="51" t="n">
        <f aca="false">(Weather_Input!B6+Weather_Input!C6)/2</f>
        <v>73</v>
      </c>
      <c r="C6" s="46" t="n">
        <v>175000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113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37116</v>
      </c>
      <c r="B7" s="51" t="n">
        <f aca="false">(Weather_Input!B7+Weather_Input!C7)/2</f>
        <v>67</v>
      </c>
      <c r="C7" s="46" t="n">
        <v>190000</v>
      </c>
      <c r="D7" s="52" t="s">
        <v>0</v>
      </c>
      <c r="E7" s="53"/>
      <c r="F7" s="53"/>
      <c r="G7" s="53"/>
      <c r="H7" s="54" t="s">
        <v>114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115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37117</v>
      </c>
      <c r="B8" s="51" t="n">
        <f aca="false">(Weather_Input!B8+Weather_Input!C8)/2</f>
        <v>72.5</v>
      </c>
      <c r="C8" s="46" t="n">
        <v>190000</v>
      </c>
      <c r="D8" s="52" t="s">
        <v>0</v>
      </c>
      <c r="E8" s="53" t="s">
        <v>0</v>
      </c>
      <c r="F8" s="53"/>
      <c r="G8" s="53"/>
      <c r="H8" s="56" t="s">
        <v>116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117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37118</v>
      </c>
      <c r="B9" s="51" t="n">
        <f aca="false">(Weather_Input!B9+Weather_Input!C9)/2</f>
        <v>77</v>
      </c>
      <c r="C9" s="46" t="n">
        <v>190000</v>
      </c>
      <c r="D9" s="52" t="s">
        <v>0</v>
      </c>
      <c r="E9" s="53"/>
      <c r="F9" s="53"/>
      <c r="G9" s="53"/>
      <c r="H9" s="53" t="s">
        <v>118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119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37119</v>
      </c>
      <c r="B10" s="51" t="n">
        <f aca="false">(Weather_Input!B10+Weather_Input!C10)/2</f>
        <v>70</v>
      </c>
      <c r="C10" s="46" t="n">
        <v>190000</v>
      </c>
      <c r="D10" s="52" t="s">
        <v>0</v>
      </c>
      <c r="E10" s="53" t="s">
        <v>0</v>
      </c>
      <c r="F10" s="53"/>
      <c r="G10" s="53"/>
      <c r="H10" s="53" t="s">
        <v>120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121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122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123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124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125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126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2" width="8.88"/>
    <col collapsed="false" customWidth="false" hidden="false" outlineLevel="0" max="257" min="2" style="1183" width="8.88"/>
  </cols>
  <sheetData>
    <row r="1" customFormat="false" ht="15.75" hidden="false" customHeight="false" outlineLevel="0" collapsed="false">
      <c r="A1" s="1184"/>
      <c r="B1" s="1185"/>
      <c r="D1" s="1186"/>
    </row>
    <row r="2" customFormat="false" ht="15.75" hidden="false" customHeight="false" outlineLevel="0" collapsed="false">
      <c r="A2" s="1187"/>
      <c r="G2" s="1185"/>
    </row>
    <row r="3" customFormat="false" ht="15" hidden="false" customHeight="false" outlineLevel="0" collapsed="false">
      <c r="DZ3" s="0"/>
      <c r="EA3" s="1188"/>
    </row>
    <row r="5" customFormat="false" ht="15.75" hidden="false" customHeight="false" outlineLevel="0" collapsed="false">
      <c r="A5" s="1189"/>
      <c r="B5" s="1185"/>
    </row>
    <row r="6" customFormat="false" ht="12.75" hidden="false" customHeight="false" outlineLevel="0" collapsed="false">
      <c r="A6" s="1190"/>
    </row>
    <row r="7" customFormat="false" ht="12.75" hidden="false" customHeight="false" outlineLevel="0" collapsed="false">
      <c r="A7" s="1190"/>
    </row>
    <row r="8" customFormat="false" ht="12.75" hidden="false" customHeight="false" outlineLevel="0" collapsed="false">
      <c r="A8" s="1190"/>
    </row>
    <row r="9" customFormat="false" ht="12.75" hidden="false" customHeight="false" outlineLevel="0" collapsed="false">
      <c r="A9" s="1190" t="s">
        <v>0</v>
      </c>
      <c r="C9" s="1191"/>
    </row>
    <row r="10" customFormat="false" ht="12.75" hidden="false" customHeight="false" outlineLevel="0" collapsed="false">
      <c r="A10" s="1190"/>
    </row>
    <row r="11" customFormat="false" ht="12.75" hidden="false" customHeight="false" outlineLevel="0" collapsed="false">
      <c r="A11" s="1190"/>
    </row>
    <row r="12" customFormat="false" ht="12.75" hidden="false" customHeight="false" outlineLevel="0" collapsed="false">
      <c r="A12" s="1190"/>
    </row>
    <row r="13" customFormat="false" ht="12.75" hidden="false" customHeight="false" outlineLevel="0" collapsed="false">
      <c r="A13" s="1190"/>
    </row>
    <row r="14" customFormat="false" ht="12.75" hidden="false" customHeight="false" outlineLevel="0" collapsed="false">
      <c r="A14" s="1190"/>
      <c r="C14" s="1183" t="s">
        <v>0</v>
      </c>
      <c r="D14" s="1183" t="s">
        <v>0</v>
      </c>
    </row>
    <row r="15" customFormat="false" ht="12.75" hidden="false" customHeight="false" outlineLevel="0" collapsed="false">
      <c r="A15" s="1190"/>
    </row>
    <row r="16" customFormat="false" ht="12.75" hidden="false" customHeight="false" outlineLevel="0" collapsed="false">
      <c r="A16" s="1190"/>
    </row>
    <row r="17" customFormat="false" ht="12.75" hidden="false" customHeight="false" outlineLevel="0" collapsed="false">
      <c r="A17" s="1190"/>
    </row>
    <row r="18" customFormat="false" ht="12.75" hidden="false" customHeight="false" outlineLevel="0" collapsed="false">
      <c r="A18" s="1190"/>
    </row>
    <row r="19" customFormat="false" ht="12.75" hidden="false" customHeight="false" outlineLevel="0" collapsed="false">
      <c r="A19" s="1190"/>
    </row>
    <row r="20" customFormat="false" ht="12.75" hidden="false" customHeight="false" outlineLevel="0" collapsed="false">
      <c r="A20" s="1190"/>
    </row>
    <row r="21" customFormat="false" ht="12.75" hidden="false" customHeight="false" outlineLevel="0" collapsed="false">
      <c r="A21" s="1190"/>
    </row>
    <row r="22" customFormat="false" ht="12.75" hidden="false" customHeight="false" outlineLevel="0" collapsed="false">
      <c r="A22" s="1190"/>
    </row>
    <row r="23" customFormat="false" ht="12.75" hidden="false" customHeight="false" outlineLevel="0" collapsed="false">
      <c r="A23" s="1190"/>
    </row>
    <row r="24" customFormat="false" ht="12.75" hidden="false" customHeight="false" outlineLevel="0" collapsed="false">
      <c r="A24" s="1190"/>
    </row>
    <row r="25" customFormat="false" ht="12.75" hidden="false" customHeight="false" outlineLevel="0" collapsed="false">
      <c r="A25" s="1190"/>
    </row>
    <row r="26" customFormat="false" ht="12.75" hidden="false" customHeight="false" outlineLevel="0" collapsed="false">
      <c r="A26" s="1190"/>
    </row>
    <row r="27" customFormat="false" ht="12.75" hidden="false" customHeight="false" outlineLevel="0" collapsed="false">
      <c r="A27" s="1190"/>
    </row>
    <row r="28" customFormat="false" ht="12.75" hidden="false" customHeight="false" outlineLevel="0" collapsed="false">
      <c r="A28" s="1190"/>
    </row>
    <row r="29" customFormat="false" ht="12.75" hidden="false" customHeight="false" outlineLevel="0" collapsed="false">
      <c r="A29" s="1190"/>
    </row>
    <row r="30" customFormat="false" ht="12.75" hidden="false" customHeight="false" outlineLevel="0" collapsed="false">
      <c r="A30" s="1190"/>
    </row>
    <row r="31" customFormat="false" ht="12.75" hidden="false" customHeight="false" outlineLevel="0" collapsed="false">
      <c r="A31" s="1190"/>
    </row>
    <row r="32" customFormat="false" ht="12.75" hidden="false" customHeight="false" outlineLevel="0" collapsed="false">
      <c r="A32" s="1190"/>
    </row>
    <row r="33" customFormat="false" ht="12.75" hidden="false" customHeight="false" outlineLevel="0" collapsed="false">
      <c r="A33" s="1190"/>
    </row>
    <row r="34" customFormat="false" ht="12.75" hidden="false" customHeight="false" outlineLevel="0" collapsed="false">
      <c r="A34" s="1190"/>
    </row>
    <row r="35" customFormat="false" ht="12.75" hidden="false" customHeight="false" outlineLevel="0" collapsed="false">
      <c r="A35" s="119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815</v>
      </c>
      <c r="B1" s="1192" t="n">
        <f aca="false">Weather_Input!A5</f>
        <v>37114</v>
      </c>
      <c r="C1" s="1193"/>
    </row>
    <row r="2" customFormat="false" ht="15" hidden="false" customHeight="false" outlineLevel="0" collapsed="false">
      <c r="A2" s="28" t="s">
        <v>816</v>
      </c>
      <c r="B2" s="1193"/>
      <c r="C2" s="1193"/>
    </row>
    <row r="3" customFormat="false" ht="15.75" hidden="false" customHeight="false" outlineLevel="0" collapsed="false">
      <c r="B3" s="1194" t="s">
        <v>89</v>
      </c>
      <c r="C3" s="1194"/>
      <c r="D3" s="1194"/>
      <c r="E3" s="1194"/>
      <c r="F3" s="1194"/>
      <c r="G3" s="1194"/>
      <c r="H3" s="1195" t="s">
        <v>90</v>
      </c>
      <c r="I3" s="1195"/>
      <c r="J3" s="1195"/>
      <c r="K3" s="1195"/>
      <c r="L3" s="1195"/>
      <c r="M3" s="1195"/>
      <c r="N3" s="936" t="s">
        <v>43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6" t="s">
        <v>817</v>
      </c>
      <c r="C4" s="1196"/>
      <c r="D4" s="11" t="s">
        <v>724</v>
      </c>
      <c r="E4" s="11" t="s">
        <v>724</v>
      </c>
      <c r="F4" s="1197" t="s">
        <v>818</v>
      </c>
      <c r="G4" s="1197"/>
      <c r="H4" s="4" t="s">
        <v>817</v>
      </c>
      <c r="I4" s="4"/>
      <c r="J4" s="11" t="s">
        <v>724</v>
      </c>
      <c r="K4" s="11" t="s">
        <v>724</v>
      </c>
      <c r="L4" s="1197" t="s">
        <v>818</v>
      </c>
      <c r="M4" s="1197"/>
      <c r="N4" s="4" t="s">
        <v>817</v>
      </c>
      <c r="O4" s="4"/>
      <c r="P4" s="11" t="s">
        <v>724</v>
      </c>
      <c r="Q4" s="11" t="s">
        <v>724</v>
      </c>
      <c r="R4" s="4" t="s">
        <v>818</v>
      </c>
      <c r="S4" s="4"/>
    </row>
    <row r="5" customFormat="false" ht="15" hidden="false" customHeight="false" outlineLevel="0" collapsed="false">
      <c r="A5" s="887"/>
      <c r="B5" s="1198" t="s">
        <v>819</v>
      </c>
      <c r="C5" s="1199" t="s">
        <v>820</v>
      </c>
      <c r="D5" s="1200" t="s">
        <v>821</v>
      </c>
      <c r="E5" s="1200" t="s">
        <v>822</v>
      </c>
      <c r="F5" s="1200" t="s">
        <v>819</v>
      </c>
      <c r="G5" s="1201" t="s">
        <v>820</v>
      </c>
      <c r="H5" s="1200" t="s">
        <v>819</v>
      </c>
      <c r="I5" s="1200" t="s">
        <v>820</v>
      </c>
      <c r="J5" s="1200" t="s">
        <v>821</v>
      </c>
      <c r="K5" s="1200" t="s">
        <v>822</v>
      </c>
      <c r="L5" s="1200" t="s">
        <v>819</v>
      </c>
      <c r="M5" s="1201" t="s">
        <v>820</v>
      </c>
      <c r="N5" s="1200" t="s">
        <v>819</v>
      </c>
      <c r="O5" s="1200" t="s">
        <v>820</v>
      </c>
      <c r="P5" s="1200" t="s">
        <v>821</v>
      </c>
      <c r="Q5" s="1200" t="s">
        <v>822</v>
      </c>
      <c r="R5" s="1200" t="s">
        <v>819</v>
      </c>
      <c r="S5" s="1200" t="s">
        <v>820</v>
      </c>
    </row>
    <row r="6" customFormat="false" ht="15" hidden="false" customHeight="false" outlineLevel="0" collapsed="false">
      <c r="A6" s="1193" t="n">
        <f aca="false">B1-1</f>
        <v>37113</v>
      </c>
      <c r="B6" s="944" t="e">
        <f aca="false"/>
        <v>#REF!</v>
      </c>
      <c r="C6" s="1202" t="e">
        <f aca="false"/>
        <v>#REF!</v>
      </c>
      <c r="D6" s="1202" t="e">
        <f aca="false"/>
        <v>#REF!</v>
      </c>
      <c r="E6" s="1202" t="e">
        <f aca="false"/>
        <v>#REF!</v>
      </c>
      <c r="F6" s="1202" t="e">
        <f aca="false"/>
        <v>#REF!</v>
      </c>
      <c r="G6" s="1202" t="e">
        <f aca="false"/>
        <v>#REF!</v>
      </c>
      <c r="H6" s="1202" t="e">
        <f aca="false"/>
        <v>#REF!</v>
      </c>
      <c r="I6" s="1202" t="e">
        <f aca="false"/>
        <v>#REF!</v>
      </c>
      <c r="J6" s="1202" t="e">
        <f aca="false"/>
        <v>#REF!</v>
      </c>
      <c r="K6" s="1202" t="e">
        <f aca="false"/>
        <v>#REF!</v>
      </c>
      <c r="L6" s="1202" t="e">
        <f aca="false"/>
        <v>#REF!</v>
      </c>
      <c r="M6" s="1202" t="e">
        <f aca="false"/>
        <v>#REF!</v>
      </c>
      <c r="N6" s="1202" t="n">
        <v>60552</v>
      </c>
      <c r="O6" s="1202" t="n">
        <v>0</v>
      </c>
      <c r="P6" s="1202" t="n">
        <v>53828502</v>
      </c>
      <c r="Q6" s="1202" t="n">
        <v>15045098</v>
      </c>
      <c r="R6" s="1202" t="n">
        <v>38783404</v>
      </c>
      <c r="S6" s="1202" t="n">
        <v>0</v>
      </c>
    </row>
    <row r="7" customFormat="false" ht="15" hidden="false" customHeight="false" outlineLevel="0" collapsed="false">
      <c r="A7" s="1193" t="n">
        <f aca="false">B1</f>
        <v>37114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3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99248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53927750</v>
      </c>
      <c r="Q7" s="0" t="n">
        <f aca="false">IF(O7&gt;0,Q6+O7,Q6)</f>
        <v>15045098</v>
      </c>
      <c r="R7" s="0" t="n">
        <f aca="false">IF(P7&gt;Q7,P7-Q7,0)</f>
        <v>38882652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3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823</v>
      </c>
      <c r="C1" s="36" t="s">
        <v>824</v>
      </c>
      <c r="D1" s="1204" t="s">
        <v>825</v>
      </c>
    </row>
    <row r="2" customFormat="false" ht="15" hidden="false" customHeight="false" outlineLevel="0" collapsed="false">
      <c r="B2" s="36" t="s">
        <v>826</v>
      </c>
      <c r="C2" s="36" t="s">
        <v>22</v>
      </c>
      <c r="D2" s="1204" t="s">
        <v>22</v>
      </c>
    </row>
    <row r="3" customFormat="false" ht="15" hidden="false" customHeight="false" outlineLevel="0" collapsed="false">
      <c r="A3" s="1193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3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3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3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3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3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3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3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3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3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3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3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3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3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3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3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3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3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3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3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3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3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3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3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3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3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3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3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3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3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3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3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3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3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3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3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3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3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3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3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3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3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3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3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3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3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3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3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3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3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3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3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3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3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3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3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3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3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3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3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3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3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3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3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3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3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3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3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3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3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3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3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3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3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3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3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3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3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3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3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3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3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3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3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3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3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3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3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3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3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3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3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3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3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3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3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3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3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3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3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3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3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3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3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3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3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3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3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3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3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3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3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3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3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3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3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3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3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3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3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3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3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3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3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3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3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3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3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3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3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3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3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3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3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3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3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3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3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3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3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3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3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3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3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3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3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3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3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3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3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3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3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3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3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3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3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3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3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3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3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3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3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3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3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3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3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3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3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3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3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3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3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3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3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3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3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3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3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3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3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3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3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3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3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3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3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3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3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3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3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3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3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3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3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3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3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3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3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3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3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3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3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3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3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3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3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3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3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3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3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3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3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3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3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3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3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3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3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3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3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3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3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3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3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3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3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3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3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3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3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3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3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3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3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3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3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3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3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3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3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3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3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3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3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3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3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3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3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3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3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3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3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3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3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3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3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3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3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3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3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3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3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3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3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3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3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3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3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3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3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3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3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3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3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3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3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3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3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3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3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3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3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3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3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3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3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3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3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3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3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3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3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3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3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3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3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3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3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3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3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3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3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3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3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3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3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3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3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3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3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3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3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3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3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3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3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3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3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3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3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3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3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3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3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3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3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3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3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3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3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3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3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3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3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3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3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3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3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3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3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3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3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3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3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3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3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3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3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3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3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3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3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3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3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3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3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3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3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3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3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3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3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3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3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3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3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3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3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3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3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3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3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E1" colorId="64" zoomScale="75" zoomScaleNormal="75" zoomScalePageLayoutView="100" workbookViewId="0">
      <selection pane="topLeft" activeCell="P5" activeCellId="0" sqref="P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89</v>
      </c>
      <c r="N1" s="29" t="s">
        <v>89</v>
      </c>
    </row>
    <row r="2" customFormat="false" ht="15" hidden="false" customHeight="false" outlineLevel="0" collapsed="false">
      <c r="K2" s="0" t="s">
        <v>127</v>
      </c>
      <c r="L2" s="0" t="s">
        <v>127</v>
      </c>
      <c r="M2" s="0" t="s">
        <v>127</v>
      </c>
      <c r="N2" s="0" t="s">
        <v>127</v>
      </c>
    </row>
    <row r="3" customFormat="false" ht="15" hidden="false" customHeight="false" outlineLevel="0" collapsed="false">
      <c r="B3" s="18" t="s">
        <v>48</v>
      </c>
      <c r="D3" s="36" t="s">
        <v>128</v>
      </c>
      <c r="F3" s="36" t="s">
        <v>129</v>
      </c>
      <c r="G3" s="36" t="s">
        <v>130</v>
      </c>
      <c r="H3" s="36" t="s">
        <v>10</v>
      </c>
      <c r="I3" s="36" t="s">
        <v>131</v>
      </c>
      <c r="K3" s="0" t="s">
        <v>132</v>
      </c>
      <c r="L3" s="0" t="s">
        <v>132</v>
      </c>
      <c r="M3" s="0" t="s">
        <v>132</v>
      </c>
      <c r="N3" s="0" t="s">
        <v>132</v>
      </c>
    </row>
    <row r="4" customFormat="false" ht="12.75" hidden="false" customHeight="false" outlineLevel="0" collapsed="false">
      <c r="B4" s="18" t="s">
        <v>133</v>
      </c>
      <c r="C4" s="29" t="s">
        <v>74</v>
      </c>
      <c r="D4" s="36" t="s">
        <v>134</v>
      </c>
      <c r="E4" s="36" t="s">
        <v>135</v>
      </c>
      <c r="F4" s="36" t="s">
        <v>134</v>
      </c>
      <c r="G4" s="36" t="s">
        <v>134</v>
      </c>
      <c r="H4" s="36" t="s">
        <v>74</v>
      </c>
      <c r="I4" s="36" t="s">
        <v>136</v>
      </c>
      <c r="K4" s="29" t="s">
        <v>137</v>
      </c>
      <c r="L4" s="29" t="s">
        <v>138</v>
      </c>
      <c r="M4" s="29" t="s">
        <v>137</v>
      </c>
      <c r="N4" s="29" t="s">
        <v>138</v>
      </c>
    </row>
    <row r="5" customFormat="false" ht="12.75" hidden="false" customHeight="false" outlineLevel="0" collapsed="false">
      <c r="A5" s="62" t="n">
        <f aca="false">Weather_Input!A5</f>
        <v>37114</v>
      </c>
      <c r="B5" s="29" t="n">
        <f aca="false">(Weather_Input!B5+Weather_Input!C5)/2</f>
        <v>70</v>
      </c>
      <c r="C5" s="46" t="n">
        <v>29400</v>
      </c>
      <c r="D5" s="46" t="n">
        <v>0</v>
      </c>
      <c r="E5" s="46" t="n">
        <v>8004</v>
      </c>
      <c r="F5" s="46" t="n">
        <v>0</v>
      </c>
      <c r="G5" s="46" t="n">
        <v>23905</v>
      </c>
      <c r="H5" s="63" t="n">
        <f aca="false">SUM(D5:G5)</f>
        <v>31909</v>
      </c>
      <c r="I5" s="29" t="n">
        <v>1001</v>
      </c>
      <c r="J5" s="29" t="s">
        <v>0</v>
      </c>
      <c r="K5" s="29" t="n">
        <v>0</v>
      </c>
      <c r="L5" s="29" t="n">
        <v>7085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37115</v>
      </c>
      <c r="B6" s="51" t="n">
        <f aca="false">(Weather_Input!B6+Weather_Input!C6)/2</f>
        <v>73</v>
      </c>
      <c r="C6" s="46" t="n">
        <v>30000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37116</v>
      </c>
      <c r="B7" s="51" t="n">
        <f aca="false">(Weather_Input!B7+Weather_Input!C7)/2</f>
        <v>67</v>
      </c>
      <c r="C7" s="46" t="n">
        <v>31000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37117</v>
      </c>
      <c r="B8" s="51" t="n">
        <f aca="false">(Weather_Input!B8+Weather_Input!C8)/2</f>
        <v>72.5</v>
      </c>
      <c r="C8" s="46" t="n">
        <v>31000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37118</v>
      </c>
      <c r="B9" s="51" t="n">
        <f aca="false">(Weather_Input!B9+Weather_Input!C9)/2</f>
        <v>77</v>
      </c>
      <c r="C9" s="46" t="n">
        <v>31000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37119</v>
      </c>
      <c r="B10" s="51" t="n">
        <f aca="false">(Weather_Input!B10+Weather_Input!C10)/2</f>
        <v>70</v>
      </c>
      <c r="C10" s="46" t="n">
        <v>31000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7" activeCellId="0" sqref="F7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97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139</v>
      </c>
      <c r="I4" s="36" t="s">
        <v>140</v>
      </c>
      <c r="J4" s="36" t="s">
        <v>110</v>
      </c>
      <c r="K4" s="29"/>
      <c r="L4" s="36" t="s">
        <v>141</v>
      </c>
      <c r="M4" s="36" t="s">
        <v>142</v>
      </c>
      <c r="N4" s="73"/>
      <c r="O4" s="74"/>
      <c r="P4" s="74"/>
      <c r="Q4" s="29"/>
      <c r="R4" s="29"/>
      <c r="S4" s="29"/>
      <c r="T4" s="75" t="s">
        <v>143</v>
      </c>
      <c r="U4" s="76"/>
      <c r="V4" s="77" t="s">
        <v>144</v>
      </c>
      <c r="W4" s="77"/>
      <c r="X4" s="77"/>
      <c r="Y4" s="77"/>
      <c r="Z4" s="77"/>
      <c r="AA4" s="77"/>
      <c r="AB4" s="37" t="s">
        <v>145</v>
      </c>
      <c r="AC4" s="37"/>
      <c r="AD4" s="37"/>
      <c r="AE4" s="30"/>
      <c r="AF4" s="36" t="s">
        <v>146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147</v>
      </c>
      <c r="C5" s="29"/>
      <c r="D5" s="29"/>
      <c r="E5" s="79"/>
      <c r="F5" s="78" t="s">
        <v>0</v>
      </c>
      <c r="G5" s="80" t="s">
        <v>148</v>
      </c>
      <c r="H5" s="33" t="s">
        <v>149</v>
      </c>
      <c r="I5" s="81" t="s">
        <v>88</v>
      </c>
      <c r="J5" s="36" t="s">
        <v>150</v>
      </c>
      <c r="K5" s="29"/>
      <c r="L5" s="36" t="s">
        <v>151</v>
      </c>
      <c r="M5" s="37" t="s">
        <v>152</v>
      </c>
      <c r="N5" s="73" t="s">
        <v>44</v>
      </c>
      <c r="O5" s="36" t="s">
        <v>66</v>
      </c>
      <c r="P5" s="36" t="s">
        <v>77</v>
      </c>
      <c r="Q5" s="36" t="s">
        <v>77</v>
      </c>
      <c r="R5" s="36" t="s">
        <v>44</v>
      </c>
      <c r="S5" s="36" t="s">
        <v>70</v>
      </c>
      <c r="T5" s="36" t="s">
        <v>153</v>
      </c>
      <c r="U5" s="36" t="s">
        <v>153</v>
      </c>
      <c r="V5" s="37" t="s">
        <v>154</v>
      </c>
      <c r="W5" s="37" t="s">
        <v>155</v>
      </c>
      <c r="X5" s="36" t="s">
        <v>156</v>
      </c>
      <c r="Y5" s="36" t="s">
        <v>157</v>
      </c>
      <c r="Z5" s="36" t="s">
        <v>157</v>
      </c>
      <c r="AA5" s="36" t="s">
        <v>157</v>
      </c>
      <c r="AB5" s="37" t="s">
        <v>157</v>
      </c>
      <c r="AC5" s="36" t="s">
        <v>157</v>
      </c>
      <c r="AD5" s="36" t="s">
        <v>157</v>
      </c>
      <c r="AE5" s="37" t="s">
        <v>157</v>
      </c>
      <c r="AF5" s="36" t="s">
        <v>157</v>
      </c>
      <c r="AG5" s="36" t="s">
        <v>157</v>
      </c>
      <c r="AH5" s="36" t="s">
        <v>157</v>
      </c>
      <c r="AI5" s="29"/>
    </row>
    <row r="6" customFormat="false" ht="12.75" hidden="false" customHeight="false" outlineLevel="0" collapsed="false">
      <c r="A6" s="82"/>
      <c r="B6" s="83" t="s">
        <v>158</v>
      </c>
      <c r="C6" s="81" t="s">
        <v>145</v>
      </c>
      <c r="D6" s="81" t="s">
        <v>146</v>
      </c>
      <c r="E6" s="84" t="s">
        <v>159</v>
      </c>
      <c r="F6" s="81" t="s">
        <v>160</v>
      </c>
      <c r="G6" s="85" t="s">
        <v>161</v>
      </c>
      <c r="H6" s="86" t="s">
        <v>162</v>
      </c>
      <c r="I6" s="81" t="s">
        <v>163</v>
      </c>
      <c r="J6" s="81" t="s">
        <v>164</v>
      </c>
      <c r="K6" s="81" t="s">
        <v>165</v>
      </c>
      <c r="L6" s="81" t="s">
        <v>90</v>
      </c>
      <c r="M6" s="81" t="s">
        <v>166</v>
      </c>
      <c r="N6" s="81" t="s">
        <v>153</v>
      </c>
      <c r="O6" s="81" t="s">
        <v>77</v>
      </c>
      <c r="P6" s="81" t="s">
        <v>167</v>
      </c>
      <c r="Q6" s="81" t="s">
        <v>168</v>
      </c>
      <c r="R6" s="81" t="s">
        <v>169</v>
      </c>
      <c r="S6" s="81" t="s">
        <v>170</v>
      </c>
      <c r="T6" s="81" t="s">
        <v>171</v>
      </c>
      <c r="U6" s="83" t="s">
        <v>172</v>
      </c>
      <c r="V6" s="87" t="s">
        <v>173</v>
      </c>
      <c r="W6" s="87" t="s">
        <v>174</v>
      </c>
      <c r="X6" s="81" t="n">
        <v>9</v>
      </c>
      <c r="Y6" s="81" t="s">
        <v>89</v>
      </c>
      <c r="Z6" s="81" t="s">
        <v>145</v>
      </c>
      <c r="AA6" s="81" t="s">
        <v>146</v>
      </c>
      <c r="AB6" s="81" t="s">
        <v>89</v>
      </c>
      <c r="AC6" s="81" t="s">
        <v>44</v>
      </c>
      <c r="AD6" s="81" t="s">
        <v>145</v>
      </c>
      <c r="AE6" s="81" t="s">
        <v>89</v>
      </c>
      <c r="AF6" s="81" t="s">
        <v>44</v>
      </c>
      <c r="AG6" s="81" t="s">
        <v>145</v>
      </c>
      <c r="AH6" s="81" t="s">
        <v>146</v>
      </c>
      <c r="AI6" s="29"/>
    </row>
    <row r="7" customFormat="false" ht="12.75" hidden="false" customHeight="false" outlineLevel="0" collapsed="false">
      <c r="A7" s="88" t="n">
        <f aca="false">Weather_Input!A5</f>
        <v>37114</v>
      </c>
      <c r="B7" s="89" t="n">
        <v>0</v>
      </c>
      <c r="C7" s="90" t="n">
        <v>0</v>
      </c>
      <c r="D7" s="90" t="n">
        <v>0</v>
      </c>
      <c r="E7" s="89" t="n">
        <v>0</v>
      </c>
      <c r="F7" s="89" t="n">
        <v>8761</v>
      </c>
      <c r="G7" s="91" t="n">
        <v>6385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25859</v>
      </c>
      <c r="O7" s="90" t="n">
        <v>146190</v>
      </c>
      <c r="P7" s="50" t="n">
        <f aca="false">O7*0.015</f>
        <v>2192.85</v>
      </c>
      <c r="Q7" s="90" t="n">
        <v>630</v>
      </c>
      <c r="R7" s="90" t="n">
        <v>0</v>
      </c>
      <c r="S7" s="90" t="n">
        <v>0</v>
      </c>
      <c r="T7" s="92" t="n">
        <v>35345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37115</v>
      </c>
      <c r="B8" s="89" t="n">
        <v>0</v>
      </c>
      <c r="C8" s="90" t="n">
        <v>0</v>
      </c>
      <c r="D8" s="90" t="n">
        <v>0</v>
      </c>
      <c r="E8" s="89" t="n">
        <v>2499</v>
      </c>
      <c r="F8" s="89" t="n">
        <v>0</v>
      </c>
      <c r="G8" s="91" t="n">
        <v>8442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27440</v>
      </c>
      <c r="O8" s="90" t="n">
        <v>150000</v>
      </c>
      <c r="P8" s="50" t="n">
        <f aca="false">O8*0.015</f>
        <v>2250</v>
      </c>
      <c r="Q8" s="90" t="n">
        <v>600</v>
      </c>
      <c r="R8" s="90" t="n">
        <v>0</v>
      </c>
      <c r="S8" s="90" t="n">
        <v>0</v>
      </c>
      <c r="T8" s="92" t="n">
        <v>35418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37116</v>
      </c>
      <c r="B9" s="89" t="n">
        <v>0</v>
      </c>
      <c r="C9" s="90" t="n">
        <v>0</v>
      </c>
      <c r="D9" s="90" t="n">
        <v>0</v>
      </c>
      <c r="E9" s="89" t="n">
        <v>0</v>
      </c>
      <c r="F9" s="89" t="n">
        <v>0</v>
      </c>
      <c r="G9" s="91" t="n">
        <v>56178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27500</v>
      </c>
      <c r="O9" s="90" t="n">
        <v>150000</v>
      </c>
      <c r="P9" s="50" t="n">
        <f aca="false">O9*0.015</f>
        <v>2250</v>
      </c>
      <c r="Q9" s="90" t="n">
        <v>600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37117</v>
      </c>
      <c r="B10" s="89" t="n">
        <v>0</v>
      </c>
      <c r="C10" s="90" t="n">
        <v>0</v>
      </c>
      <c r="D10" s="90" t="n">
        <v>0</v>
      </c>
      <c r="E10" s="89" t="n">
        <v>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130000</v>
      </c>
      <c r="P10" s="50" t="n">
        <f aca="false">O10*0.015</f>
        <v>1950</v>
      </c>
      <c r="Q10" s="90" t="n">
        <v>600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37118</v>
      </c>
      <c r="B11" s="89" t="n">
        <v>0</v>
      </c>
      <c r="C11" s="90" t="n">
        <v>0</v>
      </c>
      <c r="D11" s="90" t="n">
        <v>0</v>
      </c>
      <c r="E11" s="89" t="n">
        <v>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130000</v>
      </c>
      <c r="P11" s="50" t="n">
        <f aca="false">O11*0.015</f>
        <v>1950</v>
      </c>
      <c r="Q11" s="90" t="n">
        <v>600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37119</v>
      </c>
      <c r="B12" s="89" t="n">
        <v>0</v>
      </c>
      <c r="C12" s="90" t="n">
        <v>0</v>
      </c>
      <c r="D12" s="90" t="n">
        <v>0</v>
      </c>
      <c r="E12" s="89" t="n">
        <v>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130000</v>
      </c>
      <c r="P12" s="50" t="n">
        <f aca="false">O12*0.015</f>
        <v>1950</v>
      </c>
      <c r="Q12" s="90" t="n">
        <v>600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175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176</v>
      </c>
      <c r="H3" s="69"/>
      <c r="I3" s="69"/>
      <c r="J3" s="69"/>
      <c r="K3" s="69"/>
      <c r="L3" s="69" t="s">
        <v>177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178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142</v>
      </c>
      <c r="P4" s="75" t="s">
        <v>179</v>
      </c>
      <c r="Q4" s="76"/>
      <c r="R4" s="37" t="s">
        <v>180</v>
      </c>
      <c r="S4" s="78" t="s">
        <v>66</v>
      </c>
      <c r="U4" s="36" t="s">
        <v>181</v>
      </c>
      <c r="X4" s="71"/>
      <c r="Y4" s="95"/>
      <c r="AD4" s="71"/>
    </row>
    <row r="5" customFormat="false" ht="12.75" hidden="false" customHeight="false" outlineLevel="0" collapsed="false">
      <c r="B5" s="36" t="s">
        <v>182</v>
      </c>
      <c r="C5" s="36"/>
      <c r="D5" s="36"/>
      <c r="E5" s="36"/>
      <c r="F5" s="78"/>
      <c r="G5" s="36"/>
      <c r="H5" s="36"/>
      <c r="I5" s="36"/>
      <c r="J5" s="78" t="s">
        <v>65</v>
      </c>
      <c r="K5" s="73" t="s">
        <v>44</v>
      </c>
      <c r="L5" s="37" t="s">
        <v>66</v>
      </c>
      <c r="M5" s="37" t="s">
        <v>183</v>
      </c>
      <c r="N5" s="36" t="s">
        <v>0</v>
      </c>
      <c r="O5" s="36" t="s">
        <v>184</v>
      </c>
      <c r="P5" s="33" t="s">
        <v>171</v>
      </c>
      <c r="Q5" s="101" t="s">
        <v>185</v>
      </c>
      <c r="R5" s="37" t="s">
        <v>148</v>
      </c>
      <c r="S5" s="78" t="s">
        <v>186</v>
      </c>
      <c r="T5" s="33" t="s">
        <v>149</v>
      </c>
      <c r="U5" s="36" t="s">
        <v>187</v>
      </c>
      <c r="V5" s="36"/>
      <c r="W5" s="73" t="s">
        <v>88</v>
      </c>
      <c r="X5" s="71"/>
      <c r="Y5" s="36"/>
      <c r="Z5" s="36"/>
      <c r="AA5" s="36"/>
      <c r="AD5" s="78" t="s">
        <v>188</v>
      </c>
    </row>
    <row r="6" customFormat="false" ht="12.75" hidden="false" customHeight="false" outlineLevel="0" collapsed="false">
      <c r="B6" s="81" t="s">
        <v>189</v>
      </c>
      <c r="C6" s="81" t="s">
        <v>145</v>
      </c>
      <c r="D6" s="81" t="s">
        <v>146</v>
      </c>
      <c r="E6" s="81" t="s">
        <v>87</v>
      </c>
      <c r="F6" s="83" t="s">
        <v>159</v>
      </c>
      <c r="G6" s="81" t="s">
        <v>147</v>
      </c>
      <c r="H6" s="81" t="s">
        <v>99</v>
      </c>
      <c r="I6" s="81" t="s">
        <v>78</v>
      </c>
      <c r="J6" s="83" t="s">
        <v>100</v>
      </c>
      <c r="K6" s="81" t="s">
        <v>190</v>
      </c>
      <c r="L6" s="102" t="s">
        <v>77</v>
      </c>
      <c r="M6" s="81" t="s">
        <v>166</v>
      </c>
      <c r="N6" s="81" t="s">
        <v>0</v>
      </c>
      <c r="O6" s="103" t="s">
        <v>191</v>
      </c>
      <c r="P6" s="104" t="s">
        <v>153</v>
      </c>
      <c r="Q6" s="104" t="s">
        <v>153</v>
      </c>
      <c r="R6" s="102" t="s">
        <v>192</v>
      </c>
      <c r="S6" s="83" t="s">
        <v>193</v>
      </c>
      <c r="T6" s="104" t="s">
        <v>162</v>
      </c>
      <c r="U6" s="81" t="s">
        <v>194</v>
      </c>
      <c r="V6" s="81" t="s">
        <v>0</v>
      </c>
      <c r="W6" s="105" t="s">
        <v>195</v>
      </c>
      <c r="X6" s="83" t="s">
        <v>88</v>
      </c>
      <c r="Y6" s="81" t="s">
        <v>89</v>
      </c>
      <c r="Z6" s="81" t="s">
        <v>145</v>
      </c>
      <c r="AA6" s="81" t="s">
        <v>146</v>
      </c>
      <c r="AB6" s="81" t="s">
        <v>44</v>
      </c>
      <c r="AC6" s="81" t="s">
        <v>159</v>
      </c>
      <c r="AD6" s="83" t="s">
        <v>196</v>
      </c>
    </row>
    <row r="7" customFormat="false" ht="12.75" hidden="false" customHeight="false" outlineLevel="0" collapsed="false">
      <c r="A7" s="88" t="n">
        <f aca="false">Weather_Input!A5</f>
        <v>37114</v>
      </c>
      <c r="B7" s="50" t="n">
        <v>0</v>
      </c>
      <c r="C7" s="50" t="n">
        <v>0</v>
      </c>
      <c r="D7" s="50" t="n">
        <v>0</v>
      </c>
      <c r="E7" s="50" t="n">
        <v>0</v>
      </c>
      <c r="F7" s="89" t="n">
        <v>0</v>
      </c>
      <c r="G7" s="90" t="n">
        <v>1254</v>
      </c>
      <c r="H7" s="90" t="n">
        <v>11972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40000</v>
      </c>
      <c r="S7" s="109" t="n">
        <v>20000</v>
      </c>
      <c r="T7" s="90" t="n">
        <v>0</v>
      </c>
      <c r="U7" s="93" t="n">
        <v>120885</v>
      </c>
      <c r="V7" s="93" t="n">
        <v>0</v>
      </c>
      <c r="W7" s="92" t="n">
        <v>0</v>
      </c>
      <c r="X7" s="106" t="n">
        <v>96749</v>
      </c>
      <c r="Y7" s="93" t="n">
        <v>35418</v>
      </c>
      <c r="Z7" s="29" t="n">
        <v>0</v>
      </c>
      <c r="AA7" s="92" t="n">
        <v>166072</v>
      </c>
      <c r="AB7" s="92" t="n">
        <v>55694</v>
      </c>
      <c r="AC7" s="92" t="n">
        <v>2499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37115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20000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40000</v>
      </c>
      <c r="S8" s="109" t="n">
        <v>20000</v>
      </c>
      <c r="T8" s="90" t="n">
        <v>0</v>
      </c>
      <c r="U8" s="93" t="n">
        <v>120885</v>
      </c>
      <c r="V8" s="93" t="n">
        <v>0</v>
      </c>
      <c r="W8" s="92" t="n">
        <v>0</v>
      </c>
      <c r="X8" s="106" t="n">
        <v>96749</v>
      </c>
      <c r="Y8" s="93" t="n">
        <v>35418</v>
      </c>
      <c r="Z8" s="29" t="n">
        <v>0</v>
      </c>
      <c r="AA8" s="92" t="n">
        <v>166072</v>
      </c>
      <c r="AB8" s="92" t="n">
        <v>55694</v>
      </c>
      <c r="AC8" s="92" t="n">
        <v>2499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37116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20000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40000</v>
      </c>
      <c r="S9" s="109" t="n">
        <v>20000</v>
      </c>
      <c r="T9" s="90" t="n">
        <v>0</v>
      </c>
      <c r="U9" s="93" t="n">
        <v>120885</v>
      </c>
      <c r="V9" s="93" t="n">
        <v>0</v>
      </c>
      <c r="W9" s="92" t="n">
        <v>0</v>
      </c>
      <c r="X9" s="106" t="n">
        <v>96749</v>
      </c>
      <c r="Y9" s="93" t="n">
        <v>35418</v>
      </c>
      <c r="Z9" s="29" t="n">
        <v>0</v>
      </c>
      <c r="AA9" s="92" t="n">
        <v>166072</v>
      </c>
      <c r="AB9" s="92" t="n">
        <v>55694</v>
      </c>
      <c r="AC9" s="92" t="n">
        <v>2499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37117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20000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120885</v>
      </c>
      <c r="V10" s="93" t="n">
        <v>0</v>
      </c>
      <c r="W10" s="92" t="n">
        <v>0</v>
      </c>
      <c r="X10" s="106" t="n">
        <v>96749</v>
      </c>
      <c r="Y10" s="93" t="n">
        <v>35418</v>
      </c>
      <c r="Z10" s="29" t="n">
        <v>0</v>
      </c>
      <c r="AA10" s="92" t="n">
        <v>166072</v>
      </c>
      <c r="AB10" s="92" t="n">
        <v>55694</v>
      </c>
      <c r="AC10" s="92" t="n">
        <v>2499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37118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20000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120885</v>
      </c>
      <c r="V11" s="93" t="n">
        <v>0</v>
      </c>
      <c r="W11" s="92" t="n">
        <v>0</v>
      </c>
      <c r="X11" s="106" t="n">
        <v>96749</v>
      </c>
      <c r="Y11" s="93" t="n">
        <v>35418</v>
      </c>
      <c r="Z11" s="29" t="n">
        <v>0</v>
      </c>
      <c r="AA11" s="92" t="n">
        <v>166072</v>
      </c>
      <c r="AB11" s="92" t="n">
        <v>55694</v>
      </c>
      <c r="AC11" s="92" t="n">
        <v>2499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37119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20000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120885</v>
      </c>
      <c r="V12" s="93" t="n">
        <v>0</v>
      </c>
      <c r="W12" s="92" t="n">
        <v>0</v>
      </c>
      <c r="X12" s="106" t="n">
        <v>96749</v>
      </c>
      <c r="Y12" s="93" t="n">
        <v>35418</v>
      </c>
      <c r="Z12" s="29" t="n">
        <v>0</v>
      </c>
      <c r="AA12" s="92" t="n">
        <v>166072</v>
      </c>
      <c r="AB12" s="92" t="n">
        <v>55694</v>
      </c>
      <c r="AC12" s="92" t="n">
        <v>2499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selection pane="topLeft" activeCell="F7" activeCellId="0" sqref="F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197</v>
      </c>
      <c r="C3" s="69" t="s">
        <v>198</v>
      </c>
      <c r="D3" s="69"/>
      <c r="E3" s="69"/>
      <c r="F3" s="69"/>
      <c r="G3" s="70" t="s">
        <v>199</v>
      </c>
      <c r="H3" s="70"/>
      <c r="I3" s="70"/>
      <c r="J3" s="70"/>
      <c r="K3" s="70"/>
      <c r="L3" s="69" t="s">
        <v>97</v>
      </c>
      <c r="M3" s="69"/>
      <c r="N3" s="69"/>
      <c r="O3" s="69"/>
      <c r="P3" s="69"/>
      <c r="Q3" s="69"/>
      <c r="R3" s="69"/>
      <c r="S3" s="70" t="s">
        <v>200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201</v>
      </c>
      <c r="C4" s="29"/>
      <c r="D4" s="29"/>
      <c r="E4" s="29"/>
      <c r="F4" s="29"/>
      <c r="G4" s="37" t="s">
        <v>202</v>
      </c>
      <c r="H4" s="37"/>
      <c r="I4" s="36" t="s">
        <v>203</v>
      </c>
      <c r="J4" s="36"/>
      <c r="K4" s="73" t="s">
        <v>204</v>
      </c>
      <c r="L4" s="73" t="s">
        <v>204</v>
      </c>
      <c r="M4" s="37" t="s">
        <v>204</v>
      </c>
      <c r="N4" s="73" t="s">
        <v>131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205</v>
      </c>
      <c r="H5" s="36" t="s">
        <v>44</v>
      </c>
      <c r="I5" s="114" t="n">
        <v>0.05</v>
      </c>
      <c r="J5" s="114" t="s">
        <v>89</v>
      </c>
      <c r="K5" s="73" t="s">
        <v>77</v>
      </c>
      <c r="L5" s="73" t="s">
        <v>77</v>
      </c>
      <c r="M5" s="73" t="s">
        <v>77</v>
      </c>
      <c r="N5" s="73" t="s">
        <v>77</v>
      </c>
      <c r="O5" s="36" t="s">
        <v>89</v>
      </c>
      <c r="P5" s="36" t="s">
        <v>44</v>
      </c>
      <c r="Q5" s="36" t="s">
        <v>44</v>
      </c>
      <c r="R5" s="114" t="s">
        <v>44</v>
      </c>
      <c r="S5" s="37" t="s">
        <v>89</v>
      </c>
      <c r="T5" s="37"/>
      <c r="U5" s="37"/>
      <c r="V5" s="36" t="s">
        <v>0</v>
      </c>
      <c r="W5" s="36" t="s">
        <v>145</v>
      </c>
      <c r="X5" s="36" t="s">
        <v>0</v>
      </c>
      <c r="Y5" s="29"/>
      <c r="Z5" s="36" t="s">
        <v>44</v>
      </c>
      <c r="AA5" s="36"/>
      <c r="AB5" s="36" t="s">
        <v>0</v>
      </c>
      <c r="AC5" s="28" t="s">
        <v>206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87</v>
      </c>
      <c r="C6" s="81" t="s">
        <v>44</v>
      </c>
      <c r="D6" s="81" t="s">
        <v>89</v>
      </c>
      <c r="E6" s="81" t="s">
        <v>145</v>
      </c>
      <c r="F6" s="81" t="s">
        <v>146</v>
      </c>
      <c r="G6" s="102" t="s">
        <v>207</v>
      </c>
      <c r="H6" s="81" t="s">
        <v>190</v>
      </c>
      <c r="I6" s="81" t="s">
        <v>208</v>
      </c>
      <c r="J6" s="81" t="s">
        <v>153</v>
      </c>
      <c r="K6" s="81" t="s">
        <v>209</v>
      </c>
      <c r="L6" s="81" t="s">
        <v>210</v>
      </c>
      <c r="M6" s="81" t="s">
        <v>211</v>
      </c>
      <c r="N6" s="81" t="s">
        <v>212</v>
      </c>
      <c r="O6" s="81" t="n">
        <v>50</v>
      </c>
      <c r="P6" s="81" t="s">
        <v>213</v>
      </c>
      <c r="Q6" s="81" t="s">
        <v>169</v>
      </c>
      <c r="R6" s="81" t="s">
        <v>214</v>
      </c>
      <c r="S6" s="102" t="s">
        <v>215</v>
      </c>
      <c r="T6" s="81" t="s">
        <v>216</v>
      </c>
      <c r="U6" s="81" t="s">
        <v>217</v>
      </c>
      <c r="V6" s="102" t="s">
        <v>215</v>
      </c>
      <c r="W6" s="81" t="s">
        <v>216</v>
      </c>
      <c r="X6" s="81" t="s">
        <v>217</v>
      </c>
      <c r="Y6" s="102" t="s">
        <v>215</v>
      </c>
      <c r="Z6" s="81" t="s">
        <v>216</v>
      </c>
      <c r="AA6" s="81" t="s">
        <v>217</v>
      </c>
      <c r="AB6" s="102" t="s">
        <v>215</v>
      </c>
      <c r="AC6" s="81" t="s">
        <v>216</v>
      </c>
      <c r="AD6" s="81" t="s">
        <v>217</v>
      </c>
      <c r="AE6" s="81" t="s">
        <v>218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37114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37114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37115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37115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37116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37116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37117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37117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37118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37118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37119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37119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C1" colorId="64" zoomScale="75" zoomScaleNormal="75" zoomScalePageLayoutView="100" workbookViewId="0">
      <selection pane="topLeft" activeCell="N7" activeCellId="0" sqref="N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197</v>
      </c>
      <c r="C3" s="70" t="s">
        <v>219</v>
      </c>
      <c r="D3" s="70"/>
      <c r="E3" s="70"/>
      <c r="F3" s="70"/>
      <c r="G3" s="69" t="s">
        <v>177</v>
      </c>
      <c r="H3" s="69"/>
      <c r="I3" s="69"/>
      <c r="J3" s="69"/>
      <c r="K3" s="69"/>
      <c r="L3" s="69"/>
      <c r="M3" s="69"/>
      <c r="N3" s="68" t="s">
        <v>220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221</v>
      </c>
      <c r="C4" s="37"/>
      <c r="D4" s="36"/>
      <c r="E4" s="36"/>
      <c r="F4" s="73"/>
      <c r="G4" s="37"/>
      <c r="L4" s="71"/>
      <c r="M4" s="95"/>
      <c r="O4" s="36" t="s">
        <v>222</v>
      </c>
      <c r="P4" s="36"/>
      <c r="T4" s="71"/>
    </row>
    <row r="5" customFormat="false" ht="12.75" hidden="false" customHeight="false" outlineLevel="0" collapsed="false">
      <c r="C5" s="37" t="s">
        <v>44</v>
      </c>
      <c r="D5" s="36" t="s">
        <v>223</v>
      </c>
      <c r="E5" s="36" t="s">
        <v>89</v>
      </c>
      <c r="F5" s="73" t="s">
        <v>44</v>
      </c>
      <c r="G5" s="37" t="s">
        <v>66</v>
      </c>
      <c r="H5" s="36" t="s">
        <v>44</v>
      </c>
      <c r="I5" s="36" t="s">
        <v>44</v>
      </c>
      <c r="J5" s="36" t="s">
        <v>44</v>
      </c>
      <c r="K5" s="36" t="s">
        <v>89</v>
      </c>
      <c r="L5" s="78" t="s">
        <v>89</v>
      </c>
      <c r="M5" s="36" t="s">
        <v>146</v>
      </c>
      <c r="N5" s="36"/>
      <c r="O5" s="36" t="s">
        <v>224</v>
      </c>
      <c r="P5" s="36" t="s">
        <v>224</v>
      </c>
      <c r="Q5" s="36" t="s">
        <v>44</v>
      </c>
      <c r="R5" s="29" t="s">
        <v>225</v>
      </c>
      <c r="T5" s="78"/>
    </row>
    <row r="6" customFormat="false" ht="12.75" hidden="false" customHeight="false" outlineLevel="0" collapsed="false">
      <c r="B6" s="81" t="s">
        <v>87</v>
      </c>
      <c r="C6" s="102" t="s">
        <v>205</v>
      </c>
      <c r="D6" s="81" t="s">
        <v>226</v>
      </c>
      <c r="E6" s="81" t="s">
        <v>153</v>
      </c>
      <c r="F6" s="81" t="s">
        <v>190</v>
      </c>
      <c r="G6" s="102" t="s">
        <v>77</v>
      </c>
      <c r="H6" s="81" t="s">
        <v>213</v>
      </c>
      <c r="I6" s="81" t="s">
        <v>169</v>
      </c>
      <c r="J6" s="81" t="s">
        <v>214</v>
      </c>
      <c r="K6" s="81" t="s">
        <v>227</v>
      </c>
      <c r="L6" s="83" t="s">
        <v>228</v>
      </c>
      <c r="M6" s="81" t="s">
        <v>229</v>
      </c>
      <c r="N6" s="81" t="s">
        <v>145</v>
      </c>
      <c r="O6" s="81" t="s">
        <v>230</v>
      </c>
      <c r="P6" s="81" t="s">
        <v>231</v>
      </c>
      <c r="Q6" s="81" t="s">
        <v>224</v>
      </c>
      <c r="R6" s="104" t="s">
        <v>44</v>
      </c>
      <c r="S6" s="81" t="s">
        <v>146</v>
      </c>
      <c r="T6" s="83" t="s">
        <v>78</v>
      </c>
    </row>
    <row r="7" customFormat="false" ht="12.75" hidden="false" customHeight="false" outlineLevel="0" collapsed="false">
      <c r="A7" s="88" t="n">
        <f aca="false">Weather_Input!A5</f>
        <v>37114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7085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24824</v>
      </c>
      <c r="R7" s="50" t="n">
        <v>14834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37115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5180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24824</v>
      </c>
      <c r="R8" s="50" t="n">
        <v>14834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37116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24824</v>
      </c>
      <c r="R9" s="50" t="n">
        <v>14834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37117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24824</v>
      </c>
      <c r="R10" s="50" t="n">
        <v>14834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37118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24824</v>
      </c>
      <c r="R11" s="50" t="n">
        <v>14834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37119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24824</v>
      </c>
      <c r="R12" s="50" t="n">
        <v>14834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232</v>
      </c>
      <c r="B1" s="124"/>
      <c r="C1" s="125"/>
      <c r="D1" s="124"/>
      <c r="E1" s="124"/>
      <c r="F1" s="124" t="s">
        <v>0</v>
      </c>
      <c r="G1" s="124" t="s">
        <v>233</v>
      </c>
      <c r="H1" s="126" t="str">
        <f aca="false">D3</f>
        <v>SAT</v>
      </c>
      <c r="I1" s="127" t="n">
        <f aca="false">D4</f>
        <v>37114</v>
      </c>
    </row>
    <row r="2" customFormat="false" ht="18.95" hidden="false" customHeight="true" outlineLevel="0" collapsed="false">
      <c r="A2" s="128" t="s">
        <v>234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SAT</v>
      </c>
      <c r="E3" s="132" t="str">
        <f aca="false">CHOOSE(WEEKDAY(E4),"SUN","MON","TUE","WED","THU","FRI","SAT")</f>
        <v>SUN</v>
      </c>
      <c r="F3" s="132" t="str">
        <f aca="false">CHOOSE(WEEKDAY(F4),"SUN","MON","TUE","WED","THU","FRI","SAT")</f>
        <v>MON</v>
      </c>
      <c r="G3" s="132" t="str">
        <f aca="false">CHOOSE(WEEKDAY(G4),"SUN","MON","TUE","WED","THU","FRI","SAT")</f>
        <v>TUE</v>
      </c>
      <c r="H3" s="132" t="str">
        <f aca="false">CHOOSE(WEEKDAY(H4),"SUN","MON","TUE","WED","THU","FRI","SAT")</f>
        <v>WED</v>
      </c>
      <c r="I3" s="133" t="str">
        <f aca="false">CHOOSE(WEEKDAY(I4),"SUN","MON","TUE","WED","THU","FRI","SAT")</f>
        <v>THU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37114</v>
      </c>
      <c r="E4" s="136" t="n">
        <f aca="false">Weather_Input!A6</f>
        <v>37115</v>
      </c>
      <c r="F4" s="136" t="n">
        <f aca="false">Weather_Input!A7</f>
        <v>37116</v>
      </c>
      <c r="G4" s="136" t="n">
        <f aca="false">Weather_Input!A8</f>
        <v>37117</v>
      </c>
      <c r="H4" s="136" t="n">
        <f aca="false">Weather_Input!A9</f>
        <v>37118</v>
      </c>
      <c r="I4" s="137" t="n">
        <f aca="false">Weather_Input!A10</f>
        <v>37119</v>
      </c>
    </row>
    <row r="5" customFormat="false" ht="18.95" hidden="false" customHeight="true" outlineLevel="0" collapsed="false">
      <c r="A5" s="138" t="s">
        <v>235</v>
      </c>
      <c r="B5" s="129"/>
      <c r="C5" s="129" t="s">
        <v>236</v>
      </c>
      <c r="D5" s="139" t="str">
        <f aca="false">TEXT(Weather_Input!B5,"0")&amp;"/"&amp;TEXT(Weather_Input!C5,"0")&amp;"/"&amp;TEXT((Weather_Input!B5+Weather_Input!C5)/2,"0")</f>
        <v>79/61/70</v>
      </c>
      <c r="E5" s="139" t="str">
        <f aca="false">TEXT(Weather_Input!B6,"0")&amp;"/"&amp;TEXT(Weather_Input!C6,"0")&amp;"/"&amp;TEXT((Weather_Input!B6+Weather_Input!C6)/2,"0")</f>
        <v>84/62/73</v>
      </c>
      <c r="F5" s="139" t="str">
        <f aca="false">TEXT(Weather_Input!B7,"0")&amp;"/"&amp;TEXT(Weather_Input!C7,"0")&amp;"/"&amp;TEXT((Weather_Input!B7+Weather_Input!C7)/2,"0")</f>
        <v>78/56/67</v>
      </c>
      <c r="G5" s="139" t="str">
        <f aca="false">TEXT(Weather_Input!B8,"0")&amp;"/"&amp;TEXT(Weather_Input!C8,"0")&amp;"/"&amp;TEXT((Weather_Input!B8+Weather_Input!C8)/2,"0")</f>
        <v>80/65/73</v>
      </c>
      <c r="H5" s="139" t="str">
        <f aca="false">TEXT(Weather_Input!B9,"0")&amp;"/"&amp;TEXT(Weather_Input!C9,"0")&amp;"/"&amp;TEXT((Weather_Input!B9+Weather_Input!C9)/2,"0")</f>
        <v>85/69/77</v>
      </c>
      <c r="I5" s="140" t="str">
        <f aca="false">TEXT(Weather_Input!B10,"0")&amp;"/"&amp;TEXT(Weather_Input!C10,"0")&amp;"/"&amp;TEXT((Weather_Input!B10+Weather_Input!C10)/2,"0")</f>
        <v>80/60/70</v>
      </c>
    </row>
    <row r="6" customFormat="false" ht="18.95" hidden="false" customHeight="true" outlineLevel="0" collapsed="false">
      <c r="A6" s="141" t="s">
        <v>237</v>
      </c>
      <c r="B6" s="129"/>
      <c r="C6" s="129"/>
      <c r="D6" s="139" t="n">
        <f aca="false">PGL_Deliveries!C5/1000</f>
        <v>165</v>
      </c>
      <c r="E6" s="139" t="n">
        <f aca="false">PGL_Deliveries!C6/1000</f>
        <v>175</v>
      </c>
      <c r="F6" s="139" t="n">
        <f aca="false">PGL_Deliveries!C7/1000</f>
        <v>190</v>
      </c>
      <c r="G6" s="139" t="n">
        <f aca="false">PGL_Deliveries!C8/1000</f>
        <v>190</v>
      </c>
      <c r="H6" s="139" t="n">
        <f aca="false">PGL_Deliveries!C9/1000</f>
        <v>190</v>
      </c>
      <c r="I6" s="140" t="n">
        <f aca="false">PGL_Deliveries!C10/1000</f>
        <v>190</v>
      </c>
    </row>
    <row r="7" customFormat="false" ht="18.95" hidden="false" customHeight="true" outlineLevel="0" collapsed="false">
      <c r="A7" s="141" t="s">
        <v>238</v>
      </c>
      <c r="B7" s="129" t="s">
        <v>0</v>
      </c>
      <c r="C7" s="129"/>
      <c r="D7" s="139" t="n">
        <f aca="false">PGL_Requirements!G7/1000*0.5</f>
        <v>3.1925</v>
      </c>
      <c r="E7" s="139" t="n">
        <f aca="false">PGL_Requirements!G8/1000*0.5</f>
        <v>4.221</v>
      </c>
      <c r="F7" s="139" t="n">
        <f aca="false">PGL_Requirements!G9/1000*0.5</f>
        <v>28.089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239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240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241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242</v>
      </c>
      <c r="B11" s="129" t="s">
        <v>243</v>
      </c>
      <c r="C11" s="129" t="s">
        <v>77</v>
      </c>
      <c r="D11" s="139" t="n">
        <f aca="false">PGL_Requirements!O7/1000</f>
        <v>146.19</v>
      </c>
      <c r="E11" s="139" t="n">
        <f aca="false">PGL_Requirements!O8/1000</f>
        <v>150</v>
      </c>
      <c r="F11" s="139" t="n">
        <f aca="false">PGL_Requirements!O9/1000</f>
        <v>150</v>
      </c>
      <c r="G11" s="139" t="n">
        <f aca="false">PGL_Requirements!O10/1000</f>
        <v>130</v>
      </c>
      <c r="H11" s="139" t="n">
        <f aca="false">PGL_Requirements!O11/1000</f>
        <v>130</v>
      </c>
      <c r="I11" s="140" t="n">
        <f aca="false">PGL_Requirements!O12/1000</f>
        <v>130</v>
      </c>
    </row>
    <row r="12" customFormat="false" ht="18.95" hidden="false" customHeight="true" outlineLevel="0" collapsed="false">
      <c r="A12" s="138"/>
      <c r="B12" s="129"/>
      <c r="C12" s="129" t="s">
        <v>167</v>
      </c>
      <c r="D12" s="139" t="n">
        <f aca="false">PGL_Requirements!P7/1000</f>
        <v>2.19285</v>
      </c>
      <c r="E12" s="139" t="n">
        <f aca="false">PGL_Requirements!P8/1000</f>
        <v>2.25</v>
      </c>
      <c r="F12" s="139" t="n">
        <f aca="false">PGL_Requirements!P9/1000</f>
        <v>2.25</v>
      </c>
      <c r="G12" s="139" t="n">
        <f aca="false">PGL_Requirements!P10/1000</f>
        <v>1.95</v>
      </c>
      <c r="H12" s="139" t="n">
        <f aca="false">PGL_Requirements!P11/1000</f>
        <v>1.95</v>
      </c>
      <c r="I12" s="140" t="n">
        <f aca="false">PGL_Requirements!P12/1000</f>
        <v>1.95</v>
      </c>
    </row>
    <row r="13" customFormat="false" ht="18.95" hidden="false" customHeight="true" outlineLevel="0" collapsed="false">
      <c r="A13" s="138"/>
      <c r="C13" s="129" t="s">
        <v>168</v>
      </c>
      <c r="D13" s="139" t="n">
        <f aca="false">PGL_Requirements!Q7/1000</f>
        <v>0.63</v>
      </c>
      <c r="E13" s="139" t="n">
        <f aca="false">PGL_Requirements!Q8/1000</f>
        <v>0.6</v>
      </c>
      <c r="F13" s="139" t="n">
        <f aca="false">PGL_Requirements!Q9/1000</f>
        <v>0.6</v>
      </c>
      <c r="G13" s="139" t="n">
        <f aca="false">PGL_Requirements!Q10/1000</f>
        <v>0.6</v>
      </c>
      <c r="H13" s="139" t="n">
        <f aca="false">PGL_Requirements!Q11/1000</f>
        <v>0.6</v>
      </c>
      <c r="I13" s="140" t="n">
        <f aca="false">PGL_Requirements!Q12/1000</f>
        <v>0.6</v>
      </c>
    </row>
    <row r="14" customFormat="false" ht="18.95" hidden="false" customHeight="true" outlineLevel="0" collapsed="false">
      <c r="A14" s="138"/>
      <c r="C14" s="129" t="s">
        <v>244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245</v>
      </c>
      <c r="C15" s="129" t="s">
        <v>246</v>
      </c>
      <c r="D15" s="139" t="n">
        <f aca="false">PGL_Requirements!T7/1000</f>
        <v>35.345</v>
      </c>
      <c r="E15" s="139" t="n">
        <f aca="false">PGL_Requirements!T8/1000</f>
        <v>35.418</v>
      </c>
      <c r="F15" s="139" t="n">
        <f aca="false">PGL_Requirements!T9/1000</f>
        <v>0</v>
      </c>
      <c r="G15" s="139" t="n">
        <f aca="false">PGL_Requirements!T10/1000</f>
        <v>0</v>
      </c>
      <c r="H15" s="139" t="n">
        <f aca="false">PGL_Requirements!T11/1000</f>
        <v>0</v>
      </c>
      <c r="I15" s="140" t="n">
        <f aca="false">PGL_Requirements!T12/1000</f>
        <v>0</v>
      </c>
    </row>
    <row r="16" customFormat="false" ht="18.95" hidden="false" customHeight="true" outlineLevel="0" collapsed="false">
      <c r="A16" s="138"/>
      <c r="B16" s="129"/>
      <c r="C16" s="129" t="s">
        <v>247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248</v>
      </c>
      <c r="C17" s="129" t="s">
        <v>153</v>
      </c>
      <c r="D17" s="139" t="n">
        <f aca="false">PGL_Requirements!N7/1000</f>
        <v>25.859</v>
      </c>
      <c r="E17" s="139" t="n">
        <f aca="false">PGL_Requirements!N8/1000</f>
        <v>27.44</v>
      </c>
      <c r="F17" s="139" t="n">
        <f aca="false">PGL_Requirements!N9/1000</f>
        <v>27.5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249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250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251</v>
      </c>
      <c r="B20" s="129"/>
      <c r="C20" s="129"/>
      <c r="D20" s="139" t="n">
        <f aca="false">PGL_Requirements!F7/1000</f>
        <v>8.761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252</v>
      </c>
      <c r="B21" s="129" t="s">
        <v>253</v>
      </c>
      <c r="C21" s="129"/>
      <c r="D21" s="139" t="n">
        <f aca="false">PGL_Requirements!I7/1000</f>
        <v>0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145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146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159</v>
      </c>
      <c r="C24" s="129"/>
      <c r="D24" s="145" t="n">
        <f aca="false">PGL_Requirements!E7/1000</f>
        <v>0</v>
      </c>
      <c r="E24" s="145" t="n">
        <f aca="false">PGL_Requirements!E8/1000</f>
        <v>2.499</v>
      </c>
      <c r="F24" s="145" t="n">
        <f aca="false">PGL_Requirements!E9/1000</f>
        <v>0</v>
      </c>
      <c r="G24" s="145" t="n">
        <f aca="false">PGL_Requirements!E10/1000</f>
        <v>0</v>
      </c>
      <c r="H24" s="145" t="n">
        <f aca="false">PGL_Requirements!E11/1000</f>
        <v>0</v>
      </c>
      <c r="I24" s="146" t="n">
        <f aca="false">PGL_Requirements!E12/1000</f>
        <v>0</v>
      </c>
    </row>
    <row r="25" customFormat="false" ht="18.95" hidden="false" customHeight="true" outlineLevel="0" collapsed="false">
      <c r="A25" s="147" t="s">
        <v>254</v>
      </c>
      <c r="B25" s="148"/>
      <c r="C25" s="148"/>
      <c r="D25" s="149" t="n">
        <f aca="false">SUM(D6:D24)</f>
        <v>387.17035</v>
      </c>
      <c r="E25" s="149" t="n">
        <f aca="false">SUM(E6:E24)</f>
        <v>397.428</v>
      </c>
      <c r="F25" s="149" t="n">
        <f aca="false">SUM(F6:F24)</f>
        <v>398.439</v>
      </c>
      <c r="G25" s="149" t="n">
        <f aca="false">SUM(G6:G24)</f>
        <v>322.55</v>
      </c>
      <c r="H25" s="149" t="n">
        <f aca="false">SUM(H6:H24)</f>
        <v>322.55</v>
      </c>
      <c r="I25" s="150" t="n">
        <f aca="false">SUM(I6:I24)</f>
        <v>322.55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255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256</v>
      </c>
      <c r="B28" s="129" t="s">
        <v>243</v>
      </c>
      <c r="C28" s="129" t="s">
        <v>77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147</v>
      </c>
      <c r="D29" s="139" t="n">
        <f aca="false">PGL_Supplies!G7/1000</f>
        <v>1.254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78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245</v>
      </c>
      <c r="C31" s="129" t="s">
        <v>246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247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248</v>
      </c>
      <c r="C33" s="129" t="s">
        <v>153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257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258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259</v>
      </c>
      <c r="B36" s="129" t="s">
        <v>146</v>
      </c>
      <c r="C36" s="129"/>
      <c r="D36" s="139" t="n">
        <f aca="false">PGL_Supplies!S7/1000</f>
        <v>20</v>
      </c>
      <c r="E36" s="139" t="n">
        <f aca="false">PGL_Supplies!S8/1000</f>
        <v>20</v>
      </c>
      <c r="F36" s="139" t="n">
        <f aca="false">PGL_Supplies!S9/1000</f>
        <v>20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260</v>
      </c>
      <c r="B37" s="129" t="s">
        <v>261</v>
      </c>
      <c r="C37" s="129"/>
      <c r="D37" s="139" t="n">
        <f aca="false">PGL_Supplies!X7/1000</f>
        <v>96.749</v>
      </c>
      <c r="E37" s="139" t="n">
        <f aca="false">PGL_Supplies!X8/1000</f>
        <v>96.749</v>
      </c>
      <c r="F37" s="139" t="n">
        <f aca="false">PGL_Supplies!X9/1000</f>
        <v>96.749</v>
      </c>
      <c r="G37" s="139" t="n">
        <f aca="false">PGL_Supplies!X10/1000</f>
        <v>96.749</v>
      </c>
      <c r="H37" s="139" t="n">
        <f aca="false">PGL_Supplies!X11/1000</f>
        <v>96.749</v>
      </c>
      <c r="I37" s="140" t="n">
        <f aca="false">PGL_Supplies!X12/1000</f>
        <v>96.749</v>
      </c>
    </row>
    <row r="38" customFormat="false" ht="18.95" hidden="false" customHeight="true" outlineLevel="0" collapsed="false">
      <c r="A38" s="141"/>
      <c r="B38" s="129" t="s">
        <v>245</v>
      </c>
      <c r="C38" s="142"/>
      <c r="D38" s="139" t="n">
        <f aca="false">PGL_Supplies!Y7/1000</f>
        <v>35.418</v>
      </c>
      <c r="E38" s="139" t="n">
        <f aca="false">PGL_Supplies!Y8/1000</f>
        <v>35.418</v>
      </c>
      <c r="F38" s="139" t="n">
        <f aca="false">PGL_Supplies!Y9/1000</f>
        <v>35.418</v>
      </c>
      <c r="G38" s="139" t="n">
        <f aca="false">PGL_Supplies!Y10/1000</f>
        <v>35.418</v>
      </c>
      <c r="H38" s="139" t="n">
        <f aca="false">PGL_Supplies!Y11/1000</f>
        <v>35.418</v>
      </c>
      <c r="I38" s="140" t="n">
        <f aca="false">PGL_Supplies!Y12/1000</f>
        <v>35.418</v>
      </c>
    </row>
    <row r="39" customFormat="false" ht="18.95" hidden="false" customHeight="true" outlineLevel="0" collapsed="false">
      <c r="A39" s="141"/>
      <c r="B39" s="129" t="s">
        <v>262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146</v>
      </c>
      <c r="C40" s="142"/>
      <c r="D40" s="139" t="n">
        <f aca="false">PGL_Supplies!AA7/1000</f>
        <v>166.072</v>
      </c>
      <c r="E40" s="139" t="n">
        <f aca="false">PGL_Supplies!AA8/1000</f>
        <v>166.072</v>
      </c>
      <c r="F40" s="139" t="n">
        <f aca="false">PGL_Supplies!AA9/1000</f>
        <v>166.072</v>
      </c>
      <c r="G40" s="139" t="n">
        <f aca="false">PGL_Supplies!AA10/1000</f>
        <v>166.072</v>
      </c>
      <c r="H40" s="139" t="n">
        <f aca="false">PGL_Supplies!AA11/1000</f>
        <v>166.072</v>
      </c>
      <c r="I40" s="140" t="n">
        <f aca="false">PGL_Supplies!AA12/1000</f>
        <v>166.072</v>
      </c>
    </row>
    <row r="41" customFormat="false" ht="18.95" hidden="false" customHeight="true" outlineLevel="0" collapsed="false">
      <c r="A41" s="141"/>
      <c r="B41" s="129" t="s">
        <v>248</v>
      </c>
      <c r="C41" s="129"/>
      <c r="D41" s="139" t="n">
        <f aca="false">PGL_Supplies!AB7/1000</f>
        <v>55.694</v>
      </c>
      <c r="E41" s="139" t="n">
        <f aca="false">PGL_Supplies!AB8/1000</f>
        <v>55.694</v>
      </c>
      <c r="F41" s="139" t="n">
        <f aca="false">PGL_Supplies!AB9/1000</f>
        <v>55.694</v>
      </c>
      <c r="G41" s="139" t="n">
        <f aca="false">PGL_Supplies!AB10/1000</f>
        <v>55.694</v>
      </c>
      <c r="H41" s="139" t="n">
        <f aca="false">PGL_Supplies!AB11/1000</f>
        <v>55.694</v>
      </c>
      <c r="I41" s="140" t="n">
        <f aca="false">PGL_Supplies!AB12/1000</f>
        <v>55.694</v>
      </c>
    </row>
    <row r="42" customFormat="false" ht="18.95" hidden="false" customHeight="true" outlineLevel="0" collapsed="false">
      <c r="A42" s="141"/>
      <c r="B42" s="129" t="s">
        <v>263</v>
      </c>
      <c r="C42" s="129"/>
      <c r="D42" s="139" t="n">
        <f aca="false">PGL_Supplies!AC7/1000</f>
        <v>2.499</v>
      </c>
      <c r="E42" s="139" t="n">
        <f aca="false">PGL_Supplies!AC8/1000</f>
        <v>2.499</v>
      </c>
      <c r="F42" s="139" t="n">
        <f aca="false">PGL_Supplies!AC9/1000</f>
        <v>2.499</v>
      </c>
      <c r="G42" s="139" t="n">
        <f aca="false">PGL_Supplies!AC10/1000</f>
        <v>2.499</v>
      </c>
      <c r="H42" s="139" t="n">
        <f aca="false">PGL_Supplies!AC11/1000</f>
        <v>2.499</v>
      </c>
      <c r="I42" s="140" t="n">
        <f aca="false">PGL_Supplies!AC12/1000</f>
        <v>2.499</v>
      </c>
    </row>
    <row r="43" customFormat="false" ht="18.95" hidden="false" customHeight="true" outlineLevel="0" collapsed="false">
      <c r="A43" s="141"/>
      <c r="B43" s="129" t="s">
        <v>264</v>
      </c>
      <c r="C43" s="129"/>
      <c r="D43" s="139" t="n">
        <f aca="false">PGL_Supplies!H7/1000</f>
        <v>11.972</v>
      </c>
      <c r="E43" s="139" t="n">
        <f aca="false">PGL_Supplies!H8/1000</f>
        <v>20</v>
      </c>
      <c r="F43" s="139" t="n">
        <f aca="false">PGL_Supplies!H9/1000</f>
        <v>20</v>
      </c>
      <c r="G43" s="139" t="n">
        <f aca="false">PGL_Supplies!H10/1000</f>
        <v>20</v>
      </c>
      <c r="H43" s="139" t="n">
        <f aca="false">PGL_Supplies!H11/1000</f>
        <v>20</v>
      </c>
      <c r="I43" s="140" t="n">
        <f aca="false">PGL_Supplies!H12/1000</f>
        <v>20</v>
      </c>
      <c r="J43" s="122" t="s">
        <v>0</v>
      </c>
    </row>
    <row r="44" customFormat="false" ht="18.95" hidden="false" customHeight="true" outlineLevel="0" collapsed="false">
      <c r="A44" s="138"/>
      <c r="B44" s="129" t="s">
        <v>265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266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267</v>
      </c>
      <c r="B46" s="129" t="s">
        <v>261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262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146</v>
      </c>
      <c r="C48" s="129"/>
      <c r="D48" s="139" t="n">
        <f aca="false">PGL_Supplies!D7/1000</f>
        <v>0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263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268</v>
      </c>
      <c r="B50" s="163"/>
      <c r="C50" s="163"/>
      <c r="D50" s="164" t="n">
        <f aca="false">SUM(D28:D49)</f>
        <v>389.658</v>
      </c>
      <c r="E50" s="164" t="n">
        <f aca="false">SUM(E28:E49)</f>
        <v>397.432</v>
      </c>
      <c r="F50" s="164" t="n">
        <f aca="false">SUM(F28:F49)</f>
        <v>397.432</v>
      </c>
      <c r="G50" s="164" t="n">
        <f aca="false">SUM(G28:G49)</f>
        <v>377.432</v>
      </c>
      <c r="H50" s="164" t="n">
        <f aca="false">SUM(H28:H49)</f>
        <v>377.432</v>
      </c>
      <c r="I50" s="165" t="n">
        <f aca="false">SUM(I28:I49)</f>
        <v>377.432</v>
      </c>
    </row>
    <row r="51" customFormat="false" ht="18.95" hidden="false" customHeight="true" outlineLevel="0" collapsed="false">
      <c r="A51" s="166" t="s">
        <v>269</v>
      </c>
      <c r="B51" s="161"/>
      <c r="C51" s="161"/>
      <c r="D51" s="167" t="n">
        <f aca="false">IF(D50-D25&lt;0,0,D50-D25)</f>
        <v>2.48764999999992</v>
      </c>
      <c r="E51" s="167" t="n">
        <f aca="false">IF(E50-E25&lt;0,0,E50-E25)</f>
        <v>0.0040000000000191</v>
      </c>
      <c r="F51" s="167" t="n">
        <f aca="false">IF(F50-F25&lt;0,0,F50-F25)</f>
        <v>0</v>
      </c>
      <c r="G51" s="167" t="n">
        <f aca="false">IF(G50-G25&lt;0,0,G50-G25)</f>
        <v>54.882</v>
      </c>
      <c r="H51" s="167" t="n">
        <f aca="false">IF(H50-H25&lt;0,0,H50-H25)</f>
        <v>54.882</v>
      </c>
      <c r="I51" s="168" t="n">
        <f aca="false">IF(I50-I25&lt;0,0,I50-I25)</f>
        <v>54.882</v>
      </c>
    </row>
    <row r="52" customFormat="false" ht="18.95" hidden="false" customHeight="true" outlineLevel="0" collapsed="false">
      <c r="A52" s="169" t="s">
        <v>270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</v>
      </c>
      <c r="F52" s="171" t="n">
        <f aca="false">IF(F25-F50&lt;0,0,F25-F50)</f>
        <v>1.00700000000001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271</v>
      </c>
      <c r="B53" s="174"/>
      <c r="C53" s="174"/>
      <c r="D53" s="175" t="n">
        <f aca="false">PGL_Supplies!U7/1000</f>
        <v>120.885</v>
      </c>
      <c r="E53" s="175" t="n">
        <f aca="false">PGL_Supplies!U8/1000</f>
        <v>120.885</v>
      </c>
      <c r="F53" s="175" t="n">
        <f aca="false">PGL_Supplies!U9/1000</f>
        <v>120.885</v>
      </c>
      <c r="G53" s="175" t="n">
        <f aca="false">PGL_Supplies!U10/1000</f>
        <v>120.885</v>
      </c>
      <c r="H53" s="175" t="n">
        <f aca="false">PGL_Supplies!U11/1000</f>
        <v>120.885</v>
      </c>
      <c r="I53" s="176" t="n">
        <f aca="false">PGL_Supplies!U12/1000</f>
        <v>120.885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272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2001-08-12T13:16:59Z</cp:lastPrinted>
  <dcterms:modified xsi:type="dcterms:W3CDTF">2001-07-26T12:47:15Z</dcterms:modified>
  <cp:revision>0</cp:revision>
  <dc:subject/>
  <dc:title/>
</cp:coreProperties>
</file>