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<sst xmlns="http://schemas.openxmlformats.org/spreadsheetml/2006/main" count="2090" uniqueCount="827">
  <si>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</si>
  <si>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</si>
  <si>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</si>
  <si>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</si>
  <si>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</si>
  <si>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</si>
  <si>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</si>
  <si>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</si>
  <si>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</si>
  <si>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</si>
  <si>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</si>
  <si>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</si>
  <si>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</si>
  <si>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</si>
  <si>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</si>
  <si>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</si>
  <si>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</si>
  <si>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</si>
  <si>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</si>
  <si>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</si>
  <si>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</si>
  <si>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</si>
  <si>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</si>
  <si>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</si>
  <si>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</si>
  <si>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</si>
  <si>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</si>
  <si>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</si>
  <si>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</si>
  <si>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PARTLY SUNNY…HOT AND HUMID.   CHANCE  OF AFTERNOON T-STORMS</t>
  </si>
  <si>
    <t xml:space="preserve"> TONIGHT…T-STORMS  LIKELY ;   POSSIBLY  STRONG STORMS  POSSIBLE.</t>
  </si>
  <si>
    <t xml:space="preserve">RAIN</t>
  </si>
  <si>
    <t xml:space="preserve">  MOSTLY  SUNNY…COOLER AND  LESS HUMID.  WIND  NE  10 TO 20.</t>
  </si>
  <si>
    <t xml:space="preserve">   TONIGHT  CLEAR  AND  COOL  WITH  LIGHT  WINDS.</t>
  </si>
  <si>
    <t xml:space="preserve">S</t>
  </si>
  <si>
    <t xml:space="preserve">TSTORM</t>
  </si>
  <si>
    <t xml:space="preserve">  PARTLY  SUNNY  AND  PLEASANT</t>
  </si>
  <si>
    <t xml:space="preserve">  PARTLY CLOUDY</t>
  </si>
  <si>
    <t xml:space="preserve">  SUNNY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</si>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</sst>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THU</v>
      </c>
      <c r="I1" s="179" t="n">
        <f aca="false">D4</f>
        <v>37112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37112</v>
      </c>
      <c r="E4" s="181" t="n">
        <f aca="false">Weather_Input!A6</f>
        <v>37113</v>
      </c>
      <c r="F4" s="181" t="n">
        <f aca="false">Weather_Input!A7</f>
        <v>37114</v>
      </c>
      <c r="G4" s="181" t="n">
        <f aca="false">Weather_Input!A8</f>
        <v>37115</v>
      </c>
      <c r="H4" s="181" t="n">
        <f aca="false">Weather_Input!A9</f>
        <v>37116</v>
      </c>
      <c r="I4" s="182" t="n">
        <f aca="false">Weather_Input!A10</f>
        <v>37117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94/67/81</v>
      </c>
      <c r="E5" s="183" t="str">
        <f aca="false">TEXT(Weather_Input!B6,"0")&amp;"/"&amp;TEXT(Weather_Input!C6,"0")&amp;"/"&amp;TEXT((Weather_Input!B6+Weather_Input!C6)/2,"0")</f>
        <v>78/58/68</v>
      </c>
      <c r="F5" s="183" t="str">
        <f aca="false">TEXT(Weather_Input!B7,"0")&amp;"/"&amp;TEXT(Weather_Input!C7,"0")&amp;"/"&amp;TEXT((Weather_Input!B7+Weather_Input!C7)/2,"0")</f>
        <v>79/61/70</v>
      </c>
      <c r="G5" s="183" t="str">
        <f aca="false">TEXT(Weather_Input!B8,"0")&amp;"/"&amp;TEXT(Weather_Input!C8,"0")&amp;"/"&amp;TEXT((Weather_Input!B8+Weather_Input!C8)/2,"0")</f>
        <v>81/65/73</v>
      </c>
      <c r="H5" s="183" t="str">
        <f aca="false">TEXT(Weather_Input!B9,"0")&amp;"/"&amp;TEXT(Weather_Input!C9,"0")&amp;"/"&amp;TEXT((Weather_Input!B9+Weather_Input!C9)/2,"0")</f>
        <v>78/60/69</v>
      </c>
      <c r="I5" s="184" t="str">
        <f aca="false">TEXT(Weather_Input!B10,"0")&amp;"/"&amp;TEXT(Weather_Input!C10,"0")&amp;"/"&amp;TEXT((Weather_Input!B10+Weather_Input!C10)/2,"0")</f>
        <v>80/65/73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31.4</v>
      </c>
      <c r="E6" s="185" t="n">
        <f aca="true">VLOOKUP(E4,NSG_Sendouts,CELL("Col",NSG_Deliveries!C6),FALSE())/1000</f>
        <v>31</v>
      </c>
      <c r="F6" s="185" t="n">
        <f aca="true">VLOOKUP(F4,NSG_Sendouts,CELL("Col",NSG_Deliveries!C7),FALSE())/1000</f>
        <v>28</v>
      </c>
      <c r="G6" s="185" t="n">
        <f aca="true">VLOOKUP(G4,NSG_Sendouts,CELL("Col",NSG_Deliveries!C8),FALSE())/1000</f>
        <v>30</v>
      </c>
      <c r="H6" s="185" t="n">
        <f aca="true">VLOOKUP(H4,NSG_Sendouts,CELL("Col",NSG_Deliveries!C9),FALSE())/1000</f>
        <v>31</v>
      </c>
      <c r="I6" s="186" t="n">
        <f aca="true">VLOOKUP(I4,NSG_Sendouts,CELL("Col",NSG_Deliveries!C10),FALSE())/1000</f>
        <v>31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38.4</v>
      </c>
      <c r="E11" s="190" t="n">
        <f aca="false">SUM(E6:E10)</f>
        <v>38</v>
      </c>
      <c r="F11" s="190" t="n">
        <f aca="false">SUM(F6:F10)</f>
        <v>35</v>
      </c>
      <c r="G11" s="190" t="n">
        <f aca="false">SUM(G6:G10)</f>
        <v>37</v>
      </c>
      <c r="H11" s="190" t="n">
        <f aca="false">SUM(H6:H10)</f>
        <v>38</v>
      </c>
      <c r="I11" s="191" t="n">
        <f aca="false">SUM(I6:I10)</f>
        <v>38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6.862</v>
      </c>
      <c r="E17" s="185" t="n">
        <f aca="false">NSG_Supplies!F8/1000</f>
        <v>6.37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24.894</v>
      </c>
      <c r="E19" s="185" t="n">
        <f aca="false">NSG_Supplies!Q8/1000</f>
        <v>24.631</v>
      </c>
      <c r="F19" s="185" t="n">
        <f aca="false">NSG_Supplies!Q9/1000</f>
        <v>24.631</v>
      </c>
      <c r="G19" s="185" t="n">
        <f aca="false">NSG_Supplies!Q10/1000</f>
        <v>24.631</v>
      </c>
      <c r="H19" s="185" t="n">
        <f aca="false">NSG_Supplies!Q11/1000</f>
        <v>24.631</v>
      </c>
      <c r="I19" s="186" t="n">
        <f aca="false">NSG_Supplies!Q12/1000</f>
        <v>24.631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38.756</v>
      </c>
      <c r="E21" s="201" t="n">
        <f aca="false">SUM(E14:E20)</f>
        <v>38.001</v>
      </c>
      <c r="F21" s="201" t="n">
        <f aca="false">SUM(F14:F20)</f>
        <v>31.631</v>
      </c>
      <c r="G21" s="201" t="n">
        <f aca="false">SUM(G14:G20)</f>
        <v>31.631</v>
      </c>
      <c r="H21" s="201" t="n">
        <f aca="false">SUM(H14:H20)</f>
        <v>31.631</v>
      </c>
      <c r="I21" s="202" t="n">
        <f aca="false">SUM(I14:I20)</f>
        <v>31.631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0.356000000000002</v>
      </c>
      <c r="E22" s="206" t="n">
        <f aca="false">IF(E21-E11&lt;0,0,E21-E11)</f>
        <v>0.00100000000000477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</v>
      </c>
      <c r="F23" s="209" t="n">
        <f aca="false">IF(F11-F21&lt;0,0,F11-F21)</f>
        <v>3.369</v>
      </c>
      <c r="G23" s="209" t="n">
        <f aca="false">IF(G11-G21&lt;0,0,G11-G21)</f>
        <v>5.369</v>
      </c>
      <c r="H23" s="209" t="n">
        <f aca="false">IF(H11-H21&lt;0,0,H11-H21)</f>
        <v>6.369</v>
      </c>
      <c r="I23" s="210" t="n">
        <f aca="false">IF(I11-I21&lt;0,0,I11-I21)</f>
        <v>6.369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14.904</v>
      </c>
      <c r="E24" s="213" t="n">
        <f aca="false">NSG_Supplies!R8/1000</f>
        <v>14.904</v>
      </c>
      <c r="F24" s="213" t="n">
        <f aca="false">NSG_Supplies!R9/1000</f>
        <v>14.904</v>
      </c>
      <c r="G24" s="213" t="n">
        <f aca="false">NSG_Supplies!R10/1000</f>
        <v>14.904</v>
      </c>
      <c r="H24" s="213" t="n">
        <f aca="false">NSG_Supplies!R11/1000</f>
        <v>14.904</v>
      </c>
      <c r="I24" s="214" t="n">
        <f aca="false">NSG_Supplies!R12/1000</f>
        <v>14.904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9.4</v>
      </c>
      <c r="E26" s="218" t="n">
        <f aca="false">Weather_Input!D6</f>
        <v>9.5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37112</v>
      </c>
      <c r="N1" s="229" t="str">
        <f aca="false">CHOOSE(WEEKDAY(M1),"SUN","MON","TUE","WED","THU","FRI","SAT")</f>
        <v>THU</v>
      </c>
      <c r="O1" s="230"/>
    </row>
    <row r="2" customFormat="false" ht="15" hidden="false" customHeight="false" outlineLevel="0" collapsed="false">
      <c r="A2" s="231" t="s">
        <v>291</v>
      </c>
      <c r="B2" s="232" t="n">
        <f aca="false">PGL_Supplies!W7/1000</f>
        <v>0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0</v>
      </c>
      <c r="C3" s="245" t="s">
        <v>0</v>
      </c>
      <c r="D3" s="246"/>
      <c r="E3" s="235" t="s">
        <v>297</v>
      </c>
      <c r="F3" s="232" t="n">
        <f aca="false">PGL_Supplies!H7/1000</f>
        <v>20</v>
      </c>
      <c r="G3" s="247" t="s">
        <v>0</v>
      </c>
      <c r="H3" s="238" t="s">
        <v>0</v>
      </c>
      <c r="I3" s="248" t="s">
        <v>0</v>
      </c>
      <c r="J3" s="249" t="n">
        <f aca="false">Weather_Input!B5</f>
        <v>94</v>
      </c>
      <c r="K3" s="250" t="n">
        <f aca="false">Weather_Input!C5</f>
        <v>67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0</v>
      </c>
      <c r="C4" s="40"/>
      <c r="D4" s="256"/>
      <c r="E4" s="257" t="s">
        <v>299</v>
      </c>
      <c r="F4" s="258" t="n">
        <v>0</v>
      </c>
      <c r="G4" s="259" t="s">
        <v>0</v>
      </c>
      <c r="H4" s="260"/>
      <c r="I4" s="0" t="s">
        <v>300</v>
      </c>
      <c r="J4" s="261" t="s">
        <v>0</v>
      </c>
      <c r="K4" s="262" t="s">
        <v>0</v>
      </c>
      <c r="L4" s="263"/>
      <c r="M4" s="264"/>
      <c r="N4" s="263"/>
      <c r="O4" s="265"/>
    </row>
    <row r="5" customFormat="false" ht="16.5" hidden="false" customHeight="false" outlineLevel="0" collapsed="false">
      <c r="A5" s="266" t="s">
        <v>301</v>
      </c>
      <c r="B5" s="232" t="n">
        <f aca="false">PGL_Supplies!X7/1000</f>
        <v>85.911</v>
      </c>
      <c r="C5" s="267" t="s">
        <v>0</v>
      </c>
      <c r="D5" s="268"/>
      <c r="E5" s="269" t="s">
        <v>302</v>
      </c>
      <c r="F5" s="270" t="n">
        <f aca="false">F3+F4</f>
        <v>20</v>
      </c>
      <c r="G5" s="271" t="s">
        <v>0</v>
      </c>
      <c r="H5" s="272" t="s">
        <v>0</v>
      </c>
      <c r="I5" s="273" t="s">
        <v>303</v>
      </c>
      <c r="J5" s="274" t="s">
        <v>0</v>
      </c>
      <c r="K5" s="275" t="n">
        <f aca="false">PGL_Deliveries!C5/1000</f>
        <v>205</v>
      </c>
      <c r="L5" s="276"/>
      <c r="M5" s="252"/>
      <c r="N5" s="276"/>
      <c r="O5" s="253"/>
    </row>
    <row r="6" customFormat="false" ht="16.5" hidden="false" customHeight="false" outlineLevel="0" collapsed="false">
      <c r="A6" s="277" t="s">
        <v>304</v>
      </c>
      <c r="B6" s="278" t="n">
        <f aca="false">+B5-B3+B2-B4</f>
        <v>85.911</v>
      </c>
      <c r="C6" s="279" t="s">
        <v>0</v>
      </c>
      <c r="D6" s="280"/>
      <c r="E6" s="281" t="s">
        <v>0</v>
      </c>
      <c r="F6" s="282" t="s">
        <v>43</v>
      </c>
      <c r="G6" s="283"/>
      <c r="H6" s="284"/>
      <c r="I6" s="40" t="s">
        <v>305</v>
      </c>
      <c r="J6" s="285"/>
      <c r="K6" s="286" t="n">
        <f aca="false">PGL_Requirements!X7/1000</f>
        <v>0</v>
      </c>
      <c r="L6" s="285"/>
      <c r="M6" s="287"/>
      <c r="N6" s="40"/>
      <c r="O6" s="288"/>
    </row>
    <row r="7" customFormat="false" ht="16.5" hidden="false" customHeight="false" outlineLevel="0" collapsed="false">
      <c r="A7" s="289" t="s">
        <v>0</v>
      </c>
      <c r="B7" s="290" t="s">
        <v>0</v>
      </c>
      <c r="C7" s="291" t="s">
        <v>89</v>
      </c>
      <c r="D7" s="292"/>
      <c r="E7" s="231" t="s">
        <v>306</v>
      </c>
      <c r="F7" s="232" t="n">
        <f aca="false">PGL_Supplies!O7/1000</f>
        <v>0</v>
      </c>
      <c r="G7" s="293" t="s">
        <v>0</v>
      </c>
      <c r="H7" s="294"/>
      <c r="I7" s="295"/>
      <c r="J7" s="282" t="s">
        <v>0</v>
      </c>
      <c r="K7" s="282" t="s">
        <v>0</v>
      </c>
      <c r="L7" s="295"/>
      <c r="M7" s="295"/>
      <c r="N7" s="295"/>
      <c r="O7" s="296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0.418</v>
      </c>
      <c r="C8" s="297"/>
      <c r="D8" s="246"/>
      <c r="E8" s="231" t="s">
        <v>308</v>
      </c>
      <c r="F8" s="247" t="n">
        <f aca="false">PGL_Requirements!E7/1000</f>
        <v>0</v>
      </c>
      <c r="G8" s="293" t="s">
        <v>0</v>
      </c>
      <c r="H8" s="294"/>
      <c r="I8" s="298" t="s">
        <v>309</v>
      </c>
      <c r="J8" s="299" t="s">
        <v>0</v>
      </c>
      <c r="K8" s="300" t="n">
        <f aca="false">B4</f>
        <v>0</v>
      </c>
      <c r="L8" s="301"/>
      <c r="M8" s="252"/>
      <c r="N8" s="301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4"/>
      <c r="I9" s="40" t="s">
        <v>88</v>
      </c>
      <c r="J9" s="261"/>
      <c r="K9" s="302" t="n">
        <f aca="false">+B6</f>
        <v>85.911</v>
      </c>
      <c r="L9" s="261"/>
      <c r="M9" s="264"/>
      <c r="N9" s="263"/>
      <c r="O9" s="303" t="s">
        <v>0</v>
      </c>
    </row>
    <row r="10" customFormat="false" ht="15.75" hidden="false" customHeight="false" outlineLevel="0" collapsed="false">
      <c r="A10" s="304" t="s">
        <v>312</v>
      </c>
      <c r="B10" s="232" t="n">
        <f aca="false">PGL_Supplies!Y7/1000</f>
        <v>0.418</v>
      </c>
      <c r="C10" s="40"/>
      <c r="D10" s="305"/>
      <c r="E10" s="231" t="s">
        <v>313</v>
      </c>
      <c r="F10" s="306" t="n">
        <f aca="false">PGL_Supplies!AC7/1000</f>
        <v>42.499</v>
      </c>
      <c r="G10" s="307"/>
      <c r="H10" s="308"/>
      <c r="I10" s="309" t="s">
        <v>314</v>
      </c>
      <c r="J10" s="310" t="s">
        <v>0</v>
      </c>
      <c r="K10" s="300" t="n">
        <f aca="false">B11</f>
        <v>0</v>
      </c>
      <c r="L10" s="276"/>
      <c r="M10" s="311" t="s">
        <v>0</v>
      </c>
      <c r="N10" s="276"/>
      <c r="O10" s="303" t="s">
        <v>0</v>
      </c>
    </row>
    <row r="11" customFormat="false" ht="16.5" hidden="false" customHeight="false" outlineLevel="0" collapsed="false">
      <c r="A11" s="277" t="s">
        <v>304</v>
      </c>
      <c r="B11" s="271" t="n">
        <f aca="false">B10+B9-B8</f>
        <v>0</v>
      </c>
      <c r="C11" s="280"/>
      <c r="D11" s="280"/>
      <c r="E11" s="312" t="s">
        <v>315</v>
      </c>
      <c r="F11" s="313" t="n">
        <f aca="false">+F10+F9-F8+F7</f>
        <v>42.499</v>
      </c>
      <c r="G11" s="270" t="s">
        <v>0</v>
      </c>
      <c r="H11" s="314"/>
      <c r="I11" s="309" t="s">
        <v>77</v>
      </c>
      <c r="J11" s="310" t="s">
        <v>0</v>
      </c>
      <c r="K11" s="300" t="n">
        <f aca="false">B19</f>
        <v>-62.77</v>
      </c>
      <c r="L11" s="276"/>
      <c r="M11" s="252" t="s">
        <v>0</v>
      </c>
      <c r="N11" s="276"/>
      <c r="O11" s="253"/>
    </row>
    <row r="12" customFormat="false" ht="16.5" hidden="false" customHeight="false" outlineLevel="0" collapsed="false">
      <c r="A12" s="315" t="s">
        <v>0</v>
      </c>
      <c r="B12" s="291" t="s">
        <v>0</v>
      </c>
      <c r="C12" s="291" t="s">
        <v>77</v>
      </c>
      <c r="D12" s="316"/>
      <c r="E12" s="317" t="s">
        <v>0</v>
      </c>
      <c r="F12" s="318" t="s">
        <v>316</v>
      </c>
      <c r="G12" s="319"/>
      <c r="H12" s="320"/>
      <c r="I12" s="309" t="s">
        <v>317</v>
      </c>
      <c r="J12" s="310" t="s">
        <v>0</v>
      </c>
      <c r="K12" s="300" t="n">
        <f aca="false">B28</f>
        <v>0</v>
      </c>
      <c r="L12" s="276"/>
      <c r="M12" s="252" t="s">
        <v>0</v>
      </c>
      <c r="N12" s="276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89.11</v>
      </c>
      <c r="C13" s="246"/>
      <c r="D13" s="321"/>
      <c r="E13" s="322" t="s">
        <v>318</v>
      </c>
      <c r="F13" s="236" t="s">
        <v>0</v>
      </c>
      <c r="G13" s="323" t="s">
        <v>0</v>
      </c>
      <c r="H13" s="324" t="s">
        <v>0</v>
      </c>
      <c r="I13" s="309" t="s">
        <v>319</v>
      </c>
      <c r="J13" s="325" t="s">
        <v>0</v>
      </c>
      <c r="K13" s="300" t="n">
        <f aca="false">B34</f>
        <v>279.906</v>
      </c>
      <c r="L13" s="276"/>
      <c r="M13" s="252" t="s">
        <v>0</v>
      </c>
      <c r="N13" s="276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1"/>
      <c r="E14" s="326" t="s">
        <v>321</v>
      </c>
      <c r="F14" s="246"/>
      <c r="G14" s="327"/>
      <c r="H14" s="328"/>
      <c r="I14" s="309" t="s">
        <v>322</v>
      </c>
      <c r="J14" s="310" t="s">
        <v>0</v>
      </c>
      <c r="K14" s="329" t="n">
        <f aca="false">F5</f>
        <v>20</v>
      </c>
      <c r="L14" s="276"/>
      <c r="M14" s="252" t="s">
        <v>0</v>
      </c>
      <c r="N14" s="276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4"/>
      <c r="E15" s="330" t="s">
        <v>324</v>
      </c>
      <c r="F15" s="331"/>
      <c r="G15" s="285"/>
      <c r="H15" s="332"/>
      <c r="I15" s="309" t="s">
        <v>325</v>
      </c>
      <c r="J15" s="310" t="s">
        <v>2</v>
      </c>
      <c r="K15" s="300" t="n">
        <f aca="false">F11</f>
        <v>42.499</v>
      </c>
      <c r="L15" s="276"/>
      <c r="M15" s="252" t="s">
        <v>0</v>
      </c>
      <c r="N15" s="276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</v>
      </c>
      <c r="C16" s="246"/>
      <c r="D16" s="294"/>
      <c r="E16" s="333" t="s">
        <v>0</v>
      </c>
      <c r="F16" s="295" t="s">
        <v>327</v>
      </c>
      <c r="G16" s="334"/>
      <c r="H16" s="335"/>
      <c r="I16" s="309" t="s">
        <v>328</v>
      </c>
      <c r="J16" s="310" t="s">
        <v>2</v>
      </c>
      <c r="K16" s="329" t="n">
        <f aca="false">PGL_Supplies!B7/1000</f>
        <v>0</v>
      </c>
      <c r="L16" s="276"/>
      <c r="M16" s="252" t="s">
        <v>0</v>
      </c>
      <c r="N16" s="276"/>
      <c r="O16" s="253"/>
    </row>
    <row r="17" customFormat="false" ht="15" hidden="false" customHeight="true" outlineLevel="0" collapsed="false">
      <c r="A17" s="336" t="s">
        <v>329</v>
      </c>
      <c r="B17" s="232" t="n">
        <f aca="false">PGL_Requirements!Q7/1000</f>
        <v>0.36</v>
      </c>
      <c r="C17" s="246"/>
      <c r="D17" s="294"/>
      <c r="E17" s="337" t="s">
        <v>330</v>
      </c>
      <c r="F17" s="338" t="n">
        <f aca="false">+PGL_Supplies!J7/1000</f>
        <v>0</v>
      </c>
      <c r="G17" s="339" t="s">
        <v>0</v>
      </c>
      <c r="H17" s="340" t="s">
        <v>0</v>
      </c>
      <c r="I17" s="309" t="s">
        <v>331</v>
      </c>
      <c r="J17" s="341" t="s">
        <v>0</v>
      </c>
      <c r="K17" s="342" t="n">
        <f aca="false">-PGL_Requirements!F7/1000</f>
        <v>-12.856</v>
      </c>
      <c r="L17" s="276"/>
      <c r="M17" s="252"/>
      <c r="N17" s="276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1.33665</v>
      </c>
      <c r="C18" s="268"/>
      <c r="D18" s="308"/>
      <c r="E18" s="281" t="s">
        <v>0</v>
      </c>
      <c r="F18" s="295" t="s">
        <v>333</v>
      </c>
      <c r="G18" s="283"/>
      <c r="H18" s="284"/>
      <c r="I18" s="0" t="s">
        <v>334</v>
      </c>
      <c r="J18" s="261"/>
      <c r="K18" s="343" t="n">
        <f aca="false">-F19</f>
        <v>-94.365</v>
      </c>
      <c r="L18" s="261"/>
      <c r="M18" s="344"/>
      <c r="N18" s="261"/>
      <c r="O18" s="265"/>
    </row>
    <row r="19" customFormat="false" ht="16.5" hidden="false" customHeight="false" outlineLevel="0" collapsed="false">
      <c r="A19" s="277" t="s">
        <v>302</v>
      </c>
      <c r="B19" s="345" t="n">
        <f aca="false">-B13+B14+B16-B17-B15+B20+B21</f>
        <v>-62.77</v>
      </c>
      <c r="C19" s="346"/>
      <c r="D19" s="314"/>
      <c r="E19" s="347" t="s">
        <v>335</v>
      </c>
      <c r="F19" s="348" t="n">
        <f aca="false">PGL_Requirements!J7/1000</f>
        <v>94.365</v>
      </c>
      <c r="G19" s="349" t="s">
        <v>0</v>
      </c>
      <c r="H19" s="350" t="s">
        <v>0</v>
      </c>
      <c r="I19" s="0" t="s">
        <v>238</v>
      </c>
      <c r="J19" s="351"/>
      <c r="K19" s="352" t="n">
        <f aca="false">-F24</f>
        <v>-99.109</v>
      </c>
      <c r="L19" s="351"/>
      <c r="M19" s="353"/>
      <c r="N19" s="351"/>
      <c r="O19" s="354"/>
    </row>
    <row r="20" customFormat="false" ht="16.5" hidden="false" customHeight="false" outlineLevel="0" collapsed="false">
      <c r="A20" s="231" t="s">
        <v>336</v>
      </c>
      <c r="B20" s="232" t="n">
        <v>25.7</v>
      </c>
      <c r="C20" s="355"/>
      <c r="D20" s="356"/>
      <c r="E20" s="40"/>
      <c r="F20" s="40"/>
      <c r="G20" s="40"/>
      <c r="H20" s="357"/>
      <c r="I20" s="358" t="s">
        <v>324</v>
      </c>
      <c r="J20" s="359" t="s">
        <v>0</v>
      </c>
      <c r="K20" s="360" t="n">
        <f aca="false">SUM(K8:K19)</f>
        <v>159.216</v>
      </c>
      <c r="L20" s="361" t="s">
        <v>0</v>
      </c>
      <c r="M20" s="362" t="s">
        <v>0</v>
      </c>
      <c r="N20" s="361" t="s">
        <v>0</v>
      </c>
      <c r="O20" s="363"/>
    </row>
    <row r="21" customFormat="false" ht="16.5" hidden="false" customHeight="false" outlineLevel="0" collapsed="false">
      <c r="A21" s="231" t="s">
        <v>337</v>
      </c>
      <c r="B21" s="364" t="n">
        <v>0</v>
      </c>
      <c r="C21" s="365"/>
      <c r="D21" s="366"/>
      <c r="E21" s="367" t="s">
        <v>338</v>
      </c>
      <c r="F21" s="255" t="n">
        <v>0</v>
      </c>
      <c r="G21" s="368"/>
      <c r="H21" s="369"/>
      <c r="I21" s="282" t="s">
        <v>44</v>
      </c>
      <c r="J21" s="370" t="s">
        <v>0</v>
      </c>
      <c r="K21" s="371"/>
      <c r="L21" s="372"/>
      <c r="M21" s="372" t="s">
        <v>339</v>
      </c>
      <c r="N21" s="372"/>
      <c r="O21" s="296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7" t="s">
        <v>341</v>
      </c>
      <c r="F22" s="255" t="n">
        <v>0</v>
      </c>
      <c r="G22" s="368"/>
      <c r="H22" s="369"/>
      <c r="I22" s="309" t="s">
        <v>342</v>
      </c>
      <c r="J22" s="310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5" t="s">
        <v>0</v>
      </c>
      <c r="B23" s="380" t="s">
        <v>0</v>
      </c>
      <c r="C23" s="381" t="s">
        <v>90</v>
      </c>
      <c r="D23" s="284"/>
      <c r="E23" s="382" t="s">
        <v>343</v>
      </c>
      <c r="F23" s="383" t="n">
        <v>0</v>
      </c>
      <c r="G23" s="331"/>
      <c r="H23" s="332"/>
      <c r="I23" s="309" t="s">
        <v>344</v>
      </c>
      <c r="J23" s="310" t="s">
        <v>0</v>
      </c>
      <c r="K23" s="300" t="n">
        <f aca="false">K5+K6-K20</f>
        <v>45.7839999999999</v>
      </c>
      <c r="L23" s="378"/>
      <c r="M23" s="311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32" t="n">
        <f aca="false">PGL_Supplies!C7/1000</f>
        <v>0</v>
      </c>
      <c r="C24" s="385"/>
      <c r="D24" s="294"/>
      <c r="E24" s="386" t="s">
        <v>346</v>
      </c>
      <c r="F24" s="348" t="n">
        <f aca="false">PGL_Requirements!G7/1000*0.5</f>
        <v>99.109</v>
      </c>
      <c r="G24" s="349"/>
      <c r="H24" s="387"/>
      <c r="I24" s="388" t="s">
        <v>292</v>
      </c>
      <c r="J24" s="310" t="s">
        <v>0</v>
      </c>
      <c r="K24" s="300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4"/>
      <c r="E25" s="393" t="s">
        <v>348</v>
      </c>
      <c r="F25" s="394" t="n">
        <v>0</v>
      </c>
      <c r="G25" s="395"/>
      <c r="H25" s="396"/>
      <c r="I25" s="309" t="s">
        <v>349</v>
      </c>
      <c r="J25" s="397" t="s">
        <v>0</v>
      </c>
      <c r="K25" s="398" t="n">
        <f aca="false">SUM(B18+B20+B21)</f>
        <v>27.03665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4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72.8206499999999</v>
      </c>
      <c r="L26" s="405" t="s">
        <v>0</v>
      </c>
      <c r="M26" s="311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4"/>
      <c r="E27" s="347" t="s">
        <v>352</v>
      </c>
      <c r="F27" s="409"/>
      <c r="G27" s="349"/>
      <c r="H27" s="350"/>
      <c r="I27" s="298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7" t="s">
        <v>304</v>
      </c>
      <c r="B28" s="270" t="n">
        <f aca="false">-B24+B25+B26+B27</f>
        <v>0</v>
      </c>
      <c r="C28" s="415"/>
      <c r="D28" s="314"/>
      <c r="E28" s="40"/>
      <c r="F28" s="402"/>
      <c r="G28" s="40"/>
      <c r="H28" s="403"/>
      <c r="I28" s="309" t="s">
        <v>354</v>
      </c>
      <c r="J28" s="416"/>
      <c r="K28" s="342" t="n">
        <f aca="false">PGL_Requirements!N7/1000</f>
        <v>0</v>
      </c>
      <c r="L28" s="341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1"/>
      <c r="H29" s="422"/>
      <c r="I29" s="309" t="s">
        <v>357</v>
      </c>
      <c r="J29" s="423"/>
      <c r="K29" s="424" t="n">
        <f aca="false">-PGL_Supplies!K7/1000</f>
        <v>-72.839</v>
      </c>
      <c r="L29" s="341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6" t="s">
        <v>358</v>
      </c>
      <c r="B30" s="247" t="n">
        <f aca="false">PGL_Requirements!D7/1000</f>
        <v>0</v>
      </c>
      <c r="C30" s="327"/>
      <c r="D30" s="247" t="s">
        <v>0</v>
      </c>
      <c r="E30" s="426" t="s">
        <v>359</v>
      </c>
      <c r="F30" s="255"/>
      <c r="G30" s="368"/>
      <c r="H30" s="427"/>
      <c r="I30" s="428" t="s">
        <v>360</v>
      </c>
      <c r="J30" s="429"/>
      <c r="K30" s="286" t="n">
        <f aca="false">-PGL_Supplies!AB7/1000</f>
        <v>-48.344</v>
      </c>
      <c r="L30" s="430"/>
      <c r="M30" s="431" t="n">
        <f aca="false">-PGL_Supplies!AB7/1000</f>
        <v>-48.344</v>
      </c>
      <c r="N30" s="432"/>
      <c r="O30" s="433" t="n">
        <f aca="false">-PGL_Supplies!AB7/1000</f>
        <v>-48.344</v>
      </c>
    </row>
    <row r="31" customFormat="false" ht="16.5" hidden="false" customHeight="false" outlineLevel="0" collapsed="false">
      <c r="A31" s="336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3" t="s">
        <v>362</v>
      </c>
      <c r="F31" s="435"/>
      <c r="G31" s="305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255.357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8" t="s">
        <v>365</v>
      </c>
      <c r="J32" s="355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49.098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4"/>
      <c r="N33" s="261"/>
      <c r="O33" s="265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279.906</v>
      </c>
      <c r="C34" s="349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1"/>
      <c r="K34" s="453"/>
      <c r="L34" s="448" t="s">
        <v>372</v>
      </c>
      <c r="M34" s="264"/>
      <c r="N34" s="261"/>
      <c r="O34" s="265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1"/>
      <c r="K35" s="447"/>
      <c r="L35" s="458" t="s">
        <v>376</v>
      </c>
      <c r="M35" s="264"/>
      <c r="N35" s="261"/>
      <c r="O35" s="265"/>
    </row>
    <row r="36" customFormat="false" ht="15" hidden="false" customHeight="false" outlineLevel="0" collapsed="false">
      <c r="A36" s="459" t="s">
        <v>377</v>
      </c>
      <c r="B36" s="232" t="n">
        <f aca="false">B34-B35-B37</f>
        <v>180.797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1"/>
      <c r="K36" s="447"/>
      <c r="L36" s="458" t="s">
        <v>52</v>
      </c>
      <c r="M36" s="264"/>
      <c r="N36" s="261"/>
      <c r="O36" s="265"/>
    </row>
    <row r="37" customFormat="false" ht="15" hidden="false" customHeight="false" outlineLevel="0" collapsed="false">
      <c r="A37" s="462" t="s">
        <v>380</v>
      </c>
      <c r="B37" s="463" t="n">
        <f aca="false">F24</f>
        <v>99.109</v>
      </c>
      <c r="C37" s="261"/>
      <c r="D37" s="464" t="s">
        <v>0</v>
      </c>
      <c r="E37" s="40"/>
      <c r="F37" s="40"/>
      <c r="G37" s="40"/>
      <c r="H37" s="40"/>
      <c r="I37" s="465" t="s">
        <v>381</v>
      </c>
      <c r="J37" s="321"/>
      <c r="K37" s="447"/>
      <c r="L37" s="466" t="s">
        <v>382</v>
      </c>
      <c r="M37" s="264"/>
      <c r="N37" s="261"/>
      <c r="O37" s="265"/>
    </row>
    <row r="38" customFormat="false" ht="15" hidden="false" customHeight="false" outlineLevel="0" collapsed="false">
      <c r="A38" s="467" t="s">
        <v>383</v>
      </c>
      <c r="B38" s="255" t="s">
        <v>0</v>
      </c>
      <c r="C38" s="368"/>
      <c r="D38" s="256"/>
      <c r="E38" s="40"/>
      <c r="F38" s="40"/>
      <c r="G38" s="40"/>
      <c r="H38" s="40"/>
      <c r="I38" s="468" t="s">
        <v>384</v>
      </c>
      <c r="J38" s="321"/>
      <c r="K38" s="447"/>
      <c r="L38" s="297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279.906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7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7"/>
      <c r="L42" s="495"/>
    </row>
    <row r="43" customFormat="false" ht="15" hidden="false" customHeight="false" outlineLevel="0" collapsed="false">
      <c r="I43" s="40"/>
      <c r="J43" s="494"/>
      <c r="K43" s="297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THU</v>
      </c>
      <c r="G1" s="499" t="n">
        <f aca="false">Weather_Input!A5</f>
        <v>37112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s">
        <v>0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94</v>
      </c>
      <c r="C4" s="513" t="n">
        <f aca="false">Weather_Input!C5</f>
        <v>67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31.4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31.4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2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31.4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-6.862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-24.894</v>
      </c>
      <c r="D25" s="588"/>
      <c r="E25" s="580" t="n">
        <f aca="false">-NSG_Supplies!Q7/1000</f>
        <v>-24.894</v>
      </c>
      <c r="F25" s="588"/>
      <c r="G25" s="580" t="n">
        <f aca="false">-NSG_Supplies!Q7/1000</f>
        <v>-24.894</v>
      </c>
      <c r="H25" s="587"/>
      <c r="I25" s="589" t="n">
        <f aca="false">-NSG_Supplies!Q7/1000</f>
        <v>-24.894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4" t="s">
        <v>423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37112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94</v>
      </c>
      <c r="C5" s="378" t="n">
        <f aca="false">Weather_Input!C5</f>
        <v>67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205</v>
      </c>
      <c r="C8" s="666" t="n">
        <f aca="false">NSG_Deliveries!C5/1000</f>
        <v>31.4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10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10" t="n">
        <f aca="false">+B54</f>
        <v>122.407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3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10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10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5" t="n">
        <f aca="false">+B72</f>
        <v>39.3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10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10" t="n">
        <f aca="false">PGL_Requirements!F7/1000</f>
        <v>12.856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10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9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10" t="e">
        <f aca="false">B8+B18+B19</f>
        <v>#REF!</v>
      </c>
      <c r="C20" s="685" t="n">
        <f aca="false">C8+C18+C19</f>
        <v>31.4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10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10" t="n">
        <f aca="false">+B44</f>
        <v>1.33665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31.4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1" t="n">
        <f aca="false">B24</f>
        <v>-0</v>
      </c>
      <c r="E24" s="676" t="n">
        <f aca="false">C24</f>
        <v>0</v>
      </c>
      <c r="F24" s="341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0.36</v>
      </c>
      <c r="C27" s="697" t="n">
        <f aca="false">NSG_Requirements!P7/1000</f>
        <v>0</v>
      </c>
      <c r="D27" s="697" t="n">
        <f aca="false">PGL_Requirements!Q7/1000</f>
        <v>0.36</v>
      </c>
      <c r="E27" s="697" t="n">
        <f aca="false">NSG_Requirements!P7/1000</f>
        <v>0</v>
      </c>
      <c r="F27" s="697" t="n">
        <f aca="false">PGL_Requirements!Q7/1000</f>
        <v>0.36</v>
      </c>
      <c r="G27" s="697" t="n">
        <f aca="false">NSG_Requirements!P7/1000</f>
        <v>0</v>
      </c>
      <c r="H27" s="698" t="n">
        <f aca="false">+B27</f>
        <v>0.36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-48.344</v>
      </c>
      <c r="C32" s="701" t="n">
        <f aca="false">-NSG_Supplies!Q7/1000</f>
        <v>-24.894</v>
      </c>
      <c r="D32" s="701" t="n">
        <f aca="false">B32</f>
        <v>-48.344</v>
      </c>
      <c r="E32" s="701" t="n">
        <f aca="false">C32</f>
        <v>-24.894</v>
      </c>
      <c r="F32" s="701" t="n">
        <f aca="false">B32</f>
        <v>-48.344</v>
      </c>
      <c r="G32" s="701" t="n">
        <f aca="false">C32</f>
        <v>-24.894</v>
      </c>
      <c r="H32" s="702" t="n">
        <f aca="false">B32</f>
        <v>-48.344</v>
      </c>
      <c r="I32" s="703" t="n">
        <f aca="false">C32</f>
        <v>-24.894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-14.904</v>
      </c>
      <c r="D33" s="701" t="n">
        <f aca="false">B33</f>
        <v>-0</v>
      </c>
      <c r="E33" s="701" t="n">
        <f aca="false">C33</f>
        <v>-14.904</v>
      </c>
      <c r="F33" s="701" t="n">
        <f aca="false">B33</f>
        <v>-0</v>
      </c>
      <c r="G33" s="701" t="n">
        <f aca="false">C33</f>
        <v>-14.904</v>
      </c>
      <c r="H33" s="702" t="n">
        <f aca="false">B33</f>
        <v>-0</v>
      </c>
      <c r="I33" s="703" t="n">
        <f aca="false">C33</f>
        <v>-14.904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-72.839</v>
      </c>
      <c r="C36" s="701" t="n">
        <f aca="false">-NSG_Supplies!F7/1000</f>
        <v>-6.862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9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89.11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1.33665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1.33665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8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122.407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6" t="s">
        <v>482</v>
      </c>
      <c r="B53" s="232" t="n">
        <f aca="false">PGL_Requirements!I7/1000+NSG_Requirements!E7/1000</f>
        <v>0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122.407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6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6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6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0.418</v>
      </c>
      <c r="C58" s="246"/>
      <c r="D58" s="246"/>
      <c r="E58" s="246"/>
      <c r="F58" s="326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6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85.911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42.499</v>
      </c>
      <c r="C65" s="293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3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3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6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89.11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0</v>
      </c>
      <c r="C71" s="293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39.3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THU</v>
      </c>
      <c r="H73" s="787" t="n">
        <f aca="false">Weather_Input!A5</f>
        <v>37112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6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6"/>
      <c r="E93" s="276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2" t="s">
        <v>0</v>
      </c>
      <c r="C95" s="282" t="s">
        <v>0</v>
      </c>
      <c r="D95" s="295"/>
      <c r="E95" s="295"/>
      <c r="F95" s="295"/>
      <c r="G95" s="295"/>
      <c r="H95" s="295"/>
      <c r="I95" s="296"/>
    </row>
    <row r="96" customFormat="false" ht="15" hidden="false" customHeight="false" outlineLevel="0" collapsed="false">
      <c r="A96" s="683" t="s">
        <v>438</v>
      </c>
      <c r="B96" s="299" t="s">
        <v>0</v>
      </c>
      <c r="C96" s="812" t="e">
        <f aca="false">I150</f>
        <v>#REF!</v>
      </c>
      <c r="D96" s="301"/>
      <c r="E96" s="252"/>
      <c r="F96" s="301"/>
      <c r="G96" s="252"/>
      <c r="H96" s="301"/>
      <c r="I96" s="253" t="s">
        <v>0</v>
      </c>
    </row>
    <row r="97" customFormat="false" ht="15" hidden="false" customHeight="false" outlineLevel="0" collapsed="false">
      <c r="A97" s="683" t="s">
        <v>89</v>
      </c>
      <c r="B97" s="310" t="s">
        <v>0</v>
      </c>
      <c r="C97" s="812" t="e">
        <f aca="false">B133</f>
        <v>#REF!</v>
      </c>
      <c r="D97" s="276"/>
      <c r="E97" s="311" t="e">
        <f aca="false">+C97</f>
        <v>#REF!</v>
      </c>
      <c r="F97" s="276"/>
      <c r="G97" s="311" t="e">
        <f aca="false">+C97</f>
        <v>#REF!</v>
      </c>
      <c r="H97" s="276"/>
      <c r="I97" s="303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10" t="s">
        <v>0</v>
      </c>
      <c r="C98" s="812" t="n">
        <f aca="false">B149</f>
        <v>1</v>
      </c>
      <c r="D98" s="276"/>
      <c r="E98" s="252"/>
      <c r="F98" s="276"/>
      <c r="G98" s="252"/>
      <c r="H98" s="276"/>
      <c r="I98" s="253"/>
    </row>
    <row r="99" customFormat="false" ht="15" hidden="false" customHeight="false" outlineLevel="0" collapsed="false">
      <c r="A99" s="683" t="s">
        <v>90</v>
      </c>
      <c r="B99" s="310" t="s">
        <v>0</v>
      </c>
      <c r="C99" s="812" t="n">
        <f aca="false">B141</f>
        <v>122.407</v>
      </c>
      <c r="D99" s="813"/>
      <c r="E99" s="252"/>
      <c r="F99" s="276"/>
      <c r="G99" s="252"/>
      <c r="H99" s="276"/>
      <c r="I99" s="253"/>
    </row>
    <row r="100" customFormat="false" ht="15" hidden="false" customHeight="false" outlineLevel="0" collapsed="false">
      <c r="A100" s="683" t="s">
        <v>355</v>
      </c>
      <c r="B100" s="325" t="s">
        <v>0</v>
      </c>
      <c r="C100" s="812" t="n">
        <f aca="false">I157+I158</f>
        <v>0</v>
      </c>
      <c r="D100" s="276"/>
      <c r="E100" s="252"/>
      <c r="F100" s="276"/>
      <c r="G100" s="252"/>
      <c r="H100" s="276"/>
      <c r="I100" s="253"/>
    </row>
    <row r="101" customFormat="false" ht="15" hidden="false" customHeight="false" outlineLevel="0" collapsed="false">
      <c r="A101" s="683" t="s">
        <v>322</v>
      </c>
      <c r="B101" s="310" t="s">
        <v>0</v>
      </c>
      <c r="C101" s="812" t="e">
        <f aca="false">I146</f>
        <v>#REF!</v>
      </c>
      <c r="D101" s="276" t="s">
        <v>0</v>
      </c>
      <c r="E101" s="252"/>
      <c r="F101" s="276"/>
      <c r="G101" s="252"/>
      <c r="H101" s="276"/>
      <c r="I101" s="253"/>
    </row>
    <row r="102" customFormat="false" ht="15" hidden="false" customHeight="false" outlineLevel="0" collapsed="false">
      <c r="A102" s="683" t="s">
        <v>43</v>
      </c>
      <c r="B102" s="310" t="s">
        <v>2</v>
      </c>
      <c r="C102" s="812" t="n">
        <f aca="false">B162</f>
        <v>128.41</v>
      </c>
      <c r="D102" s="276"/>
      <c r="E102" s="252"/>
      <c r="F102" s="276"/>
      <c r="G102" s="252"/>
      <c r="H102" s="276"/>
      <c r="I102" s="253"/>
    </row>
    <row r="103" customFormat="false" ht="15" hidden="false" customHeight="false" outlineLevel="0" collapsed="false">
      <c r="A103" s="683" t="s">
        <v>160</v>
      </c>
      <c r="B103" s="310" t="s">
        <v>0</v>
      </c>
      <c r="C103" s="812" t="n">
        <f aca="false">PGL_Requirements!F7/1000</f>
        <v>12.856</v>
      </c>
      <c r="D103" s="813"/>
      <c r="E103" s="252"/>
      <c r="F103" s="276"/>
      <c r="G103" s="252"/>
      <c r="H103" s="276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0</v>
      </c>
      <c r="D104" s="803"/>
      <c r="E104" s="252"/>
      <c r="F104" s="276"/>
      <c r="G104" s="252"/>
      <c r="H104" s="276"/>
      <c r="I104" s="253"/>
    </row>
    <row r="105" customFormat="false" ht="16.5" hidden="false" customHeight="false" outlineLevel="0" collapsed="false">
      <c r="A105" s="815" t="s">
        <v>525</v>
      </c>
      <c r="B105" s="359" t="s">
        <v>0</v>
      </c>
      <c r="C105" s="362" t="s">
        <v>0</v>
      </c>
      <c r="D105" s="361" t="s">
        <v>0</v>
      </c>
      <c r="E105" s="816" t="s">
        <v>0</v>
      </c>
      <c r="F105" s="361" t="s">
        <v>0</v>
      </c>
      <c r="G105" s="816" t="s">
        <v>0</v>
      </c>
      <c r="H105" s="361" t="s">
        <v>0</v>
      </c>
      <c r="I105" s="363"/>
    </row>
    <row r="106" customFormat="false" ht="16.5" hidden="false" customHeight="false" outlineLevel="0" collapsed="false">
      <c r="A106" s="317" t="s">
        <v>44</v>
      </c>
      <c r="B106" s="370" t="n">
        <f aca="false">-PGL_Supplies!T7/1000</f>
        <v>-0</v>
      </c>
      <c r="C106" s="817" t="n">
        <f aca="false">-NSG_Supplies!AE7/1000</f>
        <v>-0</v>
      </c>
      <c r="D106" s="372"/>
      <c r="E106" s="818"/>
      <c r="F106" s="372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10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10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10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1" t="n">
        <f aca="false">B111</f>
        <v>-0</v>
      </c>
      <c r="E111" s="676" t="n">
        <f aca="false">C111</f>
        <v>0</v>
      </c>
      <c r="F111" s="341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1"/>
      <c r="E112" s="676"/>
      <c r="F112" s="341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-0.418</v>
      </c>
      <c r="C116" s="704" t="n">
        <f aca="false">-NSG_Supplies!V7/1000</f>
        <v>-0</v>
      </c>
      <c r="D116" s="701" t="n">
        <f aca="false">-PGL_Supplies!Y7/1000</f>
        <v>-0.418</v>
      </c>
      <c r="E116" s="701" t="n">
        <f aca="false">-NSG_Supplies!V7/1000</f>
        <v>-0</v>
      </c>
      <c r="F116" s="701" t="n">
        <f aca="false">-PGL_Supplies!Y7/1000</f>
        <v>-0.418</v>
      </c>
      <c r="G116" s="701" t="n">
        <f aca="false">-NSG_Supplies!V7/1000</f>
        <v>-0</v>
      </c>
      <c r="H116" s="702" t="n">
        <f aca="false">-PGL_Supplies!Y7/1000</f>
        <v>-0.418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-14.904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9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0.418</v>
      </c>
      <c r="F125" s="337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1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0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7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0.418</v>
      </c>
      <c r="C131" s="246"/>
      <c r="D131" s="246"/>
      <c r="E131" s="711"/>
      <c r="F131" s="336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8"/>
      <c r="D132" s="268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7" t="s">
        <v>304</v>
      </c>
      <c r="B133" s="271" t="e">
        <f aca="false">B126+B127+B130+B131+B132-B125-B128-B129</f>
        <v>#REF!</v>
      </c>
      <c r="C133" s="280"/>
      <c r="D133" s="280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5" t="s">
        <v>0</v>
      </c>
      <c r="B134" s="380" t="s">
        <v>0</v>
      </c>
      <c r="C134" s="829" t="s">
        <v>90</v>
      </c>
      <c r="D134" s="316"/>
      <c r="E134" s="316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7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6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122.407</v>
      </c>
      <c r="C140" s="268"/>
      <c r="D140" s="268"/>
      <c r="E140" s="268"/>
      <c r="F140" s="336" t="s">
        <v>385</v>
      </c>
      <c r="G140" s="834"/>
      <c r="H140" s="365"/>
      <c r="I140" s="720"/>
    </row>
    <row r="141" customFormat="false" ht="16.5" hidden="false" customHeight="false" outlineLevel="0" collapsed="false">
      <c r="A141" s="277" t="s">
        <v>304</v>
      </c>
      <c r="B141" s="836" t="n">
        <f aca="false">-B135+B136+B137-B138+B139+B140</f>
        <v>122.407</v>
      </c>
      <c r="C141" s="338"/>
      <c r="D141" s="280"/>
      <c r="E141" s="314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5" t="s">
        <v>0</v>
      </c>
      <c r="B142" s="291" t="s">
        <v>0</v>
      </c>
      <c r="C142" s="829" t="s">
        <v>77</v>
      </c>
      <c r="D142" s="316"/>
      <c r="E142" s="316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89.11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6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9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</v>
      </c>
      <c r="C146" s="246"/>
      <c r="D146" s="246"/>
      <c r="E146" s="246"/>
      <c r="F146" s="843" t="s">
        <v>302</v>
      </c>
      <c r="G146" s="280"/>
      <c r="H146" s="271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6" t="s">
        <v>349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1.33665</v>
      </c>
      <c r="C148" s="268"/>
      <c r="D148" s="268"/>
      <c r="E148" s="268"/>
      <c r="F148" s="337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7" t="s">
        <v>302</v>
      </c>
      <c r="B149" s="847" t="n">
        <f aca="false">B144+B146</f>
        <v>1</v>
      </c>
      <c r="C149" s="346"/>
      <c r="D149" s="346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31172</v>
      </c>
      <c r="C150" s="355"/>
      <c r="D150" s="355"/>
      <c r="E150" s="851"/>
      <c r="F150" s="843" t="s">
        <v>302</v>
      </c>
      <c r="G150" s="280"/>
      <c r="H150" s="271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7" t="s">
        <v>543</v>
      </c>
      <c r="G152" s="824"/>
      <c r="H152" s="323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7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3" t="s">
        <v>0</v>
      </c>
      <c r="D154" s="246"/>
      <c r="E154" s="761"/>
      <c r="F154" s="257" t="s">
        <v>361</v>
      </c>
      <c r="G154" s="826"/>
      <c r="H154" s="327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0</v>
      </c>
      <c r="C155" s="293" t="s">
        <v>0</v>
      </c>
      <c r="D155" s="246"/>
      <c r="E155" s="761"/>
      <c r="F155" s="231" t="s">
        <v>178</v>
      </c>
      <c r="G155" s="854"/>
      <c r="H155" s="327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6" t="s">
        <v>454</v>
      </c>
      <c r="G156" s="854"/>
      <c r="H156" s="365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3" t="s">
        <v>0</v>
      </c>
      <c r="D157" s="246"/>
      <c r="E157" s="761"/>
      <c r="F157" s="855" t="s">
        <v>546</v>
      </c>
      <c r="G157" s="856"/>
      <c r="H157" s="323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42.499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85.911</v>
      </c>
      <c r="C160" s="307" t="s">
        <v>0</v>
      </c>
      <c r="D160" s="268"/>
      <c r="E160" s="863"/>
      <c r="F160" s="322" t="s">
        <v>318</v>
      </c>
      <c r="G160" s="842" t="s">
        <v>0</v>
      </c>
      <c r="H160" s="355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321</v>
      </c>
      <c r="G161" s="268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128.41</v>
      </c>
      <c r="C162" s="778"/>
      <c r="D162" s="779"/>
      <c r="E162" s="872"/>
      <c r="F162" s="873" t="s">
        <v>517</v>
      </c>
      <c r="G162" s="280"/>
      <c r="H162" s="346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45927.0030307299</v>
      </c>
      <c r="F22" s="9" t="s">
        <v>571</v>
      </c>
      <c r="G22" s="885" t="n">
        <f aca="true">NOW()</f>
        <v>45927.00303073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Thursday</v>
      </c>
      <c r="B5" s="906" t="n">
        <f aca="false">Weather_Input!A5</f>
        <v>37112</v>
      </c>
      <c r="C5" s="13"/>
      <c r="D5" s="907" t="s">
        <v>593</v>
      </c>
      <c r="E5" s="908" t="n">
        <f aca="false">Weather_Input!B5</f>
        <v>94</v>
      </c>
      <c r="F5" s="909" t="s">
        <v>594</v>
      </c>
      <c r="G5" s="910" t="n">
        <f aca="false">Weather_Input!H5</f>
        <v>0</v>
      </c>
      <c r="H5" s="911" t="s">
        <v>595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67</v>
      </c>
      <c r="F6" s="909" t="s">
        <v>596</v>
      </c>
      <c r="G6" s="910" t="n">
        <f aca="false">Weather_Input!F5</f>
        <v>0</v>
      </c>
      <c r="H6" s="911" t="s">
        <v>597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80.2</v>
      </c>
      <c r="F7" s="909" t="s">
        <v>599</v>
      </c>
      <c r="G7" s="910" t="n">
        <f aca="false">Weather_Input!G5</f>
        <v>93</v>
      </c>
      <c r="H7" s="911" t="s">
        <v>599</v>
      </c>
      <c r="I7" s="914" t="n">
        <f aca="true">G7-(VLOOKUP(B5,DD_Normal_Data,CELL("Col",D4),FALSE()))</f>
        <v>93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PARTLY SUNNY…HOT AND HUMID.   CHANCE  OF AFTERNOON T-STORMS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TONIGHT…T-STORMS  LIKELY ;   POSSIBLY  STRONG STORMS  POSSIBLE.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Friday</v>
      </c>
      <c r="B10" s="906" t="n">
        <f aca="false">Weather_Input!A6</f>
        <v>37113</v>
      </c>
      <c r="C10" s="13"/>
      <c r="D10" s="907" t="s">
        <v>593</v>
      </c>
      <c r="E10" s="908" t="n">
        <f aca="false">Weather_Input!B6</f>
        <v>78</v>
      </c>
      <c r="F10" s="909" t="s">
        <v>594</v>
      </c>
      <c r="G10" s="910" t="n">
        <f aca="false">IF(E12&lt;65,65-(Weather_Input!B6+Weather_Input!C6)/2,0)</f>
        <v>0</v>
      </c>
      <c r="H10" s="911" t="s">
        <v>595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58</v>
      </c>
      <c r="F11" s="909" t="s">
        <v>596</v>
      </c>
      <c r="G11" s="910" t="n">
        <f aca="false">IF(DAY(B10)=1,G10,G6+G10)</f>
        <v>0</v>
      </c>
      <c r="H11" s="911" t="s">
        <v>597</v>
      </c>
      <c r="I11" s="912" t="n">
        <f aca="true">G11-(VLOOKUP(B10,DD_Normal_Data,CELL("Col",C12),FALSE()))</f>
        <v>0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68</v>
      </c>
      <c r="F12" s="909" t="s">
        <v>599</v>
      </c>
      <c r="G12" s="910" t="n">
        <f aca="false">IF(AND(DAY(B10)=1,MONTH(B10)=8),G10,G7+G10)</f>
        <v>93</v>
      </c>
      <c r="H12" s="911" t="s">
        <v>599</v>
      </c>
      <c r="I12" s="912" t="n">
        <f aca="true">G12-(VLOOKUP(B10,DD_Normal_Data,CELL("Col",D9),FALSE()))</f>
        <v>93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MOSTLY  SUNNY…COOLER AND  LESS HUMID.  WIND  NE  10 TO 20.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 TONIGHT  CLEAR  AND  COOL  WITH  LIGHT  WINDS.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Saturday</v>
      </c>
      <c r="B15" s="906" t="n">
        <f aca="false">Weather_Input!A7</f>
        <v>37114</v>
      </c>
      <c r="C15" s="13"/>
      <c r="D15" s="907" t="s">
        <v>593</v>
      </c>
      <c r="E15" s="908" t="n">
        <f aca="false">Weather_Input!B7</f>
        <v>79</v>
      </c>
      <c r="F15" s="909" t="s">
        <v>594</v>
      </c>
      <c r="G15" s="910" t="n">
        <f aca="false">IF(E17&lt;65,65-(Weather_Input!B7+Weather_Input!C7)/2,0)</f>
        <v>0</v>
      </c>
      <c r="H15" s="911" t="s">
        <v>595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61</v>
      </c>
      <c r="F16" s="909" t="s">
        <v>596</v>
      </c>
      <c r="G16" s="910" t="n">
        <f aca="false">IF(DAY(B15)=1,G15,G11+G15)</f>
        <v>0</v>
      </c>
      <c r="H16" s="911" t="s">
        <v>597</v>
      </c>
      <c r="I16" s="912" t="n">
        <f aca="true">G16-(VLOOKUP(B15,DD_Normal_Data,CELL("Col",C17),FALSE()))</f>
        <v>0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70</v>
      </c>
      <c r="F17" s="909" t="s">
        <v>599</v>
      </c>
      <c r="G17" s="910" t="n">
        <f aca="false">IF(AND(DAY(B15)=1,MONTH(B15)=8),G15,G12+G15)</f>
        <v>93</v>
      </c>
      <c r="H17" s="911" t="s">
        <v>599</v>
      </c>
      <c r="I17" s="912" t="n">
        <f aca="true">G17-(VLOOKUP(B15,DD_Normal_Data,CELL("Col",D14),FALSE()))</f>
        <v>93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PARTLY  SUNNY  AND  PLEASANT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Sunday</v>
      </c>
      <c r="B20" s="906" t="n">
        <f aca="false">Weather_Input!A8</f>
        <v>37115</v>
      </c>
      <c r="C20" s="13"/>
      <c r="D20" s="907" t="s">
        <v>593</v>
      </c>
      <c r="E20" s="908" t="n">
        <f aca="false">Weather_Input!B8</f>
        <v>81</v>
      </c>
      <c r="F20" s="909" t="s">
        <v>594</v>
      </c>
      <c r="G20" s="910" t="n">
        <f aca="false">IF(E22&lt;65,65-(Weather_Input!B8+Weather_Input!C8)/2,0)</f>
        <v>0</v>
      </c>
      <c r="H20" s="911" t="s">
        <v>595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65</v>
      </c>
      <c r="F21" s="909" t="s">
        <v>596</v>
      </c>
      <c r="G21" s="910" t="n">
        <f aca="false">IF(DAY(B20)=1,G20,G16+G20)</f>
        <v>0</v>
      </c>
      <c r="H21" s="911" t="s">
        <v>597</v>
      </c>
      <c r="I21" s="912" t="n">
        <f aca="true">G21-(VLOOKUP(B20,DD_Normal_Data,CELL("Col",C22),FALSE()))</f>
        <v>0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73</v>
      </c>
      <c r="F22" s="909" t="s">
        <v>599</v>
      </c>
      <c r="G22" s="910" t="n">
        <f aca="false">IF(AND(DAY(B20)=1,MONTH(B20)=8),G20,G17+G20)</f>
        <v>93</v>
      </c>
      <c r="H22" s="911" t="s">
        <v>599</v>
      </c>
      <c r="I22" s="912" t="n">
        <f aca="true">G22-(VLOOKUP(B20,DD_Normal_Data,CELL("Col",D19),FALSE()))</f>
        <v>93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PARTLY CLOUDY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Monday</v>
      </c>
      <c r="B25" s="906" t="n">
        <f aca="false">Weather_Input!A9</f>
        <v>37116</v>
      </c>
      <c r="C25" s="13"/>
      <c r="D25" s="907" t="s">
        <v>593</v>
      </c>
      <c r="E25" s="908" t="n">
        <f aca="false">Weather_Input!B9</f>
        <v>78</v>
      </c>
      <c r="F25" s="909" t="s">
        <v>594</v>
      </c>
      <c r="G25" s="910" t="n">
        <f aca="false">IF(E27&lt;65,65-(Weather_Input!B9+Weather_Input!C9)/2,0)</f>
        <v>0</v>
      </c>
      <c r="H25" s="911" t="s">
        <v>595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60</v>
      </c>
      <c r="F26" s="909" t="s">
        <v>596</v>
      </c>
      <c r="G26" s="910" t="n">
        <f aca="false">IF(DAY(B25)=1,G25,G21+G25)</f>
        <v>0</v>
      </c>
      <c r="H26" s="911" t="s">
        <v>597</v>
      </c>
      <c r="I26" s="912" t="n">
        <f aca="true">G26-(VLOOKUP(B25,DD_Normal_Data,CELL("Col",C27),FALSE()))</f>
        <v>0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69</v>
      </c>
      <c r="F27" s="909" t="s">
        <v>599</v>
      </c>
      <c r="G27" s="910" t="n">
        <f aca="false">IF(AND(DAY(B25)=1,MONTH(B25)=8),G25,G22+G25)</f>
        <v>93</v>
      </c>
      <c r="H27" s="911" t="s">
        <v>599</v>
      </c>
      <c r="I27" s="912" t="n">
        <f aca="true">G27-(VLOOKUP(B25,DD_Normal_Data,CELL("Col",D24),FALSE()))</f>
        <v>93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SUNNY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Tuesday</v>
      </c>
      <c r="B30" s="906" t="n">
        <f aca="false">Weather_Input!A10</f>
        <v>37117</v>
      </c>
      <c r="C30" s="13"/>
      <c r="D30" s="907" t="s">
        <v>593</v>
      </c>
      <c r="E30" s="908" t="n">
        <f aca="false">Weather_Input!B10</f>
        <v>80</v>
      </c>
      <c r="F30" s="909" t="s">
        <v>594</v>
      </c>
      <c r="G30" s="910" t="n">
        <f aca="false">IF(E32&lt;65,65-(Weather_Input!B10+Weather_Input!C10)/2,0)</f>
        <v>0</v>
      </c>
      <c r="H30" s="911" t="s">
        <v>595</v>
      </c>
      <c r="I30" s="912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65</v>
      </c>
      <c r="F31" s="909" t="s">
        <v>596</v>
      </c>
      <c r="G31" s="910" t="n">
        <f aca="false">IF(DAY(B30)=1,G30,G26+G30)</f>
        <v>0</v>
      </c>
      <c r="H31" s="911" t="s">
        <v>597</v>
      </c>
      <c r="I31" s="912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72.5</v>
      </c>
      <c r="F32" s="909" t="s">
        <v>599</v>
      </c>
      <c r="G32" s="910" t="n">
        <f aca="false">IF(AND(DAY(B30)=1,MONTH(B30)=8),G30,G27+G30)</f>
        <v>93</v>
      </c>
      <c r="H32" s="911" t="s">
        <v>599</v>
      </c>
      <c r="I32" s="912" t="n">
        <f aca="true">G32-(VLOOKUP(B30,DD_Normal_Data,CELL("Col",D29),FALSE()))</f>
        <v>93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SUNNY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37112</v>
      </c>
      <c r="C36" s="927" t="n">
        <f aca="false">B10</f>
        <v>37113</v>
      </c>
      <c r="D36" s="927" t="n">
        <f aca="false">B15</f>
        <v>37114</v>
      </c>
      <c r="E36" s="927" t="n">
        <f aca="false">B20</f>
        <v>37115</v>
      </c>
      <c r="F36" s="927" t="n">
        <f aca="false">B25</f>
        <v>37116</v>
      </c>
      <c r="G36" s="927" t="n">
        <f aca="false">B30</f>
        <v>37117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205</v>
      </c>
      <c r="C37" s="928" t="n">
        <f aca="true">(VLOOKUP(C36,PGL_Sendouts,(CELL("COL",PGL_Deliveries!C7))))/1000</f>
        <v>185</v>
      </c>
      <c r="D37" s="928" t="n">
        <f aca="true">(VLOOKUP(D36,PGL_Sendouts,(CELL("COL",PGL_Deliveries!C8))))/1000</f>
        <v>170</v>
      </c>
      <c r="E37" s="928" t="n">
        <f aca="true">(VLOOKUP(E36,PGL_Sendouts,(CELL("COL",PGL_Deliveries!C9))))/1000</f>
        <v>180</v>
      </c>
      <c r="F37" s="928" t="n">
        <f aca="true">(VLOOKUP(F36,PGL_Sendouts,(CELL("COL",PGL_Deliveries!C10))))/1000</f>
        <v>190</v>
      </c>
      <c r="G37" s="928" t="n">
        <f aca="true">(VLOOKUP(G36,PGL_Sendouts,(CELL("COL",PGL_Deliveries!C10))))/1000</f>
        <v>190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502.55465</v>
      </c>
      <c r="C38" s="928" t="n">
        <f aca="false">PGL_6_Day_Report!E25</f>
        <v>456.718</v>
      </c>
      <c r="D38" s="928" t="n">
        <f aca="false">PGL_6_Day_Report!F25</f>
        <v>350.35</v>
      </c>
      <c r="E38" s="928" t="n">
        <f aca="false">PGL_6_Day_Report!G25</f>
        <v>370.35</v>
      </c>
      <c r="F38" s="928" t="n">
        <f aca="false">PGL_6_Day_Report!H25</f>
        <v>399.1265</v>
      </c>
      <c r="G38" s="928" t="n">
        <f aca="false">PGL_6_Day_Report!I25</f>
        <v>322.55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346.618</v>
      </c>
      <c r="C39" s="928" t="n">
        <f aca="false">SUM(PGL_Supplies!Y8:AD8)/1000</f>
        <v>285.813</v>
      </c>
      <c r="D39" s="928" t="n">
        <f aca="false">SUM(PGL_Supplies!Y9:AD9)/1000</f>
        <v>285.813</v>
      </c>
      <c r="E39" s="928" t="n">
        <f aca="false">SUM(PGL_Supplies!Y10:AD10)/1000</f>
        <v>285.813</v>
      </c>
      <c r="F39" s="928" t="n">
        <f aca="false">SUM(PGL_Supplies!Y11:AD11)/1000</f>
        <v>285.813</v>
      </c>
      <c r="G39" s="928" t="n">
        <f aca="false">SUM(PGL_Supplies!Y12:AD12)/1000</f>
        <v>285.813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e">
        <f aca="false">(PGL_Supplies!M7+#REF!+PGL_Supplies!N7+PGL_Supplies!P7+PGL_Supplies!Q7)/1000</f>
        <v>#REF!</v>
      </c>
      <c r="C40" s="928" t="e">
        <f aca="false">(PGL_Supplies!M8+#REF!+PGL_Supplies!N8+PGL_Supplies!P8+PGL_Supplies!Q8)/1000</f>
        <v>#REF!</v>
      </c>
      <c r="D40" s="928" t="e">
        <f aca="false">(PGL_Supplies!M9+#REF!+PGL_Supplies!N9+PGL_Supplies!P9+PGL_Supplies!Q9)/1000</f>
        <v>#REF!</v>
      </c>
      <c r="E40" s="928" t="e">
        <f aca="false">(PGL_Supplies!M10+#REF!+PGL_Supplies!N10+PGL_Supplies!P10+PGL_Supplies!Q10)/1000</f>
        <v>#REF!</v>
      </c>
      <c r="F40" s="928" t="e">
        <f aca="false">(PGL_Supplies!M11+#REF!+PGL_Supplies!N11+PGL_Supplies!P11+PGL_Supplies!Q11)/1000</f>
        <v>#REF!</v>
      </c>
      <c r="G40" s="928" t="e">
        <f aca="false">(PGL_Supplies!M12+#REF!+PGL_Supplies!N12+PGL_Supplies!P12+PGL_Supplies!Q12)/1000</f>
        <v>#REF!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0.778</v>
      </c>
      <c r="C41" s="928" t="n">
        <f aca="false">SUM(PGL_Requirements!Q7:T7)/1000</f>
        <v>0.778</v>
      </c>
      <c r="D41" s="928" t="n">
        <f aca="false">SUM(PGL_Requirements!Q7:T7)/1000</f>
        <v>0.778</v>
      </c>
      <c r="E41" s="928" t="n">
        <f aca="false">SUM(PGL_Requirements!Q7:T7)/1000</f>
        <v>0.778</v>
      </c>
      <c r="F41" s="928" t="n">
        <f aca="false">SUM(PGL_Requirements!Q7:T7)/1000</f>
        <v>0.778</v>
      </c>
      <c r="G41" s="928" t="n">
        <f aca="false">SUM(PGL_Requirements!Q7:T7)/1000</f>
        <v>0.778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122.407</v>
      </c>
      <c r="C42" s="928" t="n">
        <f aca="false">PGL_Supplies!U8/1000</f>
        <v>122.407</v>
      </c>
      <c r="D42" s="928" t="n">
        <f aca="false">PGL_Supplies!U9/1000</f>
        <v>122.407</v>
      </c>
      <c r="E42" s="928" t="n">
        <f aca="false">PGL_Supplies!U10/1000</f>
        <v>122.407</v>
      </c>
      <c r="F42" s="928" t="n">
        <f aca="false">PGL_Supplies!U11/1000</f>
        <v>122.407</v>
      </c>
      <c r="G42" s="928" t="n">
        <f aca="false">PGL_Supplies!U12/1000</f>
        <v>122.407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37112</v>
      </c>
      <c r="C44" s="927" t="n">
        <f aca="false">C36</f>
        <v>37113</v>
      </c>
      <c r="D44" s="927" t="n">
        <f aca="false">D36</f>
        <v>37114</v>
      </c>
      <c r="E44" s="927" t="n">
        <f aca="false">E36</f>
        <v>37115</v>
      </c>
      <c r="F44" s="927" t="n">
        <f aca="false">F36</f>
        <v>37116</v>
      </c>
      <c r="G44" s="927" t="n">
        <f aca="false">G36</f>
        <v>37117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31.4</v>
      </c>
      <c r="C45" s="928" t="n">
        <f aca="false">NSG_6_Day_Report!E6</f>
        <v>31</v>
      </c>
      <c r="D45" s="928" t="n">
        <f aca="false">NSG_6_Day_Report!F6</f>
        <v>28</v>
      </c>
      <c r="E45" s="928" t="n">
        <f aca="false">NSG_6_Day_Report!G6</f>
        <v>30</v>
      </c>
      <c r="F45" s="928" t="n">
        <f aca="false">NSG_6_Day_Report!H6</f>
        <v>31</v>
      </c>
      <c r="G45" s="928" t="n">
        <f aca="false">NSG_6_Day_Report!I6</f>
        <v>31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38.4</v>
      </c>
      <c r="C46" s="928" t="n">
        <f aca="false">NSG_6_Day_Report!E11</f>
        <v>38</v>
      </c>
      <c r="D46" s="928" t="n">
        <f aca="false">NSG_6_Day_Report!F11</f>
        <v>35</v>
      </c>
      <c r="E46" s="928" t="n">
        <f aca="false">NSG_6_Day_Report!G11</f>
        <v>37</v>
      </c>
      <c r="F46" s="928" t="n">
        <f aca="false">NSG_6_Day_Report!H11</f>
        <v>38</v>
      </c>
      <c r="G46" s="928" t="n">
        <f aca="false">NSG_6_Day_Report!I11</f>
        <v>38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31.894</v>
      </c>
      <c r="C47" s="928" t="n">
        <f aca="false">SUM(NSG_Supplies!O8:Q8)/1000</f>
        <v>31.631</v>
      </c>
      <c r="D47" s="928" t="n">
        <f aca="false">SUM(NSG_Supplies!O9:Q9)/1000</f>
        <v>31.631</v>
      </c>
      <c r="E47" s="928" t="n">
        <f aca="false">SUM(NSG_Supplies!O10:Q10)/1000</f>
        <v>31.631</v>
      </c>
      <c r="F47" s="928" t="n">
        <f aca="false">SUM(NSG_Supplies!O11:Q11)/1000</f>
        <v>31.631</v>
      </c>
      <c r="G47" s="928" t="n">
        <f aca="false">SUM(NSG_Supplies!O12:Q12)/1000</f>
        <v>31.631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14.904</v>
      </c>
      <c r="C50" s="928" t="n">
        <f aca="false">NSG_Supplies!R8/1000</f>
        <v>14.904</v>
      </c>
      <c r="D50" s="928" t="n">
        <f aca="false">NSG_Supplies!R9/1000</f>
        <v>14.904</v>
      </c>
      <c r="E50" s="928" t="n">
        <f aca="false">NSG_Supplies!R10/1000</f>
        <v>14.904</v>
      </c>
      <c r="F50" s="928" t="n">
        <f aca="false">NSG_Supplies!R11/1000</f>
        <v>14.904</v>
      </c>
      <c r="G50" s="928" t="n">
        <f aca="false">NSG_Supplies!R12/1000</f>
        <v>14.904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37112</v>
      </c>
      <c r="C52" s="927" t="n">
        <f aca="false">C36</f>
        <v>37113</v>
      </c>
      <c r="D52" s="927" t="n">
        <f aca="false">D36</f>
        <v>37114</v>
      </c>
      <c r="E52" s="927" t="n">
        <f aca="false">E36</f>
        <v>37115</v>
      </c>
      <c r="F52" s="927" t="n">
        <f aca="false">F36</f>
        <v>37116</v>
      </c>
      <c r="G52" s="927" t="n">
        <f aca="false">G36</f>
        <v>37117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89.11</v>
      </c>
      <c r="C53" s="928" t="n">
        <f aca="false">PGL_Requirements!O8/1000</f>
        <v>145</v>
      </c>
      <c r="D53" s="928" t="n">
        <f aca="false">PGL_Requirements!O9/1000</f>
        <v>150</v>
      </c>
      <c r="E53" s="928" t="n">
        <f aca="false">PGL_Requirements!O10/1000</f>
        <v>150</v>
      </c>
      <c r="F53" s="928" t="n">
        <f aca="false">PGL_Requirements!O11/1000</f>
        <v>150</v>
      </c>
      <c r="G53" s="928" t="n">
        <f aca="false">PGL_Requirements!O12/1000</f>
        <v>130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Friday</v>
      </c>
      <c r="C4" s="942" t="str">
        <f aca="false">Six_Day_Summary!A15</f>
        <v>Saturday</v>
      </c>
      <c r="D4" s="942" t="str">
        <f aca="false">Six_Day_Summary!A20</f>
        <v>Sunday</v>
      </c>
      <c r="E4" s="942" t="str">
        <f aca="false">Six_Day_Summary!A25</f>
        <v>Monday</v>
      </c>
      <c r="F4" s="943" t="str">
        <f aca="false">Six_Day_Summary!A30</f>
        <v>Tuesday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37113</v>
      </c>
      <c r="C5" s="947" t="n">
        <f aca="false">Weather_Input!A7</f>
        <v>37114</v>
      </c>
      <c r="D5" s="947" t="n">
        <f aca="false">Weather_Input!A8</f>
        <v>37115</v>
      </c>
      <c r="E5" s="947" t="n">
        <f aca="false">Weather_Input!A9</f>
        <v>37116</v>
      </c>
      <c r="F5" s="948" t="n">
        <f aca="false">Weather_Input!A10</f>
        <v>37117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42.868</v>
      </c>
      <c r="C6" s="949" t="n">
        <f aca="false">PGL_Supplies!AB9/1000+PGL_Supplies!K9/1000-PGL_Requirements!N9/1000+C15-PGL_Requirements!S9/1000</f>
        <v>2.288</v>
      </c>
      <c r="D6" s="949" t="n">
        <f aca="false">PGL_Supplies!AB10/1000+PGL_Supplies!K10/1000-PGL_Requirements!N10/1000+D15-PGL_Requirements!S10/1000</f>
        <v>2.288</v>
      </c>
      <c r="E6" s="949" t="n">
        <f aca="false">PGL_Supplies!AB11/1000+PGL_Supplies!K11/1000-PGL_Requirements!N11/1000+E15-PGL_Requirements!S11/1000</f>
        <v>2.288</v>
      </c>
      <c r="F6" s="950" t="n">
        <f aca="false">PGL_Supplies!AB12/1000+PGL_Supplies!K12/1000-PGL_Requirements!N12/1000+F15-PGL_Requirements!S12/1000</f>
        <v>29.788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Friday</v>
      </c>
      <c r="C21" s="963" t="str">
        <f aca="false">C4</f>
        <v>Saturday</v>
      </c>
      <c r="D21" s="963" t="str">
        <f aca="false">D4</f>
        <v>Sunday</v>
      </c>
      <c r="E21" s="963" t="str">
        <f aca="false">E4</f>
        <v>Monday</v>
      </c>
      <c r="F21" s="964" t="str">
        <f aca="false">F4</f>
        <v>Tuesday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37113</v>
      </c>
      <c r="C22" s="966" t="n">
        <f aca="false">C5</f>
        <v>37114</v>
      </c>
      <c r="D22" s="966" t="n">
        <f aca="false">D5</f>
        <v>37115</v>
      </c>
      <c r="E22" s="966" t="n">
        <f aca="false">E5</f>
        <v>37116</v>
      </c>
      <c r="F22" s="967" t="n">
        <f aca="false">F5</f>
        <v>37117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31.001</v>
      </c>
      <c r="C23" s="955" t="n">
        <f aca="false">NSG_Supplies!Q9/1000+NSG_Supplies!F9/1000-NSG_Requirements!H9/1000</f>
        <v>24.631</v>
      </c>
      <c r="D23" s="955" t="n">
        <f aca="false">NSG_Supplies!Q10/1000+NSG_Supplies!F10/1000-NSG_Requirements!H10/1000</f>
        <v>24.631</v>
      </c>
      <c r="E23" s="955" t="n">
        <f aca="false">NSG_Supplies!Q12/1000+NSG_Supplies!F11/1000-NSG_Requirements!H11/1000</f>
        <v>24.631</v>
      </c>
      <c r="F23" s="950" t="n">
        <f aca="false">NSG_Supplies!Q12/1000+NSG_Supplies!F12/1000-NSG_Requirements!H12/1000</f>
        <v>24.631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37113</v>
      </c>
      <c r="D1" s="971" t="s">
        <v>633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7</v>
      </c>
      <c r="E3" s="403"/>
      <c r="F3" s="977" t="s">
        <v>279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637</v>
      </c>
      <c r="G4" s="95"/>
      <c r="H4" s="981" t="n">
        <f aca="false">PGL_Requirements!O8/1000</f>
        <v>145</v>
      </c>
      <c r="I4" s="982" t="n">
        <f aca="false">AVERAGE(H4/1.025)</f>
        <v>141.463414634146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6.04166666666667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15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208.108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91.821</v>
      </c>
      <c r="D11" s="489"/>
      <c r="E11" s="996"/>
      <c r="F11" s="997" t="s">
        <v>649</v>
      </c>
      <c r="G11" s="998" t="n">
        <f aca="false">G8+G10</f>
        <v>223.108</v>
      </c>
      <c r="H11" s="263"/>
      <c r="I11" s="369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</f>
        <v>91.821</v>
      </c>
      <c r="D14" s="482"/>
      <c r="E14" s="985" t="n">
        <f aca="false">AVERAGE(C14/24)</f>
        <v>3.825875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35.418</v>
      </c>
      <c r="D15" s="95"/>
      <c r="E15" s="403"/>
      <c r="F15" s="1001" t="s">
        <v>657</v>
      </c>
      <c r="G15" s="998" t="n">
        <f aca="false">SUM(G11)-G16-G17-H13</f>
        <v>96.058</v>
      </c>
      <c r="H15" s="482" t="s">
        <v>0</v>
      </c>
      <c r="I15" s="985" t="n">
        <f aca="false">AVERAGE(G15/24)</f>
        <v>4.00241666666667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35.418</v>
      </c>
      <c r="E16" s="403"/>
      <c r="F16" s="1001" t="s">
        <v>658</v>
      </c>
      <c r="G16" s="984" t="n">
        <f aca="false">PGL_Requirements!G8/1000</f>
        <v>77.05</v>
      </c>
      <c r="H16" s="984" t="s">
        <v>0</v>
      </c>
      <c r="I16" s="985" t="n">
        <f aca="false">AVERAGE(G16/24)</f>
        <v>3.21041666666667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0</v>
      </c>
      <c r="D17" s="263"/>
      <c r="E17" s="369"/>
      <c r="F17" s="1002" t="s">
        <v>659</v>
      </c>
      <c r="G17" s="984" t="n">
        <f aca="false">PGL_Requirements!J8/1000</f>
        <v>50</v>
      </c>
      <c r="H17" s="1003"/>
      <c r="I17" s="1004" t="n">
        <f aca="false">AVERAGE(G17/24)</f>
        <v>2.08333333333333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0</v>
      </c>
      <c r="D20" s="1010" t="s">
        <v>0</v>
      </c>
      <c r="E20" s="985" t="n">
        <f aca="false">AVERAGE(C20/24)</f>
        <v>0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12.499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3"/>
      <c r="E22" s="369"/>
      <c r="F22" s="997" t="s">
        <v>649</v>
      </c>
      <c r="G22" s="998" t="n">
        <f aca="false">G21</f>
        <v>12.499</v>
      </c>
      <c r="H22" s="263"/>
      <c r="I22" s="369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0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12.499</v>
      </c>
      <c r="H25" s="439"/>
      <c r="I25" s="1013" t="n">
        <f aca="false">AVERAGE(G25/24)</f>
        <v>0.520791666666667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3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37113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335</v>
      </c>
      <c r="F2" s="1025" t="n">
        <v>340</v>
      </c>
      <c r="H2" s="1022"/>
      <c r="I2" s="1021" t="s">
        <v>682</v>
      </c>
      <c r="J2" s="1026" t="n">
        <f aca="false">NSG_Supplies!P8/1000</f>
        <v>7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20</v>
      </c>
      <c r="H9" s="1026" t="n">
        <f aca="false">NSG_Supplies!Q8/1000+NSG_Supplies!F8/1000-NSG_Requirements!H8/1000</f>
        <v>31.001</v>
      </c>
      <c r="I9" s="1034"/>
      <c r="K9" s="1021" t="s">
        <v>686</v>
      </c>
      <c r="L9" s="1026" t="n">
        <f aca="false">NSG_Deliveries!C6/1000</f>
        <v>31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0.00100000000000122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91.821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340</v>
      </c>
      <c r="D15" s="1014" t="n">
        <v>410</v>
      </c>
      <c r="F15" s="1037" t="n">
        <v>340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568</v>
      </c>
      <c r="D18" s="1041"/>
      <c r="E18" s="1041"/>
      <c r="F18" s="1025" t="n">
        <v>806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96.058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94.365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12.499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185</v>
      </c>
      <c r="L26" s="1021" t="s">
        <v>686</v>
      </c>
      <c r="M26" s="1026" t="n">
        <f aca="false">NSG_Deliveries!C6/1000</f>
        <v>31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-0.672000000000026</v>
      </c>
      <c r="L28" s="1016" t="s">
        <v>699</v>
      </c>
      <c r="M28" s="1029" t="n">
        <f aca="false">SUM(J2+K17+K19+H11+H9-M26)</f>
        <v>7.00100000000001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37112</v>
      </c>
      <c r="G29" s="1026" t="n">
        <f aca="false">PGL_Requirements!G7/1000</f>
        <v>198.218</v>
      </c>
      <c r="H29" s="1033"/>
      <c r="J29" s="1016" t="s">
        <v>700</v>
      </c>
      <c r="K29" s="1026" t="n">
        <f aca="false">PGL_Supplies!AB8/1000+PGL_Supplies!K8/1000-PGL_Requirements!N8/1000</f>
        <v>42.868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37113</v>
      </c>
      <c r="G30" s="1026" t="n">
        <f aca="false">PGL_Requirements!G8/1000</f>
        <v>77.05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-142.804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145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570</v>
      </c>
      <c r="F38" s="1037" t="n">
        <v>753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221.378</v>
      </c>
      <c r="B40" s="1036"/>
      <c r="C40" s="1055"/>
      <c r="D40" s="1036"/>
      <c r="E40" s="1036"/>
      <c r="F40" s="1026"/>
      <c r="G40" s="1026" t="n">
        <f aca="false">SUM(G30:G35)</f>
        <v>222.05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-0.672000000000026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340</v>
      </c>
      <c r="E45" s="1064"/>
      <c r="F45" s="1065" t="n">
        <v>0.067</v>
      </c>
      <c r="G45" s="1066" t="n">
        <f aca="false">(C45-D45)*F45</f>
        <v>4.69</v>
      </c>
      <c r="H45" s="1066" t="n">
        <f aca="false">(D45-B45)*F45</f>
        <v>6.03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337.5</v>
      </c>
      <c r="E47" s="1064"/>
      <c r="F47" s="1065" t="n">
        <v>0.141</v>
      </c>
      <c r="G47" s="1066" t="n">
        <f aca="false">(C47-D47)*F47</f>
        <v>10.2225</v>
      </c>
      <c r="H47" s="1066" t="n">
        <f aca="false">(D47-B47)*F47</f>
        <v>12.3375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285</v>
      </c>
      <c r="C48" s="1062" t="n">
        <v>750</v>
      </c>
      <c r="D48" s="1063" t="n">
        <f aca="false">SUM(C18+C38)/2</f>
        <v>569</v>
      </c>
      <c r="E48" s="1064"/>
      <c r="F48" s="1065" t="n">
        <v>0.161</v>
      </c>
      <c r="G48" s="1066" t="n">
        <f aca="false">(C48-D48)*F48</f>
        <v>29.141</v>
      </c>
      <c r="H48" s="1066" t="n">
        <f aca="false">(D48-B48)*F48</f>
        <v>45.724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44.0535</v>
      </c>
      <c r="H49" s="1066" t="n">
        <f aca="false">SUM(H45:H48)</f>
        <v>64.0915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37112</v>
      </c>
      <c r="B5" s="18" t="n">
        <v>94</v>
      </c>
      <c r="C5" s="19" t="n">
        <v>67</v>
      </c>
      <c r="D5" s="19" t="n">
        <v>9.4</v>
      </c>
      <c r="E5" s="18" t="n">
        <v>80.2</v>
      </c>
      <c r="F5" s="18" t="n">
        <v>0</v>
      </c>
      <c r="G5" s="18" t="n">
        <v>93</v>
      </c>
      <c r="H5" s="18" t="n">
        <v>0</v>
      </c>
      <c r="I5" s="20" t="s">
        <v>29</v>
      </c>
      <c r="J5" s="20" t="s">
        <v>30</v>
      </c>
      <c r="K5" s="18" t="n">
        <v>1</v>
      </c>
      <c r="L5" s="18" t="n">
        <v>1</v>
      </c>
      <c r="N5" s="13" t="str">
        <f aca="false">I5&amp;" "&amp;I5</f>
        <v> PARTLY SUNNY…HOT AND HUMID.   CHANCE  OF AFTERNOON T-STORMS  PARTLY SUNNY…HOT AND HUMID.   CHANCE  OF AFTERNOON T-STORMS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37113</v>
      </c>
      <c r="B6" s="18" t="n">
        <v>78</v>
      </c>
      <c r="C6" s="19" t="n">
        <v>58</v>
      </c>
      <c r="D6" s="19" t="n">
        <v>9.5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33</v>
      </c>
      <c r="K6" s="18" t="n">
        <v>1</v>
      </c>
      <c r="L6" s="18" t="s">
        <v>34</v>
      </c>
      <c r="N6" s="13" t="str">
        <f aca="false">I6&amp;" "&amp;J6</f>
        <v>  MOSTLY  SUNNY…COOLER AND  LESS HUMID.  WIND  NE  10 TO 20.    TONIGHT  CLEAR  AND  COOL  WITH  LIGHT  WINDS.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37114</v>
      </c>
      <c r="B7" s="18" t="n">
        <v>79</v>
      </c>
      <c r="C7" s="19" t="n">
        <v>61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PARTLY  SUNNY  AND  PLEASANT  </v>
      </c>
    </row>
    <row r="8" customFormat="false" ht="16.5" hidden="false" customHeight="true" outlineLevel="0" collapsed="false">
      <c r="A8" s="17" t="n">
        <f aca="false">A7+1</f>
        <v>37115</v>
      </c>
      <c r="B8" s="18" t="n">
        <v>81</v>
      </c>
      <c r="C8" s="19" t="n">
        <v>65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3</v>
      </c>
      <c r="L8" s="18"/>
      <c r="N8" s="13" t="str">
        <f aca="false">I8&amp;" "&amp;J8</f>
        <v>  PARTLY CLOUDY  </v>
      </c>
    </row>
    <row r="9" customFormat="false" ht="16.5" hidden="false" customHeight="true" outlineLevel="0" collapsed="false">
      <c r="A9" s="17" t="n">
        <f aca="false">A8+1</f>
        <v>37116</v>
      </c>
      <c r="B9" s="18" t="n">
        <v>78</v>
      </c>
      <c r="C9" s="19" t="n">
        <v>60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  SUNNY  </v>
      </c>
    </row>
    <row r="10" customFormat="false" ht="16.5" hidden="false" customHeight="true" outlineLevel="0" collapsed="false">
      <c r="A10" s="17" t="n">
        <f aca="false">A9+1</f>
        <v>37117</v>
      </c>
      <c r="B10" s="18" t="n">
        <v>80</v>
      </c>
      <c r="C10" s="19" t="n">
        <v>65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1</v>
      </c>
      <c r="L10" s="18" t="s">
        <v>39</v>
      </c>
      <c r="N10" s="13" t="str">
        <f aca="false">I10&amp;" "&amp;J10</f>
        <v>  SUNNY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207.342</v>
      </c>
      <c r="C2" s="95"/>
      <c r="D2" s="1073" t="s">
        <v>680</v>
      </c>
      <c r="E2" s="1074" t="n">
        <f aca="false">Weather_Input!A5</f>
        <v>37112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305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3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27.1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91.568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118.668</v>
      </c>
      <c r="C7" s="1085"/>
      <c r="D7" s="73" t="s">
        <v>728</v>
      </c>
      <c r="E7" s="981" t="n">
        <f aca="false">PGL_Deliveries!P5/1000</f>
        <v>0.001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/>
      <c r="C8" s="1090"/>
      <c r="D8" s="73" t="s">
        <v>730</v>
      </c>
      <c r="E8" s="981" t="n">
        <f aca="false">PGL_Deliveries!Q5/1000</f>
        <v>0.706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86.324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731</v>
      </c>
      <c r="E10" s="981" t="n">
        <f aca="false">PGL_Deliveries!O5/1000</f>
        <v>3.735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0.417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15.876</v>
      </c>
      <c r="C12" s="71"/>
      <c r="D12" s="73" t="s">
        <v>469</v>
      </c>
      <c r="E12" s="981" t="n">
        <f aca="false">PGL_Deliveries!T5/1000</f>
        <v>4.268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1.385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335.392</v>
      </c>
      <c r="C14" s="71"/>
      <c r="D14" s="73" t="s">
        <v>472</v>
      </c>
      <c r="E14" s="981" t="n">
        <f aca="false">PGL_Deliveries!G5/1000</f>
        <v>8.679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43.768</v>
      </c>
      <c r="C15" s="71"/>
      <c r="D15" s="73" t="s">
        <v>473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-57.253</v>
      </c>
      <c r="C16" s="71"/>
      <c r="D16" s="73" t="s">
        <v>475</v>
      </c>
      <c r="E16" s="981" t="n">
        <f aca="false">PGL_Deliveries!H5/1000</f>
        <v>68.155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12.856</v>
      </c>
      <c r="D17" s="73" t="s">
        <v>477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0</v>
      </c>
      <c r="C18" s="71" t="s">
        <v>0</v>
      </c>
      <c r="D18" s="73" t="s">
        <v>481</v>
      </c>
      <c r="E18" s="981" t="n">
        <f aca="false">PGL_Deliveries!L5/1000</f>
        <v>0.003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94.365</v>
      </c>
      <c r="D19" s="37" t="s">
        <v>479</v>
      </c>
      <c r="E19" s="981" t="n">
        <f aca="false">PGL_Deliveries!M5/1000</f>
        <v>1.325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198.218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SUM(B9:B20)-C17-C19-C20</f>
        <v>118.668</v>
      </c>
      <c r="C21" s="1094"/>
      <c r="D21" s="1095" t="s">
        <v>738</v>
      </c>
      <c r="E21" s="1096" t="n">
        <f aca="false">SUM(E7:E20)</f>
        <v>88.674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85.911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32.50865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0</v>
      </c>
      <c r="D24" s="1097" t="s">
        <v>739</v>
      </c>
      <c r="E24" s="1088" t="n">
        <f aca="false">SUM(E21:E23)</f>
        <v>121.18265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85.911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0.418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0.418</v>
      </c>
      <c r="D27" s="1101" t="s">
        <v>743</v>
      </c>
      <c r="E27" s="95" t="s">
        <v>0</v>
      </c>
      <c r="F27" s="982" t="n">
        <f aca="false">PGL_Deliveries!AS5/1000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0</v>
      </c>
      <c r="C28" s="71"/>
      <c r="D28" s="1103" t="s">
        <v>745</v>
      </c>
      <c r="E28" s="981" t="n">
        <f aca="false">PGL_Deliveries!AT5/1000</f>
        <v>72.839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48.344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42.499</v>
      </c>
      <c r="C32" s="71"/>
      <c r="D32" s="1106" t="s">
        <v>389</v>
      </c>
      <c r="E32" s="1088" t="n">
        <f aca="false">SUM(E25:E31)-SUM(F26:F31)-E29</f>
        <v>121.183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43.768</v>
      </c>
      <c r="C36" s="71"/>
      <c r="D36" s="1108" t="s">
        <v>754</v>
      </c>
      <c r="E36" s="1078"/>
      <c r="F36" s="982" t="n">
        <f aca="false">PGL_Requirements!J7/1000</f>
        <v>94.365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09" t="n">
        <f aca="false">PGL_Supplies!AA7/1000</f>
        <v>255.357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09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1091" t="n">
        <f aca="false">PGL_Requirements!O7/1000</f>
        <v>89.11</v>
      </c>
      <c r="D39" s="95" t="s">
        <v>643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09" t="n">
        <f aca="false">PGL_Supplies!R7/1000</f>
        <v>49.098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1.045</v>
      </c>
      <c r="C42" s="71"/>
      <c r="D42" s="30" t="s">
        <v>762</v>
      </c>
      <c r="E42" s="95"/>
      <c r="F42" s="982" t="n">
        <f aca="false">PGL_Deliveries!BG5/1000</f>
        <v>198.218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0" t="s">
        <v>763</v>
      </c>
      <c r="E43" s="82"/>
      <c r="F43" s="1111" t="n">
        <f aca="false">PGL_Deliveries!BH5/1000</f>
        <v>94.365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31.172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94</v>
      </c>
      <c r="F45" s="357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1.33665</v>
      </c>
      <c r="C46" s="71"/>
      <c r="D46" s="975" t="s">
        <v>768</v>
      </c>
      <c r="E46" s="1112" t="n">
        <f aca="false">Weather_Input!C5</f>
        <v>67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1" t="n">
        <f aca="false">PGL_Requirements!Q7/1000</f>
        <v>0.36</v>
      </c>
      <c r="D47" s="999" t="s">
        <v>770</v>
      </c>
      <c r="E47" s="95" t="n">
        <f aca="false">Weather_Input!E5</f>
        <v>80.2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3" t="n">
        <f aca="false">Weather_Input!D5</f>
        <v>9.4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15.876</v>
      </c>
      <c r="C49" s="403"/>
      <c r="D49" s="975" t="s">
        <v>773</v>
      </c>
      <c r="E49" s="981" t="n">
        <f aca="false">PGL_Deliveries!AO5/1000</f>
        <v>1.02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0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4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5" t="s">
        <v>777</v>
      </c>
      <c r="B3" s="1116" t="n">
        <f aca="false">NSG_Deliveries!H5/1000</f>
        <v>31.756</v>
      </c>
      <c r="C3" s="483"/>
      <c r="D3" s="1117" t="s">
        <v>680</v>
      </c>
      <c r="E3" s="1118" t="n">
        <f aca="false">Weather_Input!A5</f>
        <v>37112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19"/>
      <c r="C4" s="1120"/>
      <c r="D4" s="41"/>
      <c r="E4" s="41"/>
      <c r="F4" s="1121"/>
      <c r="G4" s="0"/>
      <c r="J4" s="0"/>
      <c r="K4" s="0"/>
    </row>
    <row r="5" customFormat="false" ht="15" hidden="false" customHeight="false" outlineLevel="0" collapsed="false">
      <c r="A5" s="1122" t="s">
        <v>434</v>
      </c>
      <c r="B5" s="1123" t="n">
        <f aca="false">NSG_Deliveries!E5/1000</f>
        <v>31.756</v>
      </c>
      <c r="C5" s="1124"/>
      <c r="D5" s="1125" t="s">
        <v>690</v>
      </c>
      <c r="E5" s="1126" t="n">
        <f aca="false">NSG_Deliveries!D5/1000</f>
        <v>0</v>
      </c>
      <c r="F5" s="1127"/>
      <c r="G5" s="0"/>
      <c r="J5" s="0"/>
      <c r="K5" s="0"/>
    </row>
    <row r="6" customFormat="false" ht="15" hidden="false" customHeight="true" outlineLevel="0" collapsed="false">
      <c r="A6" s="254"/>
      <c r="B6" s="1119"/>
      <c r="C6" s="1120"/>
      <c r="D6" s="41"/>
      <c r="E6" s="41"/>
      <c r="F6" s="1128"/>
      <c r="G6" s="0"/>
    </row>
    <row r="7" customFormat="false" ht="15" hidden="false" customHeight="true" outlineLevel="0" collapsed="false">
      <c r="A7" s="1122" t="s">
        <v>778</v>
      </c>
      <c r="B7" s="1126" t="n">
        <f aca="false">NSG_Deliveries!G5/1000</f>
        <v>0</v>
      </c>
      <c r="C7" s="1129"/>
      <c r="D7" s="1125" t="s">
        <v>779</v>
      </c>
      <c r="E7" s="1126" t="n">
        <f aca="false">NSG_Supplies!T7/1000</f>
        <v>0</v>
      </c>
      <c r="F7" s="1130"/>
      <c r="G7" s="0"/>
    </row>
    <row r="8" customFormat="false" ht="15" hidden="false" customHeight="true" outlineLevel="0" collapsed="false">
      <c r="A8" s="1131" t="s">
        <v>389</v>
      </c>
      <c r="B8" s="1126" t="n">
        <f aca="false">B5+B7</f>
        <v>31.756</v>
      </c>
      <c r="C8" s="403"/>
      <c r="D8" s="1132" t="s">
        <v>780</v>
      </c>
      <c r="E8" s="1133" t="n">
        <f aca="false">NSG_Deliveries!F5/1000</f>
        <v>0</v>
      </c>
      <c r="F8" s="265"/>
      <c r="G8" s="0"/>
    </row>
    <row r="9" customFormat="false" ht="15" hidden="false" customHeight="true" outlineLevel="0" collapsed="false">
      <c r="A9" s="1134" t="s">
        <v>631</v>
      </c>
      <c r="B9" s="1135" t="s">
        <v>0</v>
      </c>
      <c r="C9" s="1136" t="n">
        <f aca="false">NSG_Requirements!L7/1000</f>
        <v>0</v>
      </c>
      <c r="D9" s="29" t="s">
        <v>307</v>
      </c>
      <c r="E9" s="1137" t="s">
        <v>0</v>
      </c>
      <c r="F9" s="1138" t="n">
        <f aca="false">NSG_Deliveries!M5/1000</f>
        <v>7</v>
      </c>
      <c r="G9" s="40"/>
    </row>
    <row r="10" customFormat="false" ht="15" hidden="false" customHeight="true" outlineLevel="0" collapsed="false">
      <c r="A10" s="1139" t="s">
        <v>781</v>
      </c>
      <c r="B10" s="1140" t="n">
        <f aca="false">NSG_Supplies!G7/1000</f>
        <v>0</v>
      </c>
      <c r="C10" s="1141"/>
      <c r="D10" s="1142" t="s">
        <v>782</v>
      </c>
      <c r="E10" s="1143" t="n">
        <f aca="false">NSG_Deliveries!N5/1000</f>
        <v>0</v>
      </c>
      <c r="F10" s="1144"/>
      <c r="G10" s="0"/>
    </row>
    <row r="11" customFormat="false" ht="15" hidden="false" customHeight="true" outlineLevel="0" collapsed="false">
      <c r="A11" s="1145" t="s">
        <v>783</v>
      </c>
      <c r="B11" s="1146" t="s">
        <v>0</v>
      </c>
      <c r="C11" s="1147"/>
      <c r="D11" s="986" t="s">
        <v>784</v>
      </c>
      <c r="E11" s="1148" t="n">
        <f aca="false">NSG_Supplies!P7/1000</f>
        <v>7</v>
      </c>
      <c r="F11" s="1149"/>
      <c r="G11" s="0"/>
    </row>
    <row r="12" customFormat="false" ht="15" hidden="false" customHeight="true" outlineLevel="0" collapsed="false">
      <c r="A12" s="1139" t="s">
        <v>785</v>
      </c>
      <c r="B12" s="1140" t="n">
        <v>0</v>
      </c>
      <c r="C12" s="1120"/>
      <c r="D12" s="0" t="s">
        <v>786</v>
      </c>
      <c r="E12" s="1119"/>
      <c r="F12" s="1150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9" t="s">
        <v>787</v>
      </c>
      <c r="B13" s="1140" t="n">
        <f aca="false">NSG_Supplies!Q7/1000</f>
        <v>24.894</v>
      </c>
      <c r="C13" s="1120"/>
      <c r="D13" s="1151" t="s">
        <v>788</v>
      </c>
      <c r="E13" s="1152"/>
      <c r="F13" s="1153"/>
      <c r="G13" s="0"/>
    </row>
    <row r="14" customFormat="false" ht="15" hidden="false" customHeight="true" outlineLevel="0" collapsed="false">
      <c r="A14" s="1139" t="s">
        <v>450</v>
      </c>
      <c r="B14" s="1140" t="n">
        <f aca="false">NSG_Supplies!C7/1000</f>
        <v>0</v>
      </c>
      <c r="C14" s="1120"/>
      <c r="D14" s="1154" t="s">
        <v>789</v>
      </c>
      <c r="E14" s="1155" t="s">
        <v>0</v>
      </c>
      <c r="F14" s="1156" t="n">
        <f aca="false">NSG_Requirements!M7/1000</f>
        <v>0</v>
      </c>
    </row>
    <row r="15" customFormat="false" ht="15" hidden="false" customHeight="true" outlineLevel="0" collapsed="false">
      <c r="A15" s="1157" t="s">
        <v>790</v>
      </c>
      <c r="B15" s="1154"/>
      <c r="C15" s="1136" t="n">
        <f aca="false">NSG_Deliveries!K5/1000</f>
        <v>0</v>
      </c>
      <c r="D15" s="1158" t="s">
        <v>791</v>
      </c>
      <c r="E15" s="1159" t="n">
        <f aca="false">+NSG_Supplies!N7/1000</f>
        <v>0</v>
      </c>
      <c r="F15" s="1160"/>
    </row>
    <row r="16" customFormat="false" ht="15" hidden="false" customHeight="true" outlineLevel="0" collapsed="false">
      <c r="A16" s="1157" t="s">
        <v>792</v>
      </c>
      <c r="B16" s="1143" t="n">
        <f aca="false">NSG_Deliveries!L5/1000</f>
        <v>6.862</v>
      </c>
      <c r="C16" s="1161"/>
      <c r="D16" s="1162" t="s">
        <v>504</v>
      </c>
      <c r="E16" s="1163" t="s">
        <v>0</v>
      </c>
      <c r="F16" s="1156" t="n">
        <f aca="false">NSG_Requirements!X7/1000</f>
        <v>0</v>
      </c>
    </row>
    <row r="17" customFormat="false" ht="15" hidden="false" customHeight="true" outlineLevel="0" collapsed="false">
      <c r="A17" s="1139" t="s">
        <v>793</v>
      </c>
      <c r="B17" s="1154"/>
      <c r="C17" s="1136" t="n">
        <f aca="false">NSG_Requirements!P7/1000</f>
        <v>0</v>
      </c>
      <c r="D17" s="1164" t="s">
        <v>794</v>
      </c>
      <c r="E17" s="439"/>
      <c r="F17" s="1165"/>
    </row>
    <row r="18" customFormat="false" ht="15" hidden="false" customHeight="true" outlineLevel="0" collapsed="false">
      <c r="A18" s="1139" t="s">
        <v>795</v>
      </c>
      <c r="B18" s="1140" t="n">
        <f aca="false">NSG_Supplies!H7/1000</f>
        <v>0</v>
      </c>
      <c r="C18" s="1120"/>
      <c r="D18" s="71" t="s">
        <v>796</v>
      </c>
      <c r="E18" s="41"/>
      <c r="F18" s="1156" t="n">
        <f aca="false">NSG_Requirements!N7/1000</f>
        <v>0</v>
      </c>
    </row>
    <row r="19" customFormat="false" ht="15" hidden="false" customHeight="true" outlineLevel="0" collapsed="false">
      <c r="A19" s="1157" t="s">
        <v>0</v>
      </c>
      <c r="B19" s="1143" t="s">
        <v>0</v>
      </c>
      <c r="C19" s="1166" t="s">
        <v>0</v>
      </c>
      <c r="D19" s="1167" t="s">
        <v>797</v>
      </c>
      <c r="E19" s="41"/>
      <c r="F19" s="1156" t="n">
        <f aca="false">NSG_Requirements!S7/1000</f>
        <v>0</v>
      </c>
    </row>
    <row r="20" customFormat="false" ht="15" hidden="false" customHeight="true" outlineLevel="0" collapsed="false">
      <c r="A20" s="1157" t="s">
        <v>0</v>
      </c>
      <c r="B20" s="1143" t="s">
        <v>0</v>
      </c>
      <c r="C20" s="1166" t="s">
        <v>0</v>
      </c>
      <c r="D20" s="1154" t="s">
        <v>798</v>
      </c>
      <c r="E20" s="41"/>
      <c r="F20" s="1156" t="n">
        <f aca="false">NSG_Requirements!O7/1000</f>
        <v>0</v>
      </c>
    </row>
    <row r="21" customFormat="false" ht="15" hidden="false" customHeight="true" outlineLevel="0" collapsed="false">
      <c r="A21" s="1157" t="s">
        <v>0</v>
      </c>
      <c r="B21" s="1143" t="s">
        <v>0</v>
      </c>
      <c r="C21" s="1166" t="s">
        <v>0</v>
      </c>
      <c r="D21" s="1168" t="s">
        <v>799</v>
      </c>
      <c r="E21" s="1140" t="n">
        <f aca="false">NSG_Supplies!K7/1000</f>
        <v>0</v>
      </c>
      <c r="F21" s="1169"/>
    </row>
    <row r="22" customFormat="false" ht="15" hidden="false" customHeight="true" outlineLevel="0" collapsed="false">
      <c r="A22" s="1139" t="s">
        <v>0</v>
      </c>
      <c r="B22" s="1154" t="s">
        <v>0</v>
      </c>
      <c r="C22" s="1136" t="s">
        <v>0</v>
      </c>
      <c r="D22" s="1168" t="s">
        <v>800</v>
      </c>
      <c r="E22" s="1140" t="n">
        <f aca="false">NSG_Supplies!L7/1000</f>
        <v>0</v>
      </c>
      <c r="F22" s="1169"/>
    </row>
    <row r="23" customFormat="false" ht="15" hidden="false" customHeight="true" outlineLevel="0" collapsed="false">
      <c r="A23" s="1139" t="s">
        <v>0</v>
      </c>
      <c r="B23" s="1154" t="s">
        <v>0</v>
      </c>
      <c r="C23" s="1136" t="s">
        <v>0</v>
      </c>
      <c r="D23" s="1168" t="s">
        <v>801</v>
      </c>
      <c r="E23" s="1140" t="n">
        <f aca="false">PGL_Supplies!Q7/1000</f>
        <v>0</v>
      </c>
      <c r="F23" s="1156" t="s">
        <v>0</v>
      </c>
    </row>
    <row r="24" customFormat="false" ht="15" hidden="false" customHeight="true" outlineLevel="0" collapsed="false">
      <c r="A24" s="1139" t="s">
        <v>0</v>
      </c>
      <c r="B24" s="1140" t="s">
        <v>0</v>
      </c>
      <c r="C24" s="1120" t="s">
        <v>0</v>
      </c>
      <c r="D24" s="1168" t="s">
        <v>802</v>
      </c>
      <c r="E24" s="1140" t="n">
        <f aca="false">NSG_Supplies!O7/1000</f>
        <v>0</v>
      </c>
      <c r="F24" s="1128"/>
    </row>
    <row r="25" customFormat="false" ht="15" hidden="false" customHeight="true" outlineLevel="0" collapsed="false">
      <c r="A25" s="1157" t="s">
        <v>0</v>
      </c>
      <c r="B25" s="1154" t="s">
        <v>0</v>
      </c>
      <c r="C25" s="1136" t="s">
        <v>0</v>
      </c>
      <c r="D25" s="1168" t="s">
        <v>803</v>
      </c>
      <c r="E25" s="1140" t="n">
        <f aca="false">PGL_Requirements!V71/1000</f>
        <v>0</v>
      </c>
      <c r="F25" s="288"/>
    </row>
    <row r="26" customFormat="false" ht="15" hidden="false" customHeight="true" outlineLevel="0" collapsed="false">
      <c r="A26" s="1170" t="s">
        <v>0</v>
      </c>
      <c r="B26" s="1171" t="s">
        <v>0</v>
      </c>
      <c r="C26" s="1124"/>
      <c r="D26" s="1172" t="s">
        <v>804</v>
      </c>
      <c r="E26" s="1173"/>
      <c r="F26" s="1156" t="n">
        <f aca="false">NSG_Requirements!D7/1000</f>
        <v>0</v>
      </c>
    </row>
    <row r="27" customFormat="false" ht="15" hidden="false" customHeight="true" outlineLevel="0" collapsed="false">
      <c r="A27" s="1174" t="s">
        <v>389</v>
      </c>
      <c r="B27" s="1175" t="n">
        <f aca="false">SUM(B9:B26)-SUM(C9:C26)</f>
        <v>31.756</v>
      </c>
      <c r="C27" s="1176"/>
      <c r="D27" s="1177" t="s">
        <v>805</v>
      </c>
      <c r="E27" s="1175" t="n">
        <f aca="false">SUM(E18:E26)-SUM(F18:F26)</f>
        <v>0</v>
      </c>
      <c r="F27" s="1178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79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79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0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279.906</v>
      </c>
      <c r="E5" s="1181" t="n">
        <f aca="false">SUM(PGL_Nine_to_Nine!F24)*2</f>
        <v>198.218</v>
      </c>
      <c r="G5" s="1181" t="n">
        <f aca="false">SUM(C5-E5)</f>
        <v>81.688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1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S1" colorId="64" zoomScale="75" zoomScaleNormal="75" zoomScalePageLayoutView="100" workbookViewId="0">
      <selection pane="topLeft" activeCell="AC6" activeCellId="0" sqref="AC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37112</v>
      </c>
      <c r="B5" s="29" t="n">
        <f aca="false">(Weather_Input!B5+Weather_Input!C5)/2</f>
        <v>80.5</v>
      </c>
      <c r="C5" s="46" t="n">
        <v>205000</v>
      </c>
      <c r="D5" s="47" t="n">
        <v>27100</v>
      </c>
      <c r="E5" s="47" t="n">
        <v>0</v>
      </c>
      <c r="F5" s="47" t="n">
        <v>0</v>
      </c>
      <c r="G5" s="47" t="n">
        <v>8679</v>
      </c>
      <c r="H5" s="47" t="n">
        <v>68155</v>
      </c>
      <c r="I5" s="47" t="n">
        <v>91568</v>
      </c>
      <c r="J5" s="47" t="n">
        <v>0</v>
      </c>
      <c r="K5" s="47" t="n">
        <v>0</v>
      </c>
      <c r="L5" s="47" t="n">
        <v>3</v>
      </c>
      <c r="M5" s="47" t="n">
        <v>1325</v>
      </c>
      <c r="N5" s="47" t="n">
        <v>0</v>
      </c>
      <c r="O5" s="47" t="n">
        <v>3735</v>
      </c>
      <c r="P5" s="47" t="n">
        <v>1</v>
      </c>
      <c r="Q5" s="47" t="n">
        <v>706</v>
      </c>
      <c r="R5" s="47" t="n">
        <v>417</v>
      </c>
      <c r="S5" s="47" t="n">
        <v>1385</v>
      </c>
      <c r="T5" s="48" t="n">
        <v>4268</v>
      </c>
      <c r="U5" s="49" t="n">
        <v>0</v>
      </c>
      <c r="V5" s="46" t="n">
        <f aca="false">SUM(D5:T5)-U5</f>
        <v>207342</v>
      </c>
      <c r="W5" s="46" t="n">
        <v>86324</v>
      </c>
      <c r="X5" s="18" t="n">
        <v>0</v>
      </c>
      <c r="Y5" s="18" t="n">
        <v>0</v>
      </c>
      <c r="Z5" s="18" t="n">
        <v>0</v>
      </c>
      <c r="AA5" s="18" t="n">
        <v>167318</v>
      </c>
      <c r="AB5" s="18" t="n">
        <v>168074</v>
      </c>
      <c r="AC5" s="18" t="n">
        <v>94365</v>
      </c>
      <c r="AD5" s="18" t="n">
        <v>0</v>
      </c>
      <c r="AE5" s="18" t="n">
        <v>0</v>
      </c>
      <c r="AF5" s="18" t="n">
        <v>43768</v>
      </c>
      <c r="AG5" s="18" t="n">
        <v>31172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15876</v>
      </c>
      <c r="AM5" s="18" t="n">
        <v>0</v>
      </c>
      <c r="AN5" s="18" t="n">
        <v>0</v>
      </c>
      <c r="AO5" s="29" t="n">
        <v>1020</v>
      </c>
      <c r="AP5" s="29"/>
      <c r="AQ5" s="29" t="n">
        <v>12856</v>
      </c>
      <c r="AR5" s="29" t="n">
        <v>0</v>
      </c>
      <c r="AS5" s="29" t="n">
        <v>0</v>
      </c>
      <c r="AT5" s="29" t="n">
        <v>72839</v>
      </c>
      <c r="AU5" s="29" t="n">
        <v>0</v>
      </c>
      <c r="AV5" s="29" t="n">
        <v>1045</v>
      </c>
      <c r="AW5" s="29" t="n">
        <v>89110</v>
      </c>
      <c r="AX5" s="29" t="n">
        <v>360</v>
      </c>
      <c r="AY5" s="50" t="n">
        <f aca="false">AW5*0.015</f>
        <v>1336.65</v>
      </c>
      <c r="AZ5" s="29" t="n">
        <v>0</v>
      </c>
      <c r="BA5" s="29"/>
      <c r="BB5" s="29" t="n">
        <v>8642</v>
      </c>
      <c r="BC5" s="29" t="n">
        <v>11835</v>
      </c>
      <c r="BD5" s="29" t="n">
        <v>0</v>
      </c>
      <c r="BE5" s="29" t="n">
        <v>0</v>
      </c>
      <c r="BF5" s="29"/>
      <c r="BG5" s="29" t="n">
        <v>198218</v>
      </c>
      <c r="BH5" s="29" t="n">
        <v>94365</v>
      </c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37113</v>
      </c>
      <c r="B6" s="51" t="n">
        <f aca="false">(Weather_Input!B6+Weather_Input!C6)/2</f>
        <v>68</v>
      </c>
      <c r="C6" s="46" t="n">
        <v>185000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37114</v>
      </c>
      <c r="B7" s="51" t="n">
        <f aca="false">(Weather_Input!B7+Weather_Input!C7)/2</f>
        <v>70</v>
      </c>
      <c r="C7" s="46" t="n">
        <v>170000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37115</v>
      </c>
      <c r="B8" s="51" t="n">
        <f aca="false">(Weather_Input!B8+Weather_Input!C8)/2</f>
        <v>73</v>
      </c>
      <c r="C8" s="46" t="n">
        <v>180000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37116</v>
      </c>
      <c r="B9" s="51" t="n">
        <f aca="false">(Weather_Input!B9+Weather_Input!C9)/2</f>
        <v>69</v>
      </c>
      <c r="C9" s="46" t="n">
        <v>190000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37117</v>
      </c>
      <c r="B10" s="51" t="n">
        <f aca="false">(Weather_Input!B10+Weather_Input!C10)/2</f>
        <v>72.5</v>
      </c>
      <c r="C10" s="46" t="n">
        <v>190000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2" width="8.88"/>
    <col collapsed="false" customWidth="false" hidden="false" outlineLevel="0" max="257" min="2" style="1183" width="8.88"/>
  </cols>
  <sheetData>
    <row r="1" customFormat="false" ht="15.75" hidden="false" customHeight="false" outlineLevel="0" collapsed="false">
      <c r="A1" s="1184"/>
      <c r="B1" s="1185"/>
      <c r="D1" s="1186"/>
    </row>
    <row r="2" customFormat="false" ht="15.75" hidden="false" customHeight="false" outlineLevel="0" collapsed="false">
      <c r="A2" s="1187"/>
      <c r="G2" s="1185"/>
    </row>
    <row r="3" customFormat="false" ht="15" hidden="false" customHeight="false" outlineLevel="0" collapsed="false">
      <c r="DZ3" s="0"/>
      <c r="EA3" s="1188"/>
    </row>
    <row r="5" customFormat="false" ht="15.75" hidden="false" customHeight="false" outlineLevel="0" collapsed="false">
      <c r="A5" s="1189"/>
      <c r="B5" s="1185"/>
    </row>
    <row r="6" customFormat="false" ht="12.75" hidden="false" customHeight="false" outlineLevel="0" collapsed="false">
      <c r="A6" s="1190"/>
    </row>
    <row r="7" customFormat="false" ht="12.75" hidden="false" customHeight="false" outlineLevel="0" collapsed="false">
      <c r="A7" s="1190"/>
    </row>
    <row r="8" customFormat="false" ht="12.75" hidden="false" customHeight="false" outlineLevel="0" collapsed="false">
      <c r="A8" s="1190"/>
    </row>
    <row r="9" customFormat="false" ht="12.75" hidden="false" customHeight="false" outlineLevel="0" collapsed="false">
      <c r="A9" s="1190" t="s">
        <v>0</v>
      </c>
      <c r="C9" s="1191"/>
    </row>
    <row r="10" customFormat="false" ht="12.75" hidden="false" customHeight="false" outlineLevel="0" collapsed="false">
      <c r="A10" s="1190"/>
    </row>
    <row r="11" customFormat="false" ht="12.75" hidden="false" customHeight="false" outlineLevel="0" collapsed="false">
      <c r="A11" s="1190"/>
    </row>
    <row r="12" customFormat="false" ht="12.75" hidden="false" customHeight="false" outlineLevel="0" collapsed="false">
      <c r="A12" s="1190"/>
    </row>
    <row r="13" customFormat="false" ht="12.75" hidden="false" customHeight="false" outlineLevel="0" collapsed="false">
      <c r="A13" s="1190"/>
    </row>
    <row r="14" customFormat="false" ht="12.75" hidden="false" customHeight="false" outlineLevel="0" collapsed="false">
      <c r="A14" s="1190"/>
      <c r="C14" s="1183" t="s">
        <v>0</v>
      </c>
      <c r="D14" s="1183" t="s">
        <v>0</v>
      </c>
    </row>
    <row r="15" customFormat="false" ht="12.75" hidden="false" customHeight="false" outlineLevel="0" collapsed="false">
      <c r="A15" s="1190"/>
    </row>
    <row r="16" customFormat="false" ht="12.75" hidden="false" customHeight="false" outlineLevel="0" collapsed="false">
      <c r="A16" s="1190"/>
    </row>
    <row r="17" customFormat="false" ht="12.75" hidden="false" customHeight="false" outlineLevel="0" collapsed="false">
      <c r="A17" s="1190"/>
    </row>
    <row r="18" customFormat="false" ht="12.75" hidden="false" customHeight="false" outlineLevel="0" collapsed="false">
      <c r="A18" s="1190"/>
    </row>
    <row r="19" customFormat="false" ht="12.75" hidden="false" customHeight="false" outlineLevel="0" collapsed="false">
      <c r="A19" s="1190"/>
    </row>
    <row r="20" customFormat="false" ht="12.75" hidden="false" customHeight="false" outlineLevel="0" collapsed="false">
      <c r="A20" s="1190"/>
    </row>
    <row r="21" customFormat="false" ht="12.75" hidden="false" customHeight="false" outlineLevel="0" collapsed="false">
      <c r="A21" s="1190"/>
    </row>
    <row r="22" customFormat="false" ht="12.75" hidden="false" customHeight="false" outlineLevel="0" collapsed="false">
      <c r="A22" s="1190"/>
    </row>
    <row r="23" customFormat="false" ht="12.75" hidden="false" customHeight="false" outlineLevel="0" collapsed="false">
      <c r="A23" s="1190"/>
    </row>
    <row r="24" customFormat="false" ht="12.75" hidden="false" customHeight="false" outlineLevel="0" collapsed="false">
      <c r="A24" s="1190"/>
    </row>
    <row r="25" customFormat="false" ht="12.75" hidden="false" customHeight="false" outlineLevel="0" collapsed="false">
      <c r="A25" s="1190"/>
    </row>
    <row r="26" customFormat="false" ht="12.75" hidden="false" customHeight="false" outlineLevel="0" collapsed="false">
      <c r="A26" s="1190"/>
    </row>
    <row r="27" customFormat="false" ht="12.75" hidden="false" customHeight="false" outlineLevel="0" collapsed="false">
      <c r="A27" s="1190"/>
    </row>
    <row r="28" customFormat="false" ht="12.75" hidden="false" customHeight="false" outlineLevel="0" collapsed="false">
      <c r="A28" s="1190"/>
    </row>
    <row r="29" customFormat="false" ht="12.75" hidden="false" customHeight="false" outlineLevel="0" collapsed="false">
      <c r="A29" s="1190"/>
    </row>
    <row r="30" customFormat="false" ht="12.75" hidden="false" customHeight="false" outlineLevel="0" collapsed="false">
      <c r="A30" s="1190"/>
    </row>
    <row r="31" customFormat="false" ht="12.75" hidden="false" customHeight="false" outlineLevel="0" collapsed="false">
      <c r="A31" s="1190"/>
    </row>
    <row r="32" customFormat="false" ht="12.75" hidden="false" customHeight="false" outlineLevel="0" collapsed="false">
      <c r="A32" s="1190"/>
    </row>
    <row r="33" customFormat="false" ht="12.75" hidden="false" customHeight="false" outlineLevel="0" collapsed="false">
      <c r="A33" s="1190"/>
    </row>
    <row r="34" customFormat="false" ht="12.75" hidden="false" customHeight="false" outlineLevel="0" collapsed="false">
      <c r="A34" s="1190"/>
    </row>
    <row r="35" customFormat="false" ht="12.75" hidden="false" customHeight="false" outlineLevel="0" collapsed="false">
      <c r="A35" s="119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2" t="n">
        <f aca="false">Weather_Input!A5</f>
        <v>37112</v>
      </c>
      <c r="C1" s="1193"/>
    </row>
    <row r="2" customFormat="false" ht="15" hidden="false" customHeight="false" outlineLevel="0" collapsed="false">
      <c r="A2" s="28" t="s">
        <v>816</v>
      </c>
      <c r="B2" s="1193"/>
      <c r="C2" s="1193"/>
    </row>
    <row r="3" customFormat="false" ht="15.75" hidden="false" customHeight="false" outlineLevel="0" collapsed="false">
      <c r="B3" s="1194" t="s">
        <v>89</v>
      </c>
      <c r="C3" s="1194"/>
      <c r="D3" s="1194"/>
      <c r="E3" s="1194"/>
      <c r="F3" s="1194"/>
      <c r="G3" s="1194"/>
      <c r="H3" s="1195" t="s">
        <v>90</v>
      </c>
      <c r="I3" s="1195"/>
      <c r="J3" s="1195"/>
      <c r="K3" s="1195"/>
      <c r="L3" s="1195"/>
      <c r="M3" s="1195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6" t="s">
        <v>817</v>
      </c>
      <c r="C4" s="1196"/>
      <c r="D4" s="11" t="s">
        <v>724</v>
      </c>
      <c r="E4" s="11" t="s">
        <v>724</v>
      </c>
      <c r="F4" s="1197" t="s">
        <v>818</v>
      </c>
      <c r="G4" s="1197"/>
      <c r="H4" s="4" t="s">
        <v>817</v>
      </c>
      <c r="I4" s="4"/>
      <c r="J4" s="11" t="s">
        <v>724</v>
      </c>
      <c r="K4" s="11" t="s">
        <v>724</v>
      </c>
      <c r="L4" s="1197" t="s">
        <v>818</v>
      </c>
      <c r="M4" s="1197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8" t="s">
        <v>819</v>
      </c>
      <c r="C5" s="1199" t="s">
        <v>820</v>
      </c>
      <c r="D5" s="1200" t="s">
        <v>821</v>
      </c>
      <c r="E5" s="1200" t="s">
        <v>822</v>
      </c>
      <c r="F5" s="1200" t="s">
        <v>819</v>
      </c>
      <c r="G5" s="1201" t="s">
        <v>820</v>
      </c>
      <c r="H5" s="1200" t="s">
        <v>819</v>
      </c>
      <c r="I5" s="1200" t="s">
        <v>820</v>
      </c>
      <c r="J5" s="1200" t="s">
        <v>821</v>
      </c>
      <c r="K5" s="1200" t="s">
        <v>822</v>
      </c>
      <c r="L5" s="1200" t="s">
        <v>819</v>
      </c>
      <c r="M5" s="1201" t="s">
        <v>820</v>
      </c>
      <c r="N5" s="1200" t="s">
        <v>819</v>
      </c>
      <c r="O5" s="1200" t="s">
        <v>820</v>
      </c>
      <c r="P5" s="1200" t="s">
        <v>821</v>
      </c>
      <c r="Q5" s="1200" t="s">
        <v>822</v>
      </c>
      <c r="R5" s="1200" t="s">
        <v>819</v>
      </c>
      <c r="S5" s="1200" t="s">
        <v>820</v>
      </c>
    </row>
    <row r="6" customFormat="false" ht="15" hidden="false" customHeight="false" outlineLevel="0" collapsed="false">
      <c r="A6" s="1193" t="n">
        <f aca="false">B1-1</f>
        <v>37111</v>
      </c>
      <c r="B6" s="944" t="e">
        <f aca="false"/>
        <v>#REF!</v>
      </c>
      <c r="C6" s="1202" t="e">
        <f aca="false"/>
        <v>#REF!</v>
      </c>
      <c r="D6" s="1202" t="e">
        <f aca="false"/>
        <v>#REF!</v>
      </c>
      <c r="E6" s="1202" t="e">
        <f aca="false"/>
        <v>#REF!</v>
      </c>
      <c r="F6" s="1202" t="e">
        <f aca="false"/>
        <v>#REF!</v>
      </c>
      <c r="G6" s="1202" t="e">
        <f aca="false"/>
        <v>#REF!</v>
      </c>
      <c r="H6" s="1202" t="e">
        <f aca="false"/>
        <v>#REF!</v>
      </c>
      <c r="I6" s="1202" t="e">
        <f aca="false"/>
        <v>#REF!</v>
      </c>
      <c r="J6" s="1202" t="e">
        <f aca="false"/>
        <v>#REF!</v>
      </c>
      <c r="K6" s="1202" t="e">
        <f aca="false"/>
        <v>#REF!</v>
      </c>
      <c r="L6" s="1202" t="e">
        <f aca="false"/>
        <v>#REF!</v>
      </c>
      <c r="M6" s="1202" t="e">
        <f aca="false"/>
        <v>#REF!</v>
      </c>
      <c r="N6" s="1202" t="n">
        <v>146584</v>
      </c>
      <c r="O6" s="1202" t="n">
        <v>0</v>
      </c>
      <c r="P6" s="1202" t="n">
        <v>53683308</v>
      </c>
      <c r="Q6" s="1202" t="n">
        <v>15045098</v>
      </c>
      <c r="R6" s="1202" t="n">
        <v>38638210</v>
      </c>
      <c r="S6" s="1202" t="n">
        <v>0</v>
      </c>
    </row>
    <row r="7" customFormat="false" ht="15" hidden="false" customHeight="false" outlineLevel="0" collapsed="false">
      <c r="A7" s="1193" t="n">
        <f aca="false">B1</f>
        <v>37112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3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84642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53767950</v>
      </c>
      <c r="Q7" s="0" t="n">
        <f aca="false">IF(O7&gt;0,Q6+O7,Q6)</f>
        <v>15045098</v>
      </c>
      <c r="R7" s="0" t="n">
        <f aca="false">IF(P7&gt;Q7,P7-Q7,0)</f>
        <v>38722852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4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4" t="s">
        <v>22</v>
      </c>
    </row>
    <row r="3" customFormat="false" ht="15" hidden="false" customHeight="false" outlineLevel="0" collapsed="false">
      <c r="A3" s="1193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3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3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3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3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3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3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3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3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3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3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3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3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3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3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3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3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3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3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3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3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3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3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3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3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3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3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3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3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3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3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3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3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3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3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3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3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3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3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3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3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3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3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3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3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3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3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3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3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3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3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3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3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3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3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3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3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3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3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3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3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3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3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3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3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3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3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3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3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3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3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3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3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3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3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3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3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3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3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3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3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3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3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3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3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3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3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3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3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3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3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3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3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3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3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3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3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3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3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3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3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3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3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3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3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3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3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3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3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3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3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3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3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3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3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3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3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3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3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3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3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3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3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3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3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3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3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3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3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3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3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3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3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3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3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3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3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3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3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3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3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3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3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3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3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3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3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3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3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3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3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3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3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3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3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3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3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3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3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3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3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3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3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3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3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3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3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3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3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3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3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3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3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3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3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3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3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3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3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3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3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3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3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3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3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3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3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3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3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3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3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3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3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3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3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3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3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3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3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3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3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3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3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3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3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3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3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3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3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3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3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3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3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3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3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3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3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3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3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3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3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3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3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3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3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3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3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3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3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3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3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3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3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3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3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3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3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3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3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3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3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3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3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3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3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3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3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3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3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3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3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3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3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3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3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3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3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3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3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3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3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3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3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3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3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3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3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3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3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3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3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3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3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3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3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3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3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3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3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3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3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3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3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3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3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3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3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3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3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3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3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3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3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3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3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3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3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3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3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3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3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3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3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3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3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3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3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3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3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3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3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3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3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3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3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3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3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3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3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3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3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3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3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3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3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3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3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3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3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3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3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3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3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3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3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3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3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3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3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3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3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3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3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3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3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3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3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3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3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3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3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3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3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3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3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3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3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3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3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3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3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3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3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3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3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3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3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3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3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3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3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3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5" activeCellId="0" sqref="Q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37112</v>
      </c>
      <c r="B5" s="29" t="n">
        <f aca="false">(Weather_Input!B5+Weather_Input!C5)/2</f>
        <v>80.5</v>
      </c>
      <c r="C5" s="46" t="n">
        <v>31400</v>
      </c>
      <c r="D5" s="46" t="n">
        <v>0</v>
      </c>
      <c r="E5" s="46" t="n">
        <v>31756</v>
      </c>
      <c r="F5" s="46" t="n">
        <v>0</v>
      </c>
      <c r="G5" s="46" t="n">
        <v>0</v>
      </c>
      <c r="H5" s="63" t="n">
        <f aca="false">SUM(D5:G5)</f>
        <v>31756</v>
      </c>
      <c r="I5" s="29" t="n">
        <v>1000</v>
      </c>
      <c r="J5" s="29" t="s">
        <v>0</v>
      </c>
      <c r="K5" s="29" t="n">
        <v>0</v>
      </c>
      <c r="L5" s="29" t="n">
        <v>6862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37113</v>
      </c>
      <c r="B6" s="51" t="n">
        <f aca="false">(Weather_Input!B6+Weather_Input!C6)/2</f>
        <v>68</v>
      </c>
      <c r="C6" s="46" t="n">
        <v>31000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37114</v>
      </c>
      <c r="B7" s="51" t="n">
        <f aca="false">(Weather_Input!B7+Weather_Input!C7)/2</f>
        <v>70</v>
      </c>
      <c r="C7" s="46" t="n">
        <v>28000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37115</v>
      </c>
      <c r="B8" s="51" t="n">
        <f aca="false">(Weather_Input!B8+Weather_Input!C8)/2</f>
        <v>73</v>
      </c>
      <c r="C8" s="46" t="n">
        <v>30000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37116</v>
      </c>
      <c r="B9" s="51" t="n">
        <f aca="false">(Weather_Input!B9+Weather_Input!C9)/2</f>
        <v>69</v>
      </c>
      <c r="C9" s="46" t="n">
        <v>31000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37117</v>
      </c>
      <c r="B10" s="51" t="n">
        <f aca="false">(Weather_Input!B10+Weather_Input!C10)/2</f>
        <v>72.5</v>
      </c>
      <c r="C10" s="46" t="n">
        <v>31000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12" activeCellId="0" sqref="G12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37112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12856</v>
      </c>
      <c r="G7" s="91" t="n">
        <v>198218</v>
      </c>
      <c r="H7" s="92" t="n">
        <v>0</v>
      </c>
      <c r="I7" s="92" t="n">
        <v>0</v>
      </c>
      <c r="J7" s="90" t="n">
        <v>94365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89110</v>
      </c>
      <c r="P7" s="50" t="n">
        <f aca="false">O7*0.015</f>
        <v>1336.65</v>
      </c>
      <c r="Q7" s="90" t="n">
        <v>360</v>
      </c>
      <c r="R7" s="90" t="n">
        <v>0</v>
      </c>
      <c r="S7" s="90" t="n">
        <v>0</v>
      </c>
      <c r="T7" s="92" t="n">
        <v>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37113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77050</v>
      </c>
      <c r="H8" s="92" t="n">
        <v>0</v>
      </c>
      <c r="I8" s="92" t="n">
        <v>0</v>
      </c>
      <c r="J8" s="90" t="n">
        <v>50000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145000</v>
      </c>
      <c r="P8" s="50" t="n">
        <f aca="false">O8*0.015</f>
        <v>2175</v>
      </c>
      <c r="Q8" s="90" t="n">
        <v>600</v>
      </c>
      <c r="R8" s="90" t="n">
        <v>0</v>
      </c>
      <c r="S8" s="90" t="n">
        <v>0</v>
      </c>
      <c r="T8" s="92" t="n">
        <v>35418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37114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27500</v>
      </c>
      <c r="O9" s="90" t="n">
        <v>150000</v>
      </c>
      <c r="P9" s="50" t="n">
        <f aca="false">O9*0.015</f>
        <v>2250</v>
      </c>
      <c r="Q9" s="90" t="n">
        <v>600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37115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20000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27500</v>
      </c>
      <c r="O10" s="90" t="n">
        <v>150000</v>
      </c>
      <c r="P10" s="50" t="n">
        <f aca="false">O10*0.015</f>
        <v>2250</v>
      </c>
      <c r="Q10" s="90" t="n">
        <v>600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37116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57553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27500</v>
      </c>
      <c r="O11" s="90" t="n">
        <v>150000</v>
      </c>
      <c r="P11" s="50" t="n">
        <f aca="false">O11*0.015</f>
        <v>2250</v>
      </c>
      <c r="Q11" s="90" t="n">
        <v>600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37117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130000</v>
      </c>
      <c r="P12" s="50" t="n">
        <f aca="false">O12*0.015</f>
        <v>1950</v>
      </c>
      <c r="Q12" s="90" t="n">
        <v>600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S11" activeCellId="0" sqref="S1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66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37112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72839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49098</v>
      </c>
      <c r="S7" s="109" t="n">
        <v>24549</v>
      </c>
      <c r="T7" s="90" t="n">
        <v>0</v>
      </c>
      <c r="U7" s="93" t="n">
        <v>122407</v>
      </c>
      <c r="V7" s="93" t="n">
        <v>0</v>
      </c>
      <c r="W7" s="92" t="n">
        <v>0</v>
      </c>
      <c r="X7" s="106" t="n">
        <v>85911</v>
      </c>
      <c r="Y7" s="93" t="n">
        <v>418</v>
      </c>
      <c r="Z7" s="29" t="n">
        <v>0</v>
      </c>
      <c r="AA7" s="92" t="n">
        <v>255357</v>
      </c>
      <c r="AB7" s="92" t="n">
        <v>48344</v>
      </c>
      <c r="AC7" s="92" t="n">
        <v>42499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37113</v>
      </c>
      <c r="B8" s="50" t="n">
        <v>30000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13080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30000</v>
      </c>
      <c r="S8" s="109" t="n">
        <v>15000</v>
      </c>
      <c r="T8" s="90" t="n">
        <v>0</v>
      </c>
      <c r="U8" s="93" t="n">
        <v>122407</v>
      </c>
      <c r="V8" s="93" t="n">
        <v>0</v>
      </c>
      <c r="W8" s="92" t="n">
        <v>0</v>
      </c>
      <c r="X8" s="106" t="n">
        <v>91821</v>
      </c>
      <c r="Y8" s="93" t="n">
        <v>35418</v>
      </c>
      <c r="Z8" s="29" t="n">
        <v>0</v>
      </c>
      <c r="AA8" s="92" t="n">
        <v>208108</v>
      </c>
      <c r="AB8" s="92" t="n">
        <v>29788</v>
      </c>
      <c r="AC8" s="92" t="n">
        <v>12499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37114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40000</v>
      </c>
      <c r="S9" s="109" t="n">
        <v>20000</v>
      </c>
      <c r="T9" s="90" t="n">
        <v>0</v>
      </c>
      <c r="U9" s="93" t="n">
        <v>122407</v>
      </c>
      <c r="V9" s="93" t="n">
        <v>0</v>
      </c>
      <c r="W9" s="92" t="n">
        <v>0</v>
      </c>
      <c r="X9" s="106" t="n">
        <v>91821</v>
      </c>
      <c r="Y9" s="93" t="n">
        <v>35418</v>
      </c>
      <c r="Z9" s="29" t="n">
        <v>0</v>
      </c>
      <c r="AA9" s="92" t="n">
        <v>208108</v>
      </c>
      <c r="AB9" s="92" t="n">
        <v>29788</v>
      </c>
      <c r="AC9" s="92" t="n">
        <v>12499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37115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40000</v>
      </c>
      <c r="S10" s="109" t="n">
        <v>20000</v>
      </c>
      <c r="T10" s="90" t="n">
        <v>0</v>
      </c>
      <c r="U10" s="93" t="n">
        <v>122407</v>
      </c>
      <c r="V10" s="93" t="n">
        <v>0</v>
      </c>
      <c r="W10" s="92" t="n">
        <v>0</v>
      </c>
      <c r="X10" s="106" t="n">
        <v>91821</v>
      </c>
      <c r="Y10" s="93" t="n">
        <v>35418</v>
      </c>
      <c r="Z10" s="29" t="n">
        <v>0</v>
      </c>
      <c r="AA10" s="92" t="n">
        <v>208108</v>
      </c>
      <c r="AB10" s="92" t="n">
        <v>29788</v>
      </c>
      <c r="AC10" s="92" t="n">
        <v>12499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37116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40000</v>
      </c>
      <c r="S11" s="109" t="n">
        <v>20000</v>
      </c>
      <c r="T11" s="90" t="n">
        <v>0</v>
      </c>
      <c r="U11" s="93" t="n">
        <v>122407</v>
      </c>
      <c r="V11" s="93" t="n">
        <v>0</v>
      </c>
      <c r="W11" s="92" t="n">
        <v>0</v>
      </c>
      <c r="X11" s="106" t="n">
        <v>91821</v>
      </c>
      <c r="Y11" s="93" t="n">
        <v>35418</v>
      </c>
      <c r="Z11" s="29" t="n">
        <v>0</v>
      </c>
      <c r="AA11" s="92" t="n">
        <v>208108</v>
      </c>
      <c r="AB11" s="92" t="n">
        <v>29788</v>
      </c>
      <c r="AC11" s="92" t="n">
        <v>12499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37117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122407</v>
      </c>
      <c r="V12" s="93" t="n">
        <v>0</v>
      </c>
      <c r="W12" s="92" t="n">
        <v>0</v>
      </c>
      <c r="X12" s="106" t="n">
        <v>91821</v>
      </c>
      <c r="Y12" s="93" t="n">
        <v>35418</v>
      </c>
      <c r="Z12" s="29" t="n">
        <v>0</v>
      </c>
      <c r="AA12" s="92" t="n">
        <v>208108</v>
      </c>
      <c r="AB12" s="92" t="n">
        <v>29788</v>
      </c>
      <c r="AC12" s="92" t="n">
        <v>12499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37112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37112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37113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37113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37114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37114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37115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37115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37116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37116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37117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37117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223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44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37112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6862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24894</v>
      </c>
      <c r="R7" s="50" t="n">
        <v>14904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37113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6370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24631</v>
      </c>
      <c r="R8" s="50" t="n">
        <v>14904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37114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24631</v>
      </c>
      <c r="R9" s="50" t="n">
        <v>14904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37115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24631</v>
      </c>
      <c r="R10" s="50" t="n">
        <v>14904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37116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24631</v>
      </c>
      <c r="R11" s="50" t="n">
        <v>14904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37117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24631</v>
      </c>
      <c r="R12" s="50" t="n">
        <v>14904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THU</v>
      </c>
      <c r="I1" s="127" t="n">
        <f aca="false">D4</f>
        <v>37112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37112</v>
      </c>
      <c r="E4" s="136" t="n">
        <f aca="false">Weather_Input!A6</f>
        <v>37113</v>
      </c>
      <c r="F4" s="136" t="n">
        <f aca="false">Weather_Input!A7</f>
        <v>37114</v>
      </c>
      <c r="G4" s="136" t="n">
        <f aca="false">Weather_Input!A8</f>
        <v>37115</v>
      </c>
      <c r="H4" s="136" t="n">
        <f aca="false">Weather_Input!A9</f>
        <v>37116</v>
      </c>
      <c r="I4" s="137" t="n">
        <f aca="false">Weather_Input!A10</f>
        <v>37117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94/67/81</v>
      </c>
      <c r="E5" s="139" t="str">
        <f aca="false">TEXT(Weather_Input!B6,"0")&amp;"/"&amp;TEXT(Weather_Input!C6,"0")&amp;"/"&amp;TEXT((Weather_Input!B6+Weather_Input!C6)/2,"0")</f>
        <v>78/58/68</v>
      </c>
      <c r="F5" s="139" t="str">
        <f aca="false">TEXT(Weather_Input!B7,"0")&amp;"/"&amp;TEXT(Weather_Input!C7,"0")&amp;"/"&amp;TEXT((Weather_Input!B7+Weather_Input!C7)/2,"0")</f>
        <v>79/61/70</v>
      </c>
      <c r="G5" s="139" t="str">
        <f aca="false">TEXT(Weather_Input!B8,"0")&amp;"/"&amp;TEXT(Weather_Input!C8,"0")&amp;"/"&amp;TEXT((Weather_Input!B8+Weather_Input!C8)/2,"0")</f>
        <v>81/65/73</v>
      </c>
      <c r="H5" s="139" t="str">
        <f aca="false">TEXT(Weather_Input!B9,"0")&amp;"/"&amp;TEXT(Weather_Input!C9,"0")&amp;"/"&amp;TEXT((Weather_Input!B9+Weather_Input!C9)/2,"0")</f>
        <v>78/60/69</v>
      </c>
      <c r="I5" s="140" t="str">
        <f aca="false">TEXT(Weather_Input!B10,"0")&amp;"/"&amp;TEXT(Weather_Input!C10,"0")&amp;"/"&amp;TEXT((Weather_Input!B10+Weather_Input!C10)/2,"0")</f>
        <v>80/65/73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205</v>
      </c>
      <c r="E6" s="139" t="n">
        <f aca="false">PGL_Deliveries!C6/1000</f>
        <v>185</v>
      </c>
      <c r="F6" s="139" t="n">
        <f aca="false">PGL_Deliveries!C7/1000</f>
        <v>170</v>
      </c>
      <c r="G6" s="139" t="n">
        <f aca="false">PGL_Deliveries!C8/1000</f>
        <v>180</v>
      </c>
      <c r="H6" s="139" t="n">
        <f aca="false">PGL_Deliveries!C9/1000</f>
        <v>190</v>
      </c>
      <c r="I6" s="140" t="n">
        <f aca="false">PGL_Deliveries!C10/1000</f>
        <v>190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99.109</v>
      </c>
      <c r="E7" s="139" t="n">
        <f aca="false">PGL_Requirements!G8/1000*0.5</f>
        <v>38.525</v>
      </c>
      <c r="F7" s="139" t="n">
        <f aca="false">PGL_Requirements!G9/1000*0.5</f>
        <v>0</v>
      </c>
      <c r="G7" s="139" t="n">
        <f aca="false">PGL_Requirements!G10/1000*0.5</f>
        <v>10</v>
      </c>
      <c r="H7" s="139" t="n">
        <f aca="false">PGL_Requirements!G11/1000*0.5</f>
        <v>28.7765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94.365</v>
      </c>
      <c r="E8" s="139" t="n">
        <f aca="false">PGL_Requirements!J8/1000</f>
        <v>50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89.11</v>
      </c>
      <c r="E11" s="139" t="n">
        <f aca="false">PGL_Requirements!O8/1000</f>
        <v>145</v>
      </c>
      <c r="F11" s="139" t="n">
        <f aca="false">PGL_Requirements!O9/1000</f>
        <v>150</v>
      </c>
      <c r="G11" s="139" t="n">
        <f aca="false">PGL_Requirements!O10/1000</f>
        <v>150</v>
      </c>
      <c r="H11" s="139" t="n">
        <f aca="false">PGL_Requirements!O11/1000</f>
        <v>150</v>
      </c>
      <c r="I11" s="140" t="n">
        <f aca="false">PGL_Requirements!O12/1000</f>
        <v>130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1.33665</v>
      </c>
      <c r="E12" s="139" t="n">
        <f aca="false">PGL_Requirements!P8/1000</f>
        <v>2.175</v>
      </c>
      <c r="F12" s="139" t="n">
        <f aca="false">PGL_Requirements!P9/1000</f>
        <v>2.25</v>
      </c>
      <c r="G12" s="139" t="n">
        <f aca="false">PGL_Requirements!P10/1000</f>
        <v>2.25</v>
      </c>
      <c r="H12" s="139" t="n">
        <f aca="false">PGL_Requirements!P11/1000</f>
        <v>2.25</v>
      </c>
      <c r="I12" s="140" t="n">
        <f aca="false">PGL_Requirements!P12/1000</f>
        <v>1.95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0.36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0.418</v>
      </c>
      <c r="E15" s="139" t="n">
        <f aca="false">PGL_Requirements!T8/1000</f>
        <v>35.418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0</v>
      </c>
      <c r="E17" s="139" t="n">
        <f aca="false">PGL_Requirements!N8/1000</f>
        <v>0</v>
      </c>
      <c r="F17" s="139" t="n">
        <f aca="false">PGL_Requirements!N9/1000</f>
        <v>27.5</v>
      </c>
      <c r="G17" s="139" t="n">
        <f aca="false">PGL_Requirements!N10/1000</f>
        <v>27.5</v>
      </c>
      <c r="H17" s="139" t="n">
        <f aca="false">PGL_Requirements!N11/1000</f>
        <v>27.5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12.856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0</v>
      </c>
      <c r="E24" s="145" t="n">
        <f aca="false">PGL_Requirements!E8/1000</f>
        <v>0</v>
      </c>
      <c r="F24" s="145" t="n">
        <f aca="false">PGL_Requirements!E9/1000</f>
        <v>0</v>
      </c>
      <c r="G24" s="145" t="n">
        <f aca="false">PGL_Requirements!E10/1000</f>
        <v>0</v>
      </c>
      <c r="H24" s="145" t="n">
        <f aca="false">PGL_Requirements!E11/1000</f>
        <v>0</v>
      </c>
      <c r="I24" s="146" t="n">
        <f aca="false">PGL_Requirements!E12/1000</f>
        <v>0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502.55465</v>
      </c>
      <c r="E25" s="149" t="n">
        <f aca="false">SUM(E6:E24)</f>
        <v>456.718</v>
      </c>
      <c r="F25" s="149" t="n">
        <f aca="false">SUM(F6:F24)</f>
        <v>350.35</v>
      </c>
      <c r="G25" s="149" t="n">
        <f aca="false">SUM(G6:G24)</f>
        <v>370.35</v>
      </c>
      <c r="H25" s="149" t="n">
        <f aca="false">SUM(H6:H24)</f>
        <v>399.1265</v>
      </c>
      <c r="I25" s="150" t="n">
        <f aca="false">SUM(I6:I24)</f>
        <v>322.55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72.839</v>
      </c>
      <c r="E33" s="139" t="n">
        <f aca="false">PGL_Supplies!K8/1000</f>
        <v>13.08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24.549</v>
      </c>
      <c r="E36" s="139" t="n">
        <f aca="false">PGL_Supplies!S8/1000</f>
        <v>15</v>
      </c>
      <c r="F36" s="139" t="n">
        <f aca="false">PGL_Supplies!S9/1000</f>
        <v>20</v>
      </c>
      <c r="G36" s="139" t="n">
        <f aca="false">PGL_Supplies!S10/1000</f>
        <v>20</v>
      </c>
      <c r="H36" s="139" t="n">
        <f aca="false">PGL_Supplies!S11/1000</f>
        <v>20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85.911</v>
      </c>
      <c r="E37" s="139" t="n">
        <f aca="false">PGL_Supplies!X8/1000</f>
        <v>91.821</v>
      </c>
      <c r="F37" s="139" t="n">
        <f aca="false">PGL_Supplies!X9/1000</f>
        <v>91.821</v>
      </c>
      <c r="G37" s="139" t="n">
        <f aca="false">PGL_Supplies!X10/1000</f>
        <v>91.821</v>
      </c>
      <c r="H37" s="139" t="n">
        <f aca="false">PGL_Supplies!X11/1000</f>
        <v>91.821</v>
      </c>
      <c r="I37" s="140" t="n">
        <f aca="false">PGL_Supplies!X12/1000</f>
        <v>91.821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0.418</v>
      </c>
      <c r="E38" s="139" t="n">
        <f aca="false">PGL_Supplies!Y8/1000</f>
        <v>35.418</v>
      </c>
      <c r="F38" s="139" t="n">
        <f aca="false">PGL_Supplies!Y9/1000</f>
        <v>35.418</v>
      </c>
      <c r="G38" s="139" t="n">
        <f aca="false">PGL_Supplies!Y10/1000</f>
        <v>35.418</v>
      </c>
      <c r="H38" s="139" t="n">
        <f aca="false">PGL_Supplies!Y11/1000</f>
        <v>35.418</v>
      </c>
      <c r="I38" s="140" t="n">
        <f aca="false">PGL_Supplies!Y12/1000</f>
        <v>35.418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255.357</v>
      </c>
      <c r="E40" s="139" t="n">
        <f aca="false">PGL_Supplies!AA8/1000</f>
        <v>208.108</v>
      </c>
      <c r="F40" s="139" t="n">
        <f aca="false">PGL_Supplies!AA9/1000</f>
        <v>208.108</v>
      </c>
      <c r="G40" s="139" t="n">
        <f aca="false">PGL_Supplies!AA10/1000</f>
        <v>208.108</v>
      </c>
      <c r="H40" s="139" t="n">
        <f aca="false">PGL_Supplies!AA11/1000</f>
        <v>208.108</v>
      </c>
      <c r="I40" s="140" t="n">
        <f aca="false">PGL_Supplies!AA12/1000</f>
        <v>208.108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48.344</v>
      </c>
      <c r="E41" s="139" t="n">
        <f aca="false">PGL_Supplies!AB8/1000</f>
        <v>29.788</v>
      </c>
      <c r="F41" s="139" t="n">
        <f aca="false">PGL_Supplies!AB9/1000</f>
        <v>29.788</v>
      </c>
      <c r="G41" s="139" t="n">
        <f aca="false">PGL_Supplies!AB10/1000</f>
        <v>29.788</v>
      </c>
      <c r="H41" s="139" t="n">
        <f aca="false">PGL_Supplies!AB11/1000</f>
        <v>29.788</v>
      </c>
      <c r="I41" s="140" t="n">
        <f aca="false">PGL_Supplies!AB12/1000</f>
        <v>29.788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42.499</v>
      </c>
      <c r="E42" s="139" t="n">
        <f aca="false">PGL_Supplies!AC8/1000</f>
        <v>12.499</v>
      </c>
      <c r="F42" s="139" t="n">
        <f aca="false">PGL_Supplies!AC9/1000</f>
        <v>12.499</v>
      </c>
      <c r="G42" s="139" t="n">
        <f aca="false">PGL_Supplies!AC10/1000</f>
        <v>12.499</v>
      </c>
      <c r="H42" s="139" t="n">
        <f aca="false">PGL_Supplies!AC11/1000</f>
        <v>12.499</v>
      </c>
      <c r="I42" s="140" t="n">
        <f aca="false">PGL_Supplies!AC12/1000</f>
        <v>12.499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20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0</v>
      </c>
      <c r="E45" s="139" t="n">
        <f aca="false">PGL_Supplies!B8/1000</f>
        <v>30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550.917</v>
      </c>
      <c r="E50" s="164" t="n">
        <f aca="false">SUM(E28:E49)</f>
        <v>456.714</v>
      </c>
      <c r="F50" s="164" t="n">
        <f aca="false">SUM(F28:F49)</f>
        <v>418.634</v>
      </c>
      <c r="G50" s="164" t="n">
        <f aca="false">SUM(G28:G49)</f>
        <v>418.634</v>
      </c>
      <c r="H50" s="164" t="n">
        <f aca="false">SUM(H28:H49)</f>
        <v>418.634</v>
      </c>
      <c r="I50" s="165" t="n">
        <f aca="false">SUM(I28:I49)</f>
        <v>398.634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48.3623500000001</v>
      </c>
      <c r="E51" s="167" t="n">
        <f aca="false">IF(E50-E25&lt;0,0,E50-E25)</f>
        <v>0</v>
      </c>
      <c r="F51" s="167" t="n">
        <f aca="false">IF(F50-F25&lt;0,0,F50-F25)</f>
        <v>68.284</v>
      </c>
      <c r="G51" s="167" t="n">
        <f aca="false">IF(G50-G25&lt;0,0,G50-G25)</f>
        <v>48.284</v>
      </c>
      <c r="H51" s="167" t="n">
        <f aca="false">IF(H50-H25&lt;0,0,H50-H25)</f>
        <v>19.5075</v>
      </c>
      <c r="I51" s="168" t="n">
        <f aca="false">IF(I50-I25&lt;0,0,I50-I25)</f>
        <v>76.084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0.0040000000000191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122.407</v>
      </c>
      <c r="E53" s="175" t="n">
        <f aca="false">PGL_Supplies!U8/1000</f>
        <v>122.407</v>
      </c>
      <c r="F53" s="175" t="n">
        <f aca="false">PGL_Supplies!U9/1000</f>
        <v>122.407</v>
      </c>
      <c r="G53" s="175" t="n">
        <f aca="false">PGL_Supplies!U10/1000</f>
        <v>122.407</v>
      </c>
      <c r="H53" s="175" t="n">
        <f aca="false">PGL_Supplies!U11/1000</f>
        <v>122.407</v>
      </c>
      <c r="I53" s="176" t="n">
        <f aca="false">PGL_Supplies!U12/1000</f>
        <v>122.407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2001-08-10T14:13:17Z</cp:lastPrinted>
  <dcterms:modified xsi:type="dcterms:W3CDTF">2001-07-26T12:47:15Z</dcterms:modified>
  <cp:revision>0</cp:revision>
  <dc:subject/>
  <dc:title/>
</cp:coreProperties>
</file>