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<sst xmlns="http://schemas.openxmlformats.org/spreadsheetml/2006/main" count="2070" uniqueCount="815">
  <si>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</si>
  <si>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</si>
  <si>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</si>
  <si>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</si>
  <si>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</si>
  <si>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</si>
  <si>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</si>
  <si>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</si>
  <si>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</si>
  <si>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</si>
  <si>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</si>
  <si>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</si>
  <si>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</si>
  <si>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</si>
  <si>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</si>
  <si>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</si>
  <si>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</si>
  <si>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</si>
  <si>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</si>
  <si>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</si>
  <si>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</si>
  <si>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</si>
  <si>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</si>
  <si>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</si>
  <si>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</si>
  <si>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</si>
  <si>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</si>
  <si>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</si>
  <si>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</si>
  <si>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</si>
  <si>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SUNNY.WARM AND HUMID WITH A 30% CHANCE OF SHOWERS AND T'STOR</t>
  </si>
  <si>
    <t xml:space="preserve">MS. SOUTH WINDS 10 MPH. OVERNIGHT…PARTLY CLOUDY…T'STORMS POSSIBLE.</t>
  </si>
  <si>
    <t xml:space="preserve">RAIN</t>
  </si>
  <si>
    <t xml:space="preserve">PARTLY CLOUDY WITH A 30% CHANCE OF T'STORMS. OVERNIGHT…PARTLY CLOUDY</t>
  </si>
  <si>
    <t xml:space="preserve">WITH A 30% CHANCE OF T'STORMS.</t>
  </si>
  <si>
    <t xml:space="preserve">S</t>
  </si>
  <si>
    <t xml:space="preserve">TSTORM</t>
  </si>
  <si>
    <t xml:space="preserve">PARTLY CLOUDY. CHANCE OF SHOWERS EARLY.</t>
  </si>
  <si>
    <t xml:space="preserve">PARTLY CLOUDY.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</si>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</sst>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269</v>
      </c>
      <c r="B1" s="122"/>
      <c r="C1" s="122"/>
      <c r="D1" s="122"/>
      <c r="E1" s="122"/>
      <c r="F1" s="122"/>
      <c r="G1" s="122" t="s">
        <v>229</v>
      </c>
      <c r="H1" s="176" t="str">
        <f aca="false">D3</f>
        <v>TUE</v>
      </c>
      <c r="I1" s="177" t="n">
        <f aca="false">D4</f>
        <v>37089</v>
      </c>
      <c r="J1" s="178"/>
    </row>
    <row r="2" customFormat="false" ht="24.95" hidden="false" customHeight="true" outlineLevel="0" collapsed="false">
      <c r="A2" s="126" t="s">
        <v>270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  <c r="J3" s="178"/>
    </row>
    <row r="4" customFormat="false" ht="24.95" hidden="false" customHeight="true" outlineLevel="0" collapsed="false">
      <c r="A4" s="132" t="s">
        <v>271</v>
      </c>
      <c r="B4" s="133"/>
      <c r="C4" s="133"/>
      <c r="D4" s="179" t="n">
        <f aca="false">Weather_Input!A5</f>
        <v>37089</v>
      </c>
      <c r="E4" s="179" t="n">
        <f aca="false">Weather_Input!A6</f>
        <v>37090</v>
      </c>
      <c r="F4" s="179" t="n">
        <f aca="false">Weather_Input!A7</f>
        <v>37091</v>
      </c>
      <c r="G4" s="179" t="n">
        <f aca="false">Weather_Input!A8</f>
        <v>37092</v>
      </c>
      <c r="H4" s="179" t="n">
        <f aca="false">Weather_Input!A9</f>
        <v>37093</v>
      </c>
      <c r="I4" s="180" t="n">
        <f aca="false">Weather_Input!A10</f>
        <v>37094</v>
      </c>
      <c r="J4" s="178"/>
    </row>
    <row r="5" customFormat="false" ht="24.95" hidden="false" customHeight="true" outlineLevel="0" collapsed="false">
      <c r="A5" s="136" t="s">
        <v>231</v>
      </c>
      <c r="B5" s="127"/>
      <c r="C5" s="127" t="s">
        <v>232</v>
      </c>
      <c r="D5" s="181" t="str">
        <f aca="false">TEXT(Weather_Input!B5,"0")&amp;"/"&amp;TEXT(Weather_Input!C5,"0")&amp;"/"&amp;TEXT((Weather_Input!B5+Weather_Input!C5)/2,"0")</f>
        <v>85/72/79</v>
      </c>
      <c r="E5" s="181" t="str">
        <f aca="false">TEXT(Weather_Input!B6,"0")&amp;"/"&amp;TEXT(Weather_Input!C6,"0")&amp;"/"&amp;TEXT((Weather_Input!B6+Weather_Input!C6)/2,"0")</f>
        <v>90/72/81</v>
      </c>
      <c r="F5" s="181" t="str">
        <f aca="false">TEXT(Weather_Input!B7,"0")&amp;"/"&amp;TEXT(Weather_Input!C7,"0")&amp;"/"&amp;TEXT((Weather_Input!B7+Weather_Input!C7)/2,"0")</f>
        <v>91/70/81</v>
      </c>
      <c r="G5" s="181" t="str">
        <f aca="false">TEXT(Weather_Input!B8,"0")&amp;"/"&amp;TEXT(Weather_Input!C8,"0")&amp;"/"&amp;TEXT((Weather_Input!B8+Weather_Input!C8)/2,"0")</f>
        <v>91/71/81</v>
      </c>
      <c r="H5" s="181" t="str">
        <f aca="false">TEXT(Weather_Input!B9,"0")&amp;"/"&amp;TEXT(Weather_Input!C9,"0")&amp;"/"&amp;TEXT((Weather_Input!B9+Weather_Input!C9)/2,"0")</f>
        <v>91/72/82</v>
      </c>
      <c r="I5" s="182" t="str">
        <f aca="false">TEXT(Weather_Input!B10,"0")&amp;"/"&amp;TEXT(Weather_Input!C10,"0")&amp;"/"&amp;TEXT((Weather_Input!B10+Weather_Input!C10)/2,"0")</f>
        <v>91/72/82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233</v>
      </c>
      <c r="B6" s="127"/>
      <c r="C6" s="127"/>
      <c r="D6" s="183" t="n">
        <f aca="true">VLOOKUP(D4,NSG_Sendouts,CELL("Col",NSG_Deliveries!C5),FALSE())/1000</f>
        <v>33.5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33</v>
      </c>
      <c r="H6" s="183" t="n">
        <f aca="true">VLOOKUP(H4,NSG_Sendouts,CELL("Col",NSG_Deliveries!C9),FALSE())/1000</f>
        <v>30</v>
      </c>
      <c r="I6" s="184" t="n">
        <f aca="true">VLOOKUP(I4,NSG_Sendouts,CELL("Col",NSG_Deliveries!C10),FALSE())/1000</f>
        <v>33</v>
      </c>
      <c r="J6" s="120"/>
    </row>
    <row r="7" customFormat="false" ht="24.95" hidden="false" customHeight="true" outlineLevel="0" collapsed="false">
      <c r="A7" s="136" t="s">
        <v>238</v>
      </c>
      <c r="B7" s="127" t="s">
        <v>239</v>
      </c>
      <c r="C7" s="127" t="s">
        <v>77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241</v>
      </c>
      <c r="C8" s="141" t="s">
        <v>151</v>
      </c>
      <c r="D8" s="183" t="n">
        <f aca="false">NSG_Requirements!J7/1000</f>
        <v>6.42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244</v>
      </c>
      <c r="C9" s="141" t="s">
        <v>151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272</v>
      </c>
      <c r="B10" s="159" t="s">
        <v>273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250</v>
      </c>
      <c r="B11" s="168"/>
      <c r="C11" s="168"/>
      <c r="D11" s="188" t="n">
        <f aca="false">SUM(D6:D10)</f>
        <v>39.92</v>
      </c>
      <c r="E11" s="188" t="n">
        <f aca="false">SUM(E6:E10)</f>
        <v>34</v>
      </c>
      <c r="F11" s="188" t="n">
        <f aca="false">SUM(F6:F10)</f>
        <v>34</v>
      </c>
      <c r="G11" s="188" t="n">
        <f aca="false">SUM(G6:G10)</f>
        <v>33</v>
      </c>
      <c r="H11" s="188" t="n">
        <f aca="false">SUM(H6:H10)</f>
        <v>30</v>
      </c>
      <c r="I11" s="189" t="n">
        <f aca="false">SUM(I6:I10)</f>
        <v>33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251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274</v>
      </c>
      <c r="B14" s="127" t="s">
        <v>239</v>
      </c>
      <c r="C14" s="127" t="s">
        <v>275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241</v>
      </c>
      <c r="C15" s="127" t="s">
        <v>276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277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244</v>
      </c>
      <c r="C17" s="141" t="s">
        <v>278</v>
      </c>
      <c r="D17" s="183" t="n">
        <f aca="false">NSG_Supplies!F7/1000</f>
        <v>0.6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129</v>
      </c>
      <c r="C18" s="127" t="s">
        <v>279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280</v>
      </c>
      <c r="B19" s="127" t="s">
        <v>244</v>
      </c>
      <c r="C19" s="196" t="s">
        <v>281</v>
      </c>
      <c r="D19" s="183" t="n">
        <f aca="false">NSG_Supplies!Q7/1000</f>
        <v>27.323</v>
      </c>
      <c r="E19" s="183" t="n">
        <f aca="false">NSG_Supplies!Q8/1000</f>
        <v>26.65</v>
      </c>
      <c r="F19" s="183" t="n">
        <f aca="false">NSG_Supplies!Q9/1000</f>
        <v>26.65</v>
      </c>
      <c r="G19" s="183" t="n">
        <f aca="false">NSG_Supplies!Q10/1000</f>
        <v>26.65</v>
      </c>
      <c r="H19" s="183" t="n">
        <f aca="false">NSG_Supplies!Q11/1000</f>
        <v>26.65</v>
      </c>
      <c r="I19" s="184" t="n">
        <f aca="false">NSG_Supplies!Q12/1000</f>
        <v>26.65</v>
      </c>
      <c r="J19" s="178"/>
    </row>
    <row r="20" customFormat="false" ht="24.95" hidden="false" customHeight="true" outlineLevel="0" collapsed="false">
      <c r="A20" s="136"/>
      <c r="B20" s="127" t="s">
        <v>241</v>
      </c>
      <c r="C20" s="127" t="s">
        <v>282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264</v>
      </c>
      <c r="B21" s="198"/>
      <c r="C21" s="198"/>
      <c r="D21" s="199" t="n">
        <f aca="false">SUM(D14:D20)</f>
        <v>39.923</v>
      </c>
      <c r="E21" s="199" t="n">
        <f aca="false">SUM(E14:E20)</f>
        <v>38.65</v>
      </c>
      <c r="F21" s="199" t="n">
        <f aca="false">SUM(F14:F20)</f>
        <v>38.65</v>
      </c>
      <c r="G21" s="199" t="n">
        <f aca="false">SUM(G14:G20)</f>
        <v>38.65</v>
      </c>
      <c r="H21" s="199" t="n">
        <f aca="false">SUM(H14:H20)</f>
        <v>38.65</v>
      </c>
      <c r="I21" s="200" t="n">
        <f aca="false">SUM(I14:I20)</f>
        <v>38.65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265</v>
      </c>
      <c r="B22" s="203"/>
      <c r="C22" s="203"/>
      <c r="D22" s="204" t="n">
        <f aca="false">IF(D21-D11&lt;0,0,D21-D11)</f>
        <v>0.00300000000000011</v>
      </c>
      <c r="E22" s="204" t="n">
        <f aca="false">IF(E21-E11&lt;0,0,E21-E11)</f>
        <v>4.65</v>
      </c>
      <c r="F22" s="204" t="n">
        <f aca="false">IF(F21-F11&lt;0,0,F21-F11)</f>
        <v>4.65</v>
      </c>
      <c r="G22" s="204" t="n">
        <f aca="false">IF(G21-G11&lt;0,0,G21-G11)</f>
        <v>5.65</v>
      </c>
      <c r="H22" s="204" t="n">
        <f aca="false">IF(H21-H11&lt;0,0,H21-H11)</f>
        <v>8.65</v>
      </c>
      <c r="I22" s="205" t="n">
        <f aca="false">IF(I21-I11&lt;0,0,I21-I11)</f>
        <v>5.65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266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283</v>
      </c>
      <c r="B24" s="210"/>
      <c r="C24" s="210"/>
      <c r="D24" s="211" t="n">
        <f aca="false">NSG_Supplies!R7/1000</f>
        <v>15.99</v>
      </c>
      <c r="E24" s="211" t="n">
        <f aca="false">NSG_Supplies!R8/1000</f>
        <v>15.317</v>
      </c>
      <c r="F24" s="211" t="n">
        <f aca="false">NSG_Supplies!R9/1000</f>
        <v>15.317</v>
      </c>
      <c r="G24" s="211" t="n">
        <f aca="false">NSG_Supplies!R10/1000</f>
        <v>15.317</v>
      </c>
      <c r="H24" s="211" t="n">
        <f aca="false">NSG_Supplies!R11/1000</f>
        <v>15.317</v>
      </c>
      <c r="I24" s="212" t="n">
        <f aca="false">NSG_Supplies!R12/1000</f>
        <v>15.317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284</v>
      </c>
      <c r="B26" s="215"/>
      <c r="C26" s="215"/>
      <c r="D26" s="216" t="n">
        <f aca="false">Weather_Input!D5</f>
        <v>8</v>
      </c>
      <c r="E26" s="216" t="n">
        <f aca="false">Weather_Input!D6</f>
        <v>8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16" colorId="64" zoomScale="75" zoomScaleNormal="75" zoomScalePageLayoutView="100" workbookViewId="0">
      <selection pane="topLeft" activeCell="N20" activeCellId="0" sqref="N2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87</v>
      </c>
      <c r="D1" s="221"/>
      <c r="E1" s="218" t="s">
        <v>0</v>
      </c>
      <c r="F1" s="220" t="s">
        <v>285</v>
      </c>
      <c r="G1" s="222" t="s">
        <v>0</v>
      </c>
      <c r="H1" s="222"/>
      <c r="I1" s="223" t="s">
        <v>0</v>
      </c>
      <c r="J1" s="224"/>
      <c r="K1" s="224"/>
      <c r="L1" s="225" t="s">
        <v>286</v>
      </c>
      <c r="M1" s="226" t="n">
        <f aca="false">Weather_Input!A5</f>
        <v>37089</v>
      </c>
      <c r="N1" s="227" t="str">
        <f aca="false">CHOOSE(WEEKDAY(M1),"SUN","MON","TUE","WED","THU","FRI","SAT")</f>
        <v>TUE</v>
      </c>
      <c r="O1" s="228"/>
    </row>
    <row r="2" customFormat="false" ht="16.5" hidden="false" customHeight="false" outlineLevel="0" collapsed="false">
      <c r="A2" s="229" t="s">
        <v>287</v>
      </c>
      <c r="B2" s="230" t="n">
        <f aca="false">PGL_Supplies!W7/1000</f>
        <v>0.3</v>
      </c>
      <c r="C2" s="231"/>
      <c r="D2" s="232"/>
      <c r="E2" s="233" t="s">
        <v>288</v>
      </c>
      <c r="F2" s="234"/>
      <c r="G2" s="235" t="s">
        <v>0</v>
      </c>
      <c r="H2" s="236" t="s">
        <v>0</v>
      </c>
      <c r="I2" s="237" t="s">
        <v>289</v>
      </c>
      <c r="J2" s="238" t="s">
        <v>290</v>
      </c>
      <c r="K2" s="239" t="s">
        <v>291</v>
      </c>
      <c r="L2" s="238" t="s">
        <v>18</v>
      </c>
      <c r="M2" s="239" t="s">
        <v>291</v>
      </c>
      <c r="N2" s="238" t="s">
        <v>18</v>
      </c>
      <c r="O2" s="240" t="s">
        <v>291</v>
      </c>
      <c r="Q2" s="241" t="s">
        <v>0</v>
      </c>
    </row>
    <row r="3" customFormat="false" ht="15.75" hidden="false" customHeight="false" outlineLevel="0" collapsed="false">
      <c r="A3" s="229" t="s">
        <v>292</v>
      </c>
      <c r="B3" s="242" t="n">
        <f aca="false">PGL_Requirements!I7/1000</f>
        <v>0</v>
      </c>
      <c r="C3" s="243" t="s">
        <v>0</v>
      </c>
      <c r="D3" s="244"/>
      <c r="E3" s="233" t="s">
        <v>293</v>
      </c>
      <c r="F3" s="230" t="n">
        <f aca="false">PGL_Supplies!H7/1000</f>
        <v>22.6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85</v>
      </c>
      <c r="K3" s="248" t="n">
        <f aca="false">Weather_Input!C5</f>
        <v>72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294</v>
      </c>
      <c r="B4" s="253" t="n">
        <v>0</v>
      </c>
      <c r="C4" s="40"/>
      <c r="D4" s="254"/>
      <c r="E4" s="255" t="s">
        <v>295</v>
      </c>
      <c r="F4" s="256" t="n">
        <v>0</v>
      </c>
      <c r="G4" s="257" t="s">
        <v>0</v>
      </c>
      <c r="H4" s="258"/>
      <c r="I4" s="0" t="s">
        <v>296</v>
      </c>
      <c r="J4" s="259" t="n">
        <v>79.9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297</v>
      </c>
      <c r="B5" s="230" t="n">
        <f aca="false">PGL_Supplies!X7/1000</f>
        <v>106.796</v>
      </c>
      <c r="C5" s="265" t="s">
        <v>0</v>
      </c>
      <c r="D5" s="266"/>
      <c r="E5" s="267" t="s">
        <v>298</v>
      </c>
      <c r="F5" s="268" t="n">
        <f aca="false">F3+F4</f>
        <v>22.6</v>
      </c>
      <c r="G5" s="269" t="s">
        <v>0</v>
      </c>
      <c r="H5" s="270" t="s">
        <v>0</v>
      </c>
      <c r="I5" s="271" t="s">
        <v>299</v>
      </c>
      <c r="J5" s="272" t="s">
        <v>0</v>
      </c>
      <c r="K5" s="273" t="n">
        <f aca="false">PGL_Deliveries!C5/1000</f>
        <v>198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300</v>
      </c>
      <c r="B6" s="276" t="n">
        <f aca="false">+B5-B3+B2-B4</f>
        <v>107.096</v>
      </c>
      <c r="C6" s="277" t="s">
        <v>0</v>
      </c>
      <c r="D6" s="278"/>
      <c r="E6" s="279" t="s">
        <v>0</v>
      </c>
      <c r="F6" s="280" t="s">
        <v>43</v>
      </c>
      <c r="G6" s="281"/>
      <c r="H6" s="282"/>
      <c r="I6" s="40" t="s">
        <v>301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88</v>
      </c>
      <c r="D7" s="290"/>
      <c r="E7" s="229" t="s">
        <v>302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303</v>
      </c>
      <c r="B8" s="230" t="n">
        <f aca="false">PGL_Requirements!T7/1000</f>
        <v>0.2</v>
      </c>
      <c r="C8" s="295"/>
      <c r="D8" s="244"/>
      <c r="E8" s="229" t="s">
        <v>304</v>
      </c>
      <c r="F8" s="245" t="n">
        <f aca="false">PGL_Requirements!E7/1000</f>
        <v>0</v>
      </c>
      <c r="G8" s="291" t="s">
        <v>0</v>
      </c>
      <c r="H8" s="292"/>
      <c r="I8" s="296" t="s">
        <v>305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306</v>
      </c>
      <c r="B9" s="230" t="n">
        <f aca="false">PGL_Supplies!Q7/1000</f>
        <v>0</v>
      </c>
      <c r="C9" s="244"/>
      <c r="D9" s="244"/>
      <c r="E9" s="229" t="s">
        <v>307</v>
      </c>
      <c r="F9" s="230" t="n">
        <f aca="false">PGL_Supplies!F7/1000</f>
        <v>5.3</v>
      </c>
      <c r="G9" s="230"/>
      <c r="H9" s="292"/>
      <c r="I9" s="40" t="s">
        <v>87</v>
      </c>
      <c r="J9" s="259"/>
      <c r="K9" s="300" t="n">
        <f aca="false">+B6</f>
        <v>107.096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308</v>
      </c>
      <c r="B10" s="230" t="n">
        <f aca="false">PGL_Supplies!Y7/1000</f>
        <v>0.2</v>
      </c>
      <c r="C10" s="40"/>
      <c r="D10" s="303"/>
      <c r="E10" s="229" t="s">
        <v>309</v>
      </c>
      <c r="F10" s="304" t="n">
        <f aca="false">PGL_Supplies!AC7/1000</f>
        <v>3</v>
      </c>
      <c r="G10" s="305"/>
      <c r="H10" s="306"/>
      <c r="I10" s="307" t="s">
        <v>310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300</v>
      </c>
      <c r="B11" s="269" t="n">
        <f aca="false">B10+B9-B8</f>
        <v>0</v>
      </c>
      <c r="C11" s="278"/>
      <c r="D11" s="278"/>
      <c r="E11" s="310" t="s">
        <v>311</v>
      </c>
      <c r="F11" s="311" t="n">
        <f aca="false">+F10+F9-F8+F7</f>
        <v>8.3</v>
      </c>
      <c r="G11" s="268" t="s">
        <v>0</v>
      </c>
      <c r="H11" s="312"/>
      <c r="I11" s="307" t="s">
        <v>77</v>
      </c>
      <c r="J11" s="308" t="s">
        <v>0</v>
      </c>
      <c r="K11" s="298" t="n">
        <f aca="false">B19</f>
        <v>-102.62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77</v>
      </c>
      <c r="D12" s="314"/>
      <c r="E12" s="315" t="s">
        <v>0</v>
      </c>
      <c r="F12" s="316" t="s">
        <v>312</v>
      </c>
      <c r="G12" s="317"/>
      <c r="H12" s="318"/>
      <c r="I12" s="307" t="s">
        <v>313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95</v>
      </c>
      <c r="B13" s="230" t="n">
        <f aca="false">PGL_Requirements!O7/1000</f>
        <v>103</v>
      </c>
      <c r="C13" s="244"/>
      <c r="D13" s="319"/>
      <c r="E13" s="320" t="s">
        <v>314</v>
      </c>
      <c r="F13" s="234" t="s">
        <v>0</v>
      </c>
      <c r="G13" s="321" t="s">
        <v>0</v>
      </c>
      <c r="H13" s="322" t="s">
        <v>0</v>
      </c>
      <c r="I13" s="307" t="s">
        <v>315</v>
      </c>
      <c r="J13" s="323" t="s">
        <v>0</v>
      </c>
      <c r="K13" s="298" t="n">
        <f aca="false">B34</f>
        <v>300.246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316</v>
      </c>
      <c r="B14" s="230" t="n">
        <f aca="false">PGL_Supplies!L7/1000</f>
        <v>0</v>
      </c>
      <c r="C14" s="244"/>
      <c r="D14" s="319"/>
      <c r="E14" s="324" t="s">
        <v>317</v>
      </c>
      <c r="F14" s="244"/>
      <c r="G14" s="325"/>
      <c r="H14" s="326"/>
      <c r="I14" s="307" t="s">
        <v>318</v>
      </c>
      <c r="J14" s="308" t="s">
        <v>0</v>
      </c>
      <c r="K14" s="327" t="n">
        <f aca="false">F5</f>
        <v>22.6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319</v>
      </c>
      <c r="B15" s="230" t="n">
        <f aca="false">SUM(PGL_Requirements!B7/1000)</f>
        <v>0</v>
      </c>
      <c r="C15" s="244"/>
      <c r="D15" s="292"/>
      <c r="E15" s="328" t="s">
        <v>320</v>
      </c>
      <c r="F15" s="329"/>
      <c r="G15" s="283"/>
      <c r="H15" s="330"/>
      <c r="I15" s="307" t="s">
        <v>321</v>
      </c>
      <c r="J15" s="308" t="s">
        <v>2</v>
      </c>
      <c r="K15" s="298" t="n">
        <f aca="false">F11</f>
        <v>8.3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322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323</v>
      </c>
      <c r="G16" s="332"/>
      <c r="H16" s="333"/>
      <c r="I16" s="307" t="s">
        <v>324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325</v>
      </c>
      <c r="B17" s="230" t="n">
        <f aca="false">PGL_Requirements!Q7/1000</f>
        <v>0.62</v>
      </c>
      <c r="C17" s="244"/>
      <c r="D17" s="292"/>
      <c r="E17" s="335" t="s">
        <v>326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327</v>
      </c>
      <c r="J17" s="339" t="s">
        <v>0</v>
      </c>
      <c r="K17" s="340" t="n">
        <f aca="false">-PGL_Requirements!F7/1000</f>
        <v>-25.8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328</v>
      </c>
      <c r="B18" s="230" t="n">
        <f aca="false">PGL_Requirements!P7/1000</f>
        <v>1.545</v>
      </c>
      <c r="C18" s="266"/>
      <c r="D18" s="306"/>
      <c r="E18" s="279" t="s">
        <v>0</v>
      </c>
      <c r="F18" s="293" t="s">
        <v>329</v>
      </c>
      <c r="G18" s="281"/>
      <c r="H18" s="282"/>
      <c r="I18" s="0" t="s">
        <v>330</v>
      </c>
      <c r="J18" s="259"/>
      <c r="K18" s="341" t="n">
        <f aca="false">-F19</f>
        <v>-28.5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298</v>
      </c>
      <c r="B19" s="343" t="n">
        <f aca="false">-B13+B14+B16-B17-B15+B20+B21</f>
        <v>-102.62</v>
      </c>
      <c r="C19" s="344"/>
      <c r="D19" s="312"/>
      <c r="E19" s="345" t="s">
        <v>331</v>
      </c>
      <c r="F19" s="346" t="n">
        <f aca="false">PGL_Requirements!J7/1000</f>
        <v>28.5</v>
      </c>
      <c r="G19" s="347" t="s">
        <v>0</v>
      </c>
      <c r="H19" s="348" t="s">
        <v>0</v>
      </c>
      <c r="I19" s="0" t="s">
        <v>234</v>
      </c>
      <c r="J19" s="349"/>
      <c r="K19" s="350" t="n">
        <f aca="false">-F24</f>
        <v>-113.9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332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320</v>
      </c>
      <c r="J20" s="357" t="s">
        <v>0</v>
      </c>
      <c r="K20" s="358" t="n">
        <f aca="false">SUM(K8:K19)</f>
        <v>167.422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333</v>
      </c>
      <c r="B21" s="362" t="n">
        <v>0</v>
      </c>
      <c r="C21" s="363"/>
      <c r="D21" s="364"/>
      <c r="E21" s="365" t="s">
        <v>334</v>
      </c>
      <c r="F21" s="253" t="n">
        <v>0</v>
      </c>
      <c r="G21" s="366"/>
      <c r="H21" s="367"/>
      <c r="I21" s="280" t="s">
        <v>44</v>
      </c>
      <c r="J21" s="368" t="s">
        <v>0</v>
      </c>
      <c r="K21" s="369"/>
      <c r="L21" s="370"/>
      <c r="M21" s="370" t="s">
        <v>335</v>
      </c>
      <c r="N21" s="370"/>
      <c r="O21" s="294"/>
    </row>
    <row r="22" customFormat="false" ht="15.75" hidden="false" customHeight="false" outlineLevel="0" collapsed="false">
      <c r="A22" s="371" t="s">
        <v>336</v>
      </c>
      <c r="B22" s="372" t="n">
        <f aca="false">SUM(B4)</f>
        <v>0</v>
      </c>
      <c r="C22" s="373"/>
      <c r="D22" s="374"/>
      <c r="E22" s="365" t="s">
        <v>337</v>
      </c>
      <c r="F22" s="253" t="n">
        <v>0</v>
      </c>
      <c r="G22" s="366"/>
      <c r="H22" s="367"/>
      <c r="I22" s="307" t="s">
        <v>338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89</v>
      </c>
      <c r="D23" s="282"/>
      <c r="E23" s="380" t="s">
        <v>339</v>
      </c>
      <c r="F23" s="381" t="n">
        <v>0</v>
      </c>
      <c r="G23" s="329"/>
      <c r="H23" s="330"/>
      <c r="I23" s="307" t="s">
        <v>340</v>
      </c>
      <c r="J23" s="308" t="s">
        <v>0</v>
      </c>
      <c r="K23" s="298" t="n">
        <f aca="false">K5+K6-K20</f>
        <v>30.578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341</v>
      </c>
      <c r="B24" s="230" t="n">
        <f aca="false">PGL_Supplies!C7/1000</f>
        <v>0</v>
      </c>
      <c r="C24" s="383"/>
      <c r="D24" s="292"/>
      <c r="E24" s="384" t="s">
        <v>342</v>
      </c>
      <c r="F24" s="346" t="n">
        <f aca="false">PGL_Requirements!G7/1000*0.5</f>
        <v>113.9</v>
      </c>
      <c r="G24" s="347"/>
      <c r="H24" s="385"/>
      <c r="I24" s="386" t="s">
        <v>288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343</v>
      </c>
      <c r="B25" s="389" t="n">
        <f aca="false">PGL_Supplies!C7/1000</f>
        <v>0</v>
      </c>
      <c r="C25" s="390"/>
      <c r="D25" s="292"/>
      <c r="E25" s="391" t="s">
        <v>344</v>
      </c>
      <c r="F25" s="392"/>
      <c r="G25" s="393"/>
      <c r="H25" s="394"/>
      <c r="I25" s="307" t="s">
        <v>345</v>
      </c>
      <c r="J25" s="395" t="s">
        <v>0</v>
      </c>
      <c r="K25" s="396" t="n">
        <f aca="false">SUM(B18+B20+B21)</f>
        <v>1.545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176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346</v>
      </c>
      <c r="J26" s="403" t="s">
        <v>0</v>
      </c>
      <c r="K26" s="404" t="n">
        <f aca="false">SUM(K23:K25)</f>
        <v>32.123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347</v>
      </c>
      <c r="B27" s="230" t="n">
        <f aca="false">PGL_Supplies!R7/1000</f>
        <v>0</v>
      </c>
      <c r="C27" s="383"/>
      <c r="D27" s="292"/>
      <c r="E27" s="345" t="s">
        <v>348</v>
      </c>
      <c r="F27" s="407"/>
      <c r="G27" s="347"/>
      <c r="H27" s="348"/>
      <c r="I27" s="296" t="s">
        <v>349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300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350</v>
      </c>
      <c r="J28" s="414"/>
      <c r="K28" s="340" t="n">
        <f aca="false">PGL_Requirements!N7/1000</f>
        <v>11.16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351</v>
      </c>
      <c r="C29" s="418"/>
      <c r="D29" s="418"/>
      <c r="E29" s="419" t="s">
        <v>352</v>
      </c>
      <c r="F29" s="381"/>
      <c r="G29" s="329"/>
      <c r="H29" s="420"/>
      <c r="I29" s="307" t="s">
        <v>353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354</v>
      </c>
      <c r="B30" s="245" t="n">
        <f aca="false">PGL_Requirements!D7/1000</f>
        <v>0</v>
      </c>
      <c r="C30" s="325"/>
      <c r="D30" s="245" t="s">
        <v>0</v>
      </c>
      <c r="E30" s="424" t="s">
        <v>355</v>
      </c>
      <c r="F30" s="253"/>
      <c r="G30" s="366"/>
      <c r="H30" s="425"/>
      <c r="I30" s="426" t="s">
        <v>356</v>
      </c>
      <c r="J30" s="427"/>
      <c r="K30" s="284" t="n">
        <f aca="false">-PGL_Supplies!AB7/1000</f>
        <v>-43.287</v>
      </c>
      <c r="L30" s="428"/>
      <c r="M30" s="429" t="n">
        <f aca="false">-PGL_Supplies!AB7/1000</f>
        <v>-43.287</v>
      </c>
      <c r="N30" s="430"/>
      <c r="O30" s="431" t="n">
        <f aca="false">-PGL_Supplies!AB7/1000</f>
        <v>-43.287</v>
      </c>
    </row>
    <row r="31" customFormat="false" ht="16.5" hidden="false" customHeight="false" outlineLevel="0" collapsed="false">
      <c r="A31" s="334" t="s">
        <v>357</v>
      </c>
      <c r="B31" s="389" t="n">
        <f aca="false">PGL_Supplies!D7/1000</f>
        <v>43.7</v>
      </c>
      <c r="C31" s="389" t="s">
        <v>0</v>
      </c>
      <c r="D31" s="432" t="s">
        <v>0</v>
      </c>
      <c r="E31" s="351" t="s">
        <v>358</v>
      </c>
      <c r="F31" s="433"/>
      <c r="G31" s="303"/>
      <c r="H31" s="434"/>
      <c r="I31" s="435" t="s">
        <v>359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176</v>
      </c>
      <c r="B32" s="389" t="n">
        <f aca="false">PGL_Supplies!AA7/1000+NSG_Supplies!M7/1000</f>
        <v>221.546</v>
      </c>
      <c r="C32" s="389" t="s">
        <v>0</v>
      </c>
      <c r="D32" s="432" t="s">
        <v>0</v>
      </c>
      <c r="E32" s="384" t="s">
        <v>360</v>
      </c>
      <c r="F32" s="436"/>
      <c r="G32" s="437"/>
      <c r="H32" s="385"/>
      <c r="I32" s="296" t="s">
        <v>361</v>
      </c>
      <c r="J32" s="353"/>
      <c r="K32" s="438"/>
      <c r="L32" s="439" t="s">
        <v>362</v>
      </c>
      <c r="M32" s="40"/>
      <c r="N32" s="440"/>
      <c r="O32" s="441"/>
    </row>
    <row r="33" customFormat="false" ht="15.75" hidden="false" customHeight="false" outlineLevel="0" collapsed="false">
      <c r="A33" s="442" t="s">
        <v>363</v>
      </c>
      <c r="B33" s="389" t="n">
        <f aca="false">PGL_Supplies!S7/1000</f>
        <v>70</v>
      </c>
      <c r="C33" s="389" t="s">
        <v>0</v>
      </c>
      <c r="D33" s="254"/>
      <c r="E33" s="40"/>
      <c r="F33" s="40"/>
      <c r="G33" s="40"/>
      <c r="H33" s="401"/>
      <c r="I33" s="443" t="s">
        <v>364</v>
      </c>
      <c r="J33" s="444"/>
      <c r="K33" s="445"/>
      <c r="L33" s="446" t="s">
        <v>352</v>
      </c>
      <c r="M33" s="262"/>
      <c r="N33" s="259"/>
      <c r="O33" s="263"/>
    </row>
    <row r="34" customFormat="false" ht="16.5" hidden="false" customHeight="false" outlineLevel="0" collapsed="false">
      <c r="A34" s="447" t="s">
        <v>365</v>
      </c>
      <c r="B34" s="407" t="n">
        <f aca="false">-B30+B31+B32+B33*0.5</f>
        <v>300.246</v>
      </c>
      <c r="C34" s="347"/>
      <c r="D34" s="448" t="s">
        <v>0</v>
      </c>
      <c r="E34" s="449" t="s">
        <v>366</v>
      </c>
      <c r="F34" s="40"/>
      <c r="G34" s="40"/>
      <c r="H34" s="401"/>
      <c r="I34" s="450" t="s">
        <v>367</v>
      </c>
      <c r="J34" s="319"/>
      <c r="K34" s="451"/>
      <c r="L34" s="446" t="s">
        <v>368</v>
      </c>
      <c r="M34" s="262"/>
      <c r="N34" s="259"/>
      <c r="O34" s="263"/>
    </row>
    <row r="35" customFormat="false" ht="15" hidden="false" customHeight="false" outlineLevel="0" collapsed="false">
      <c r="A35" s="452" t="s">
        <v>369</v>
      </c>
      <c r="B35" s="453"/>
      <c r="C35" s="453"/>
      <c r="D35" s="454" t="s">
        <v>0</v>
      </c>
      <c r="E35" s="449" t="s">
        <v>370</v>
      </c>
      <c r="F35" s="40"/>
      <c r="G35" s="40"/>
      <c r="H35" s="401"/>
      <c r="I35" s="450" t="s">
        <v>371</v>
      </c>
      <c r="J35" s="319"/>
      <c r="K35" s="445"/>
      <c r="L35" s="455" t="s">
        <v>372</v>
      </c>
      <c r="M35" s="262"/>
      <c r="N35" s="259"/>
      <c r="O35" s="263"/>
    </row>
    <row r="36" customFormat="false" ht="15" hidden="false" customHeight="false" outlineLevel="0" collapsed="false">
      <c r="A36" s="456" t="s">
        <v>373</v>
      </c>
      <c r="B36" s="230" t="n">
        <f aca="false">B34-B35-B37</f>
        <v>186.346</v>
      </c>
      <c r="C36" s="457" t="s">
        <v>0</v>
      </c>
      <c r="D36" s="458" t="s">
        <v>0</v>
      </c>
      <c r="E36" s="449" t="s">
        <v>374</v>
      </c>
      <c r="F36" s="40"/>
      <c r="G36" s="40"/>
      <c r="H36" s="401"/>
      <c r="I36" s="450" t="s">
        <v>375</v>
      </c>
      <c r="J36" s="319"/>
      <c r="K36" s="445"/>
      <c r="L36" s="455" t="s">
        <v>52</v>
      </c>
      <c r="M36" s="262"/>
      <c r="N36" s="259"/>
      <c r="O36" s="263"/>
    </row>
    <row r="37" customFormat="false" ht="15" hidden="false" customHeight="false" outlineLevel="0" collapsed="false">
      <c r="A37" s="459" t="s">
        <v>376</v>
      </c>
      <c r="B37" s="460" t="n">
        <f aca="false">F24</f>
        <v>113.9</v>
      </c>
      <c r="C37" s="259"/>
      <c r="D37" s="461" t="s">
        <v>0</v>
      </c>
      <c r="E37" s="40"/>
      <c r="F37" s="40"/>
      <c r="G37" s="40"/>
      <c r="H37" s="40"/>
      <c r="I37" s="462" t="s">
        <v>377</v>
      </c>
      <c r="J37" s="319"/>
      <c r="K37" s="445"/>
      <c r="L37" s="463" t="s">
        <v>378</v>
      </c>
      <c r="M37" s="262"/>
      <c r="N37" s="259"/>
      <c r="O37" s="263"/>
    </row>
    <row r="38" customFormat="false" ht="15" hidden="false" customHeight="false" outlineLevel="0" collapsed="false">
      <c r="A38" s="464" t="s">
        <v>379</v>
      </c>
      <c r="B38" s="253" t="n">
        <f aca="false">PGL_Requirements!J7/1000</f>
        <v>28.5</v>
      </c>
      <c r="C38" s="366"/>
      <c r="D38" s="254"/>
      <c r="E38" s="40"/>
      <c r="F38" s="40"/>
      <c r="G38" s="40"/>
      <c r="H38" s="40"/>
      <c r="I38" s="465" t="s">
        <v>380</v>
      </c>
      <c r="J38" s="319"/>
      <c r="K38" s="445"/>
      <c r="L38" s="295" t="s">
        <v>381</v>
      </c>
      <c r="M38" s="40"/>
      <c r="N38" s="466"/>
      <c r="O38" s="467"/>
    </row>
    <row r="39" customFormat="false" ht="16.5" hidden="false" customHeight="false" outlineLevel="0" collapsed="false">
      <c r="A39" s="468" t="s">
        <v>382</v>
      </c>
      <c r="B39" s="469" t="n">
        <f aca="false">B35+B36+B37+B38</f>
        <v>328.746</v>
      </c>
      <c r="C39" s="470"/>
      <c r="D39" s="471" t="s">
        <v>0</v>
      </c>
      <c r="E39" s="40"/>
      <c r="F39" s="40"/>
      <c r="G39" s="40"/>
      <c r="H39" s="40"/>
      <c r="I39" s="472" t="s">
        <v>383</v>
      </c>
      <c r="J39" s="473"/>
      <c r="K39" s="474"/>
      <c r="L39" s="475" t="s">
        <v>384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385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selection pane="topLeft" activeCell="A11" activeCellId="0" sqref="A1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286</v>
      </c>
      <c r="F1" s="225" t="str">
        <f aca="false">CHOOSE(WEEKDAY(G1),"SUN","MON","TUE","WED","THU","FRI","SAT")</f>
        <v>TUE</v>
      </c>
      <c r="G1" s="496" t="n">
        <f aca="false">Weather_Input!A5</f>
        <v>37089</v>
      </c>
      <c r="H1" s="225" t="s">
        <v>386</v>
      </c>
      <c r="I1" s="228"/>
    </row>
    <row r="2" customFormat="false" ht="20.25" hidden="false" customHeight="false" outlineLevel="0" collapsed="false">
      <c r="A2" s="497" t="s">
        <v>0</v>
      </c>
      <c r="B2" s="498" t="s">
        <v>387</v>
      </c>
      <c r="C2" s="499" t="n">
        <v>79.9</v>
      </c>
      <c r="D2" s="38" t="s">
        <v>388</v>
      </c>
      <c r="E2" s="500"/>
      <c r="F2" s="38" t="s">
        <v>389</v>
      </c>
      <c r="G2" s="500"/>
      <c r="H2" s="501" t="s">
        <v>390</v>
      </c>
      <c r="I2" s="502"/>
    </row>
    <row r="3" customFormat="false" ht="20.25" hidden="false" customHeight="false" outlineLevel="0" collapsed="false">
      <c r="A3" s="503" t="s">
        <v>391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85</v>
      </c>
      <c r="C4" s="510" t="n">
        <f aca="false">Weather_Input!C5</f>
        <v>72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233</v>
      </c>
      <c r="B5" s="516"/>
      <c r="C5" s="517" t="n">
        <f aca="false">NSG_Deliveries!C5/1000</f>
        <v>33.5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133</v>
      </c>
      <c r="B7" s="516"/>
      <c r="C7" s="526" t="n">
        <f aca="false">C5-C9-C11-C12</f>
        <v>27.92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392</v>
      </c>
      <c r="B9" s="530"/>
      <c r="C9" s="531" t="n">
        <f aca="false">B45</f>
        <v>5.58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393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394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158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186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395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396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397</v>
      </c>
      <c r="B18" s="521"/>
      <c r="C18" s="522" t="s">
        <v>0</v>
      </c>
      <c r="D18" s="523"/>
      <c r="E18" s="522"/>
      <c r="F18" s="523"/>
      <c r="G18" s="370" t="s">
        <v>398</v>
      </c>
      <c r="H18" s="521"/>
      <c r="I18" s="568"/>
    </row>
    <row r="19" customFormat="false" ht="24" hidden="false" customHeight="false" outlineLevel="0" collapsed="false">
      <c r="A19" s="569" t="s">
        <v>346</v>
      </c>
      <c r="B19" s="570"/>
      <c r="C19" s="571" t="n">
        <f aca="false">C7+C12</f>
        <v>27.92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399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400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401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350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353</v>
      </c>
      <c r="B24" s="581"/>
      <c r="C24" s="577" t="n">
        <f aca="false">-NSG_Supplies!F7/1000</f>
        <v>-0.6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356</v>
      </c>
      <c r="B25" s="584"/>
      <c r="C25" s="577" t="n">
        <f aca="false">-NSG_Supplies!Q7/1000</f>
        <v>-27.323</v>
      </c>
      <c r="D25" s="585"/>
      <c r="E25" s="577" t="n">
        <f aca="false">-NSG_Supplies!Q7/1000</f>
        <v>-27.323</v>
      </c>
      <c r="F25" s="585"/>
      <c r="G25" s="577" t="n">
        <f aca="false">-NSG_Supplies!Q7/1000</f>
        <v>-27.323</v>
      </c>
      <c r="H25" s="584"/>
      <c r="I25" s="586" t="n">
        <f aca="false">-NSG_Supplies!Q7/1000</f>
        <v>-27.323</v>
      </c>
    </row>
    <row r="26" customFormat="false" ht="20.25" hidden="false" customHeight="false" outlineLevel="0" collapsed="false">
      <c r="A26" s="575" t="s">
        <v>402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403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393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404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405</v>
      </c>
      <c r="G29" s="602"/>
      <c r="H29" s="602"/>
      <c r="I29" s="603"/>
    </row>
    <row r="30" customFormat="false" ht="20.25" hidden="false" customHeight="false" outlineLevel="0" collapsed="false">
      <c r="A30" s="604" t="s">
        <v>406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407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408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409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410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411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176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412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413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414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415</v>
      </c>
      <c r="B40" s="622" t="n">
        <f aca="false">NSG_Requirements!J7/1000</f>
        <v>6.42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416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417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418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419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412</v>
      </c>
      <c r="B45" s="626" t="n">
        <f aca="false">B44+B41-B40</f>
        <v>5.58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89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420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421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409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176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422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423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424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286</v>
      </c>
      <c r="F1" s="652" t="n">
        <f aca="false">Weather_Input!A5</f>
        <v>37089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425</v>
      </c>
      <c r="C3" s="657" t="n">
        <v>44</v>
      </c>
      <c r="D3" s="237"/>
      <c r="E3" s="237"/>
      <c r="F3" s="657" t="s">
        <v>426</v>
      </c>
      <c r="G3" s="657"/>
      <c r="H3" s="237" t="s">
        <v>427</v>
      </c>
      <c r="I3" s="377"/>
    </row>
    <row r="4" customFormat="false" ht="17.1" hidden="false" customHeight="true" outlineLevel="0" collapsed="false">
      <c r="A4" s="658" t="s">
        <v>428</v>
      </c>
      <c r="B4" s="658" t="s">
        <v>428</v>
      </c>
      <c r="C4" s="376" t="s">
        <v>291</v>
      </c>
      <c r="D4" s="376" t="s">
        <v>18</v>
      </c>
      <c r="E4" s="376" t="s">
        <v>291</v>
      </c>
      <c r="F4" s="376" t="s">
        <v>18</v>
      </c>
      <c r="G4" s="376" t="s">
        <v>291</v>
      </c>
      <c r="H4" s="376" t="s">
        <v>18</v>
      </c>
      <c r="I4" s="251" t="s">
        <v>291</v>
      </c>
    </row>
    <row r="5" customFormat="false" ht="17.1" hidden="false" customHeight="true" outlineLevel="0" collapsed="false">
      <c r="A5" s="658" t="s">
        <v>429</v>
      </c>
      <c r="B5" s="376" t="n">
        <f aca="false">Weather_Input!B5</f>
        <v>85</v>
      </c>
      <c r="C5" s="376" t="n">
        <f aca="false">Weather_Input!C5</f>
        <v>72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430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431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432</v>
      </c>
      <c r="B8" s="662" t="n">
        <f aca="false">PGL_Deliveries!C5/1000</f>
        <v>198</v>
      </c>
      <c r="C8" s="663" t="n">
        <f aca="false">NSG_Deliveries!C5/1000</f>
        <v>33.5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65</v>
      </c>
      <c r="C9" s="667" t="s">
        <v>129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88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433</v>
      </c>
      <c r="B11" s="308" t="n">
        <f aca="false">+B54</f>
        <v>123.648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434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97</v>
      </c>
      <c r="B13" s="308" t="n">
        <f aca="false">PGL_Supplies!H7/1000</f>
        <v>22.6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435</v>
      </c>
      <c r="B14" s="323" t="n">
        <f aca="false">+B72</f>
        <v>12.096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69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436</v>
      </c>
      <c r="B16" s="308" t="n">
        <f aca="false">PGL_Requirements!F7/1000</f>
        <v>25.8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437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438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78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439</v>
      </c>
      <c r="B20" s="308" t="e">
        <f aca="false">B8+B18+B19</f>
        <v>#REF!</v>
      </c>
      <c r="C20" s="682" t="n">
        <f aca="false">C8+C18+C19</f>
        <v>33.5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440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441</v>
      </c>
      <c r="B22" s="308" t="n">
        <f aca="false">+B44</f>
        <v>1.545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442</v>
      </c>
      <c r="B23" s="685" t="e">
        <f aca="false">B20+B21+B22</f>
        <v>#REF!</v>
      </c>
      <c r="C23" s="686" t="n">
        <f aca="false">C20</f>
        <v>33.5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443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444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445</v>
      </c>
      <c r="B27" s="694" t="n">
        <f aca="false">PGL_Requirements!Q7/1000</f>
        <v>0.62</v>
      </c>
      <c r="C27" s="694" t="n">
        <f aca="false">NSG_Requirements!P7/1000</f>
        <v>0</v>
      </c>
      <c r="D27" s="694" t="n">
        <f aca="false">PGL_Requirements!Q7/1000</f>
        <v>0.62</v>
      </c>
      <c r="E27" s="694" t="n">
        <f aca="false">NSG_Requirements!P7/1000</f>
        <v>0</v>
      </c>
      <c r="F27" s="694" t="n">
        <f aca="false">PGL_Requirements!Q7/1000</f>
        <v>0.62</v>
      </c>
      <c r="G27" s="694" t="n">
        <f aca="false">NSG_Requirements!P7/1000</f>
        <v>0</v>
      </c>
      <c r="H27" s="695" t="n">
        <f aca="false">+B27</f>
        <v>0.62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446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447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448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449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356</v>
      </c>
      <c r="B32" s="698" t="n">
        <f aca="false">-PGL_Supplies!AB7/1000</f>
        <v>-43.287</v>
      </c>
      <c r="C32" s="698" t="n">
        <f aca="false">-NSG_Supplies!Q7/1000</f>
        <v>-27.323</v>
      </c>
      <c r="D32" s="698" t="n">
        <f aca="false">B32</f>
        <v>-43.287</v>
      </c>
      <c r="E32" s="698" t="n">
        <f aca="false">C32</f>
        <v>-27.323</v>
      </c>
      <c r="F32" s="698" t="n">
        <f aca="false">B32</f>
        <v>-43.287</v>
      </c>
      <c r="G32" s="698" t="n">
        <f aca="false">C32</f>
        <v>-27.323</v>
      </c>
      <c r="H32" s="699" t="n">
        <f aca="false">B32</f>
        <v>-43.287</v>
      </c>
      <c r="I32" s="700" t="n">
        <f aca="false">C32</f>
        <v>-27.323</v>
      </c>
    </row>
    <row r="33" customFormat="false" ht="17.1" hidden="false" customHeight="true" outlineLevel="0" collapsed="false">
      <c r="A33" s="697" t="s">
        <v>450</v>
      </c>
      <c r="B33" s="698" t="n">
        <f aca="false">-PGL_Supplies!W7/1000</f>
        <v>-0.3</v>
      </c>
      <c r="C33" s="698" t="n">
        <f aca="false">-NSG_Supplies!R7/1000</f>
        <v>-15.99</v>
      </c>
      <c r="D33" s="698" t="n">
        <f aca="false">B33</f>
        <v>-0.3</v>
      </c>
      <c r="E33" s="698" t="n">
        <f aca="false">C33</f>
        <v>-15.99</v>
      </c>
      <c r="F33" s="698" t="n">
        <f aca="false">B33</f>
        <v>-0.3</v>
      </c>
      <c r="G33" s="698" t="n">
        <f aca="false">C33</f>
        <v>-15.99</v>
      </c>
      <c r="H33" s="699" t="n">
        <f aca="false">B33</f>
        <v>-0.3</v>
      </c>
      <c r="I33" s="700" t="n">
        <f aca="false">C33</f>
        <v>-15.99</v>
      </c>
    </row>
    <row r="34" customFormat="false" ht="17.1" hidden="false" customHeight="true" outlineLevel="0" collapsed="false">
      <c r="A34" s="693" t="s">
        <v>451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452</v>
      </c>
      <c r="B35" s="694" t="n">
        <f aca="false">PGL_Requirements!N7/1000</f>
        <v>11.16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453</v>
      </c>
      <c r="B36" s="698" t="n">
        <f aca="false">-PGL_Supplies!K7/1000</f>
        <v>-0</v>
      </c>
      <c r="C36" s="698" t="n">
        <f aca="false">-NSG_Supplies!F7/1000</f>
        <v>-0.6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454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455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456</v>
      </c>
      <c r="C39" s="711"/>
      <c r="D39" s="712"/>
      <c r="E39" s="713"/>
      <c r="F39" s="435" t="s">
        <v>359</v>
      </c>
      <c r="G39" s="435"/>
      <c r="H39" s="435"/>
      <c r="I39" s="435"/>
    </row>
    <row r="40" customFormat="false" ht="17.1" hidden="false" customHeight="true" outlineLevel="0" collapsed="false">
      <c r="A40" s="229" t="s">
        <v>102</v>
      </c>
      <c r="B40" s="698" t="n">
        <f aca="false">PGL_Requirements!O7/1000</f>
        <v>103</v>
      </c>
      <c r="C40" s="698" t="s">
        <v>0</v>
      </c>
      <c r="D40" s="714"/>
      <c r="E40" s="708"/>
      <c r="F40" s="715" t="s">
        <v>457</v>
      </c>
      <c r="G40" s="244"/>
      <c r="H40" s="716"/>
      <c r="I40" s="717"/>
    </row>
    <row r="41" customFormat="false" ht="17.1" hidden="false" customHeight="true" outlineLevel="0" collapsed="false">
      <c r="A41" s="229" t="s">
        <v>458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459</v>
      </c>
      <c r="G41" s="244"/>
      <c r="H41" s="705"/>
      <c r="I41" s="717"/>
    </row>
    <row r="42" customFormat="false" ht="17.1" hidden="false" customHeight="true" outlineLevel="0" collapsed="false">
      <c r="A42" s="229" t="s">
        <v>460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461</v>
      </c>
      <c r="G42" s="244"/>
      <c r="H42" s="705"/>
      <c r="I42" s="717"/>
    </row>
    <row r="43" customFormat="false" ht="17.1" hidden="false" customHeight="true" outlineLevel="0" collapsed="false">
      <c r="A43" s="229" t="s">
        <v>462</v>
      </c>
      <c r="B43" s="698" t="n">
        <f aca="false">PGL_Supplies!G7/1000</f>
        <v>1</v>
      </c>
      <c r="C43" s="244"/>
      <c r="D43" s="244"/>
      <c r="E43" s="708"/>
      <c r="F43" s="718" t="s">
        <v>463</v>
      </c>
      <c r="G43" s="244"/>
      <c r="H43" s="705"/>
      <c r="I43" s="717"/>
    </row>
    <row r="44" customFormat="false" ht="17.1" hidden="false" customHeight="true" outlineLevel="0" collapsed="false">
      <c r="A44" s="229" t="s">
        <v>441</v>
      </c>
      <c r="B44" s="719" t="n">
        <f aca="false">+B48+B47+B45</f>
        <v>1.545</v>
      </c>
      <c r="C44" s="720"/>
      <c r="D44" s="244"/>
      <c r="E44" s="708"/>
      <c r="F44" s="718" t="s">
        <v>464</v>
      </c>
      <c r="G44" s="244"/>
      <c r="H44" s="705"/>
      <c r="I44" s="717"/>
    </row>
    <row r="45" customFormat="false" ht="17.1" hidden="false" customHeight="true" outlineLevel="0" collapsed="false">
      <c r="A45" s="229" t="s">
        <v>104</v>
      </c>
      <c r="B45" s="698" t="n">
        <f aca="false">PGL_Requirements!P7/1000</f>
        <v>1.545</v>
      </c>
      <c r="C45" s="244"/>
      <c r="D45" s="244"/>
      <c r="E45" s="708"/>
      <c r="F45" s="721" t="s">
        <v>465</v>
      </c>
      <c r="G45" s="244"/>
      <c r="H45" s="705"/>
      <c r="I45" s="717"/>
    </row>
    <row r="46" customFormat="false" ht="17.1" hidden="false" customHeight="true" outlineLevel="0" collapsed="false">
      <c r="A46" s="697" t="s">
        <v>466</v>
      </c>
      <c r="B46" s="698" t="n">
        <f aca="false">+B47+B43+B41</f>
        <v>1</v>
      </c>
      <c r="C46" s="244"/>
      <c r="D46" s="244"/>
      <c r="E46" s="708"/>
      <c r="F46" s="718" t="s">
        <v>467</v>
      </c>
      <c r="G46" s="244"/>
      <c r="H46" s="705"/>
      <c r="I46" s="717"/>
    </row>
    <row r="47" customFormat="false" ht="17.1" hidden="false" customHeight="true" outlineLevel="0" collapsed="false">
      <c r="A47" s="229" t="s">
        <v>333</v>
      </c>
      <c r="B47" s="722" t="n">
        <v>0</v>
      </c>
      <c r="C47" s="244"/>
      <c r="D47" s="244"/>
      <c r="E47" s="708"/>
      <c r="F47" s="718" t="s">
        <v>468</v>
      </c>
      <c r="G47" s="244"/>
      <c r="H47" s="705"/>
      <c r="I47" s="717"/>
    </row>
    <row r="48" customFormat="false" ht="17.1" hidden="false" customHeight="true" outlineLevel="0" collapsed="false">
      <c r="A48" s="229" t="s">
        <v>332</v>
      </c>
      <c r="B48" s="723" t="n">
        <v>0</v>
      </c>
      <c r="C48" s="724"/>
      <c r="D48" s="724"/>
      <c r="E48" s="725"/>
      <c r="F48" s="718" t="s">
        <v>469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470</v>
      </c>
      <c r="C49" s="727"/>
      <c r="D49" s="727"/>
      <c r="E49" s="728" t="s">
        <v>0</v>
      </c>
      <c r="F49" s="729" t="s">
        <v>471</v>
      </c>
      <c r="G49" s="266"/>
      <c r="H49" s="730"/>
      <c r="I49" s="717"/>
    </row>
    <row r="50" customFormat="false" ht="17.1" hidden="false" customHeight="true" outlineLevel="0" collapsed="false">
      <c r="A50" s="229" t="s">
        <v>472</v>
      </c>
      <c r="B50" s="230" t="n">
        <f aca="false">PGL_Supplies!U7/1000+PGL_Supplies!C7/1000</f>
        <v>123.648</v>
      </c>
      <c r="C50" s="244"/>
      <c r="D50" s="244"/>
      <c r="E50" s="244"/>
      <c r="F50" s="697" t="s">
        <v>473</v>
      </c>
      <c r="G50" s="731"/>
      <c r="H50" s="383"/>
      <c r="I50" s="717"/>
    </row>
    <row r="51" customFormat="false" ht="17.1" hidden="false" customHeight="true" outlineLevel="0" collapsed="false">
      <c r="A51" s="229" t="s">
        <v>474</v>
      </c>
      <c r="B51" s="230" t="n">
        <f aca="false">PGL_Supplies!Z7/1000</f>
        <v>0</v>
      </c>
      <c r="C51" s="720"/>
      <c r="D51" s="244"/>
      <c r="E51" s="244"/>
      <c r="F51" s="732" t="s">
        <v>475</v>
      </c>
      <c r="G51" s="731"/>
      <c r="H51" s="705"/>
      <c r="I51" s="717"/>
    </row>
    <row r="52" customFormat="false" ht="17.1" hidden="false" customHeight="true" outlineLevel="0" collapsed="false">
      <c r="A52" s="229" t="s">
        <v>476</v>
      </c>
      <c r="B52" s="230" t="n">
        <f aca="false">NSG_Supplies!N7/1000+PGL_Supplies!P7/1000</f>
        <v>0</v>
      </c>
      <c r="C52" s="244"/>
      <c r="D52" s="244"/>
      <c r="E52" s="244"/>
      <c r="F52" s="733" t="s">
        <v>477</v>
      </c>
      <c r="G52" s="734"/>
      <c r="H52" s="735"/>
      <c r="I52" s="717"/>
    </row>
    <row r="53" customFormat="false" ht="17.1" hidden="false" customHeight="true" outlineLevel="0" collapsed="false">
      <c r="A53" s="334" t="s">
        <v>478</v>
      </c>
      <c r="B53" s="230" t="n">
        <f aca="false">PGL_Requirements!I7/1000+NSG_Requirements!E7/1000</f>
        <v>0</v>
      </c>
      <c r="C53" s="244"/>
      <c r="D53" s="244"/>
      <c r="E53" s="244"/>
      <c r="F53" s="729" t="s">
        <v>385</v>
      </c>
      <c r="G53" s="736"/>
      <c r="H53" s="720"/>
      <c r="I53" s="717"/>
    </row>
    <row r="54" customFormat="false" ht="17.1" hidden="false" customHeight="true" outlineLevel="0" collapsed="false">
      <c r="A54" s="697" t="s">
        <v>479</v>
      </c>
      <c r="B54" s="737" t="n">
        <f aca="false">SUM(B50+B51+B52-B53)</f>
        <v>123.648</v>
      </c>
      <c r="C54" s="230"/>
      <c r="D54" s="244"/>
      <c r="E54" s="244"/>
      <c r="F54" s="738" t="s">
        <v>480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88</v>
      </c>
      <c r="C55" s="739"/>
      <c r="D55" s="739"/>
      <c r="E55" s="739"/>
      <c r="F55" s="324" t="s">
        <v>481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450</v>
      </c>
      <c r="B56" s="230" t="n">
        <f aca="false">PGL_Supplies!T7/1000</f>
        <v>0</v>
      </c>
      <c r="C56" s="244"/>
      <c r="D56" s="244"/>
      <c r="E56" s="244"/>
      <c r="F56" s="324" t="s">
        <v>482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483</v>
      </c>
      <c r="B57" s="230" t="e">
        <f aca="false">PGL_Supplies!Y7/1000+#REF!/1000-#REF!/1000</f>
        <v>#REF!</v>
      </c>
      <c r="C57" s="244"/>
      <c r="D57" s="244"/>
      <c r="E57" s="244"/>
      <c r="F57" s="324" t="s">
        <v>484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485</v>
      </c>
      <c r="B58" s="230" t="n">
        <f aca="false">PGL_Requirements!T7/1000</f>
        <v>0.2</v>
      </c>
      <c r="C58" s="244"/>
      <c r="D58" s="244"/>
      <c r="E58" s="244"/>
      <c r="F58" s="324" t="s">
        <v>486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487</v>
      </c>
      <c r="B59" s="230" t="n">
        <f aca="false">PGL_Supplies!Q7/1000</f>
        <v>0</v>
      </c>
      <c r="C59" s="244"/>
      <c r="D59" s="244"/>
      <c r="E59" s="244"/>
      <c r="F59" s="745" t="s">
        <v>478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478</v>
      </c>
      <c r="B60" s="230" t="n">
        <f aca="false">PGL_Requirements!H7/1000</f>
        <v>0</v>
      </c>
      <c r="C60" s="244"/>
      <c r="D60" s="244"/>
      <c r="E60" s="244"/>
      <c r="F60" s="748" t="s">
        <v>488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489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490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479</v>
      </c>
      <c r="B62" s="737" t="e">
        <f aca="false">B56+B57-B58+B59-B60+B61</f>
        <v>#REF!</v>
      </c>
      <c r="C62" s="753"/>
      <c r="D62" s="753"/>
      <c r="E62" s="753"/>
      <c r="F62" s="754" t="s">
        <v>491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492</v>
      </c>
      <c r="D63" s="727"/>
      <c r="E63" s="756" t="s">
        <v>0</v>
      </c>
      <c r="F63" s="729" t="s">
        <v>493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450</v>
      </c>
      <c r="B64" s="230" t="n">
        <f aca="false">PGL_Supplies!X7/1000</f>
        <v>106.796</v>
      </c>
      <c r="C64" s="244"/>
      <c r="D64" s="244"/>
      <c r="E64" s="757"/>
      <c r="F64" s="738" t="s">
        <v>494</v>
      </c>
      <c r="G64" s="738"/>
      <c r="H64" s="738"/>
      <c r="I64" s="738"/>
    </row>
    <row r="65" customFormat="false" ht="17.1" hidden="false" customHeight="true" outlineLevel="0" collapsed="false">
      <c r="A65" s="229" t="s">
        <v>495</v>
      </c>
      <c r="B65" s="230" t="n">
        <f aca="false">PGL_Supplies!AC7/1000+PGL_Supplies!F7/1000-PGL_Requirements!E7/1000</f>
        <v>8.3</v>
      </c>
      <c r="C65" s="291" t="s">
        <v>0</v>
      </c>
      <c r="D65" s="244"/>
      <c r="E65" s="758"/>
      <c r="F65" s="759" t="s">
        <v>496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497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498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499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500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501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478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502</v>
      </c>
      <c r="G69" s="761" t="s">
        <v>0</v>
      </c>
      <c r="H69" s="714" t="s">
        <v>503</v>
      </c>
      <c r="I69" s="758"/>
    </row>
    <row r="70" customFormat="false" ht="17.1" hidden="false" customHeight="true" outlineLevel="0" collapsed="false">
      <c r="A70" s="229" t="s">
        <v>504</v>
      </c>
      <c r="B70" s="245" t="n">
        <f aca="false">PGL_Requirements!O7/1000</f>
        <v>103</v>
      </c>
      <c r="C70" s="764" t="s">
        <v>0</v>
      </c>
      <c r="D70" s="244"/>
      <c r="E70" s="758"/>
      <c r="F70" s="770" t="s">
        <v>505</v>
      </c>
      <c r="G70" s="761" t="s">
        <v>0</v>
      </c>
      <c r="H70" s="771" t="s">
        <v>506</v>
      </c>
      <c r="I70" s="772"/>
    </row>
    <row r="71" customFormat="false" ht="17.1" hidden="false" customHeight="true" outlineLevel="0" collapsed="false">
      <c r="A71" s="229" t="s">
        <v>507</v>
      </c>
      <c r="B71" s="245" t="n">
        <f aca="false">PGL_Requirements!E7/1000</f>
        <v>0</v>
      </c>
      <c r="C71" s="291" t="s">
        <v>0</v>
      </c>
      <c r="D71" s="244"/>
      <c r="E71" s="758"/>
      <c r="F71" s="760" t="s">
        <v>508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479</v>
      </c>
      <c r="B72" s="775" t="n">
        <f aca="false">+B65+B64+B66+B68-B67-B69-B70</f>
        <v>12.096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509</v>
      </c>
      <c r="B73" s="738"/>
      <c r="C73" s="738"/>
      <c r="D73" s="720"/>
      <c r="E73" s="720"/>
      <c r="F73" s="782" t="s">
        <v>510</v>
      </c>
      <c r="G73" s="783" t="str">
        <f aca="false">CHOOSE(WEEKDAY(H73),"SUN","MON","TUE","WED","THU","FRI","SAT")</f>
        <v>TUE</v>
      </c>
      <c r="H73" s="784" t="n">
        <f aca="false">Weather_Input!A5</f>
        <v>37089</v>
      </c>
      <c r="I73" s="785"/>
    </row>
    <row r="74" customFormat="false" ht="17.1" hidden="false" customHeight="true" outlineLevel="0" collapsed="false">
      <c r="A74" s="759" t="s">
        <v>511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512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513</v>
      </c>
      <c r="B76" s="724"/>
      <c r="C76" s="725"/>
      <c r="D76" s="789" t="s">
        <v>514</v>
      </c>
      <c r="E76" s="790"/>
      <c r="F76" s="791" t="s">
        <v>515</v>
      </c>
      <c r="G76" s="792"/>
      <c r="H76" s="793" t="s">
        <v>386</v>
      </c>
      <c r="I76" s="794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516</v>
      </c>
      <c r="B90" s="224"/>
      <c r="C90" s="224"/>
      <c r="D90" s="224"/>
      <c r="E90" s="225" t="s">
        <v>286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517</v>
      </c>
      <c r="C91" s="250" t="s">
        <v>0</v>
      </c>
      <c r="D91" s="800" t="s">
        <v>518</v>
      </c>
      <c r="E91" s="801"/>
      <c r="F91" s="802" t="s">
        <v>519</v>
      </c>
      <c r="G91" s="801"/>
      <c r="H91" s="802" t="s">
        <v>427</v>
      </c>
      <c r="I91" s="377"/>
    </row>
    <row r="92" customFormat="false" ht="15" hidden="false" customHeight="false" outlineLevel="0" collapsed="false">
      <c r="A92" s="680" t="s">
        <v>520</v>
      </c>
      <c r="B92" s="800" t="s">
        <v>290</v>
      </c>
      <c r="C92" s="237" t="s">
        <v>291</v>
      </c>
      <c r="D92" s="800" t="s">
        <v>18</v>
      </c>
      <c r="E92" s="237" t="s">
        <v>291</v>
      </c>
      <c r="F92" s="800" t="s">
        <v>18</v>
      </c>
      <c r="G92" s="237" t="s">
        <v>291</v>
      </c>
      <c r="H92" s="800" t="s">
        <v>18</v>
      </c>
      <c r="I92" s="377" t="s">
        <v>291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299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434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88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77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89</v>
      </c>
      <c r="B99" s="308" t="s">
        <v>0</v>
      </c>
      <c r="C99" s="809" t="n">
        <f aca="false">B141</f>
        <v>123.648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351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318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43</v>
      </c>
      <c r="B102" s="308" t="s">
        <v>2</v>
      </c>
      <c r="C102" s="809" t="n">
        <f aca="false">B162</f>
        <v>115.096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158</v>
      </c>
      <c r="B103" s="308" t="s">
        <v>0</v>
      </c>
      <c r="C103" s="809" t="n">
        <f aca="false">PGL_Requirements!F7/1000</f>
        <v>25.8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186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521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44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522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340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288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345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346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523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399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524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525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400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526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350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353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356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402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527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528</v>
      </c>
      <c r="B123" s="698" t="n">
        <f aca="false">-PGL_Supplies!W7/1000</f>
        <v>-0.3</v>
      </c>
      <c r="C123" s="698" t="n">
        <f aca="false">-NSG_Supplies!R7/1000</f>
        <v>-15.99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88</v>
      </c>
      <c r="D124" s="712"/>
      <c r="E124" s="713"/>
      <c r="F124" s="435" t="s">
        <v>359</v>
      </c>
      <c r="G124" s="435"/>
      <c r="H124" s="435"/>
      <c r="I124" s="435"/>
    </row>
    <row r="125" customFormat="false" ht="15" hidden="false" customHeight="false" outlineLevel="0" collapsed="false">
      <c r="A125" s="229" t="s">
        <v>404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529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361</v>
      </c>
      <c r="G126" s="823"/>
      <c r="H126" s="319"/>
      <c r="I126" s="717"/>
    </row>
    <row r="127" customFormat="false" ht="15" hidden="false" customHeight="false" outlineLevel="0" collapsed="false">
      <c r="A127" s="229" t="s">
        <v>530</v>
      </c>
      <c r="B127" s="698" t="n">
        <f aca="false">PGL_Requirements!N7/1000</f>
        <v>11.16</v>
      </c>
      <c r="C127" s="698" t="s">
        <v>0</v>
      </c>
      <c r="D127" s="244"/>
      <c r="E127" s="708"/>
      <c r="F127" s="229" t="s">
        <v>364</v>
      </c>
      <c r="G127" s="823"/>
      <c r="H127" s="705"/>
      <c r="I127" s="717"/>
    </row>
    <row r="128" customFormat="false" ht="15" hidden="false" customHeight="false" outlineLevel="0" collapsed="false">
      <c r="A128" s="229" t="s">
        <v>399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367</v>
      </c>
      <c r="G128" s="823"/>
      <c r="H128" s="705"/>
      <c r="I128" s="717"/>
    </row>
    <row r="129" customFormat="false" ht="15" hidden="false" customHeight="false" outlineLevel="0" collapsed="false">
      <c r="A129" s="229" t="s">
        <v>531</v>
      </c>
      <c r="B129" s="698" t="e">
        <f aca="false">#REF!/1000</f>
        <v>#REF!</v>
      </c>
      <c r="C129" s="244"/>
      <c r="D129" s="244"/>
      <c r="E129" s="708"/>
      <c r="F129" s="229" t="s">
        <v>371</v>
      </c>
      <c r="G129" s="823"/>
      <c r="H129" s="705"/>
      <c r="I129" s="717"/>
    </row>
    <row r="130" customFormat="false" ht="15" hidden="false" customHeight="false" outlineLevel="0" collapsed="false">
      <c r="A130" s="229" t="s">
        <v>532</v>
      </c>
      <c r="B130" s="698" t="n">
        <f aca="false">PGL_Requirements!Z7/1000</f>
        <v>0</v>
      </c>
      <c r="C130" s="295"/>
      <c r="D130" s="244"/>
      <c r="E130" s="708"/>
      <c r="F130" s="229" t="s">
        <v>375</v>
      </c>
      <c r="G130" s="823"/>
      <c r="H130" s="705"/>
      <c r="I130" s="717"/>
    </row>
    <row r="131" customFormat="false" ht="15" hidden="false" customHeight="false" outlineLevel="0" collapsed="false">
      <c r="A131" s="8" t="s">
        <v>176</v>
      </c>
      <c r="B131" s="230" t="n">
        <f aca="false">PGL_Supplies!Y7/1000</f>
        <v>0.2</v>
      </c>
      <c r="C131" s="244"/>
      <c r="D131" s="244"/>
      <c r="E131" s="708"/>
      <c r="F131" s="334" t="s">
        <v>377</v>
      </c>
      <c r="G131" s="823"/>
      <c r="H131" s="705"/>
      <c r="I131" s="717"/>
    </row>
    <row r="132" customFormat="false" ht="15.75" hidden="false" customHeight="false" outlineLevel="0" collapsed="false">
      <c r="A132" s="229" t="s">
        <v>450</v>
      </c>
      <c r="B132" s="230" t="n">
        <f aca="false">PGL_Supplies!T7/1000</f>
        <v>0</v>
      </c>
      <c r="C132" s="266"/>
      <c r="D132" s="266"/>
      <c r="E132" s="824"/>
      <c r="F132" s="229" t="s">
        <v>380</v>
      </c>
      <c r="G132" s="823"/>
      <c r="H132" s="705"/>
      <c r="I132" s="717"/>
    </row>
    <row r="133" customFormat="false" ht="16.5" hidden="false" customHeight="false" outlineLevel="0" collapsed="false">
      <c r="A133" s="275" t="s">
        <v>300</v>
      </c>
      <c r="B133" s="269" t="e">
        <f aca="false">B126+B127+B130+B131+B132-B125-B128-B129</f>
        <v>#REF!</v>
      </c>
      <c r="C133" s="278"/>
      <c r="D133" s="278"/>
      <c r="E133" s="825"/>
      <c r="F133" s="229" t="s">
        <v>383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89</v>
      </c>
      <c r="D134" s="314"/>
      <c r="E134" s="314" t="s">
        <v>0</v>
      </c>
      <c r="F134" s="827" t="s">
        <v>533</v>
      </c>
      <c r="G134" s="828"/>
      <c r="H134" s="705"/>
      <c r="I134" s="717"/>
    </row>
    <row r="135" customFormat="false" ht="15" hidden="false" customHeight="false" outlineLevel="0" collapsed="false">
      <c r="A135" s="229" t="s">
        <v>399</v>
      </c>
      <c r="B135" s="829" t="n">
        <f aca="false">PGL_Requirements!I7</f>
        <v>0</v>
      </c>
      <c r="C135" s="231"/>
      <c r="D135" s="231"/>
      <c r="E135" s="231"/>
      <c r="F135" s="830" t="s">
        <v>352</v>
      </c>
      <c r="G135" s="828"/>
      <c r="H135" s="730"/>
      <c r="I135" s="717"/>
    </row>
    <row r="136" customFormat="false" ht="15" hidden="false" customHeight="false" outlineLevel="0" collapsed="false">
      <c r="A136" s="229" t="s">
        <v>534</v>
      </c>
      <c r="B136" s="230" t="n">
        <f aca="false">NSG_Supplies!N7/1011</f>
        <v>0</v>
      </c>
      <c r="C136" s="244"/>
      <c r="D136" s="244"/>
      <c r="E136" s="244"/>
      <c r="F136" s="229" t="s">
        <v>368</v>
      </c>
      <c r="G136" s="823"/>
      <c r="H136" s="383"/>
      <c r="I136" s="717"/>
    </row>
    <row r="137" customFormat="false" ht="15" hidden="false" customHeight="false" outlineLevel="0" collapsed="false">
      <c r="A137" s="229" t="s">
        <v>535</v>
      </c>
      <c r="B137" s="230" t="n">
        <f aca="false">PGL_Supplies!Z7/1000</f>
        <v>0</v>
      </c>
      <c r="C137" s="295"/>
      <c r="D137" s="244"/>
      <c r="E137" s="244"/>
      <c r="F137" s="229" t="s">
        <v>372</v>
      </c>
      <c r="G137" s="823"/>
      <c r="H137" s="705"/>
      <c r="I137" s="717"/>
    </row>
    <row r="138" customFormat="false" ht="15" hidden="false" customHeight="false" outlineLevel="0" collapsed="false">
      <c r="A138" s="229" t="s">
        <v>341</v>
      </c>
      <c r="B138" s="829" t="n">
        <f aca="false">PGL_Requirements!C7</f>
        <v>0</v>
      </c>
      <c r="C138" s="244"/>
      <c r="D138" s="244"/>
      <c r="E138" s="244"/>
      <c r="F138" s="229" t="s">
        <v>52</v>
      </c>
      <c r="G138" s="823"/>
      <c r="H138" s="383"/>
      <c r="I138" s="717"/>
    </row>
    <row r="139" customFormat="false" ht="15" hidden="false" customHeight="false" outlineLevel="0" collapsed="false">
      <c r="A139" s="229" t="s">
        <v>536</v>
      </c>
      <c r="B139" s="230" t="n">
        <f aca="false">PGL_Supplies!C7/1000</f>
        <v>0</v>
      </c>
      <c r="C139" s="244"/>
      <c r="D139" s="244"/>
      <c r="E139" s="244"/>
      <c r="F139" s="334" t="s">
        <v>378</v>
      </c>
      <c r="G139" s="831"/>
      <c r="H139" s="832"/>
      <c r="I139" s="717"/>
    </row>
    <row r="140" customFormat="false" ht="15.75" hidden="false" customHeight="false" outlineLevel="0" collapsed="false">
      <c r="A140" s="229" t="s">
        <v>450</v>
      </c>
      <c r="B140" s="230" t="n">
        <f aca="false">PGL_Supplies!U7/1000</f>
        <v>123.648</v>
      </c>
      <c r="C140" s="266"/>
      <c r="D140" s="266"/>
      <c r="E140" s="266"/>
      <c r="F140" s="334" t="s">
        <v>381</v>
      </c>
      <c r="G140" s="831"/>
      <c r="H140" s="363"/>
      <c r="I140" s="717"/>
    </row>
    <row r="141" customFormat="false" ht="16.5" hidden="false" customHeight="false" outlineLevel="0" collapsed="false">
      <c r="A141" s="275" t="s">
        <v>300</v>
      </c>
      <c r="B141" s="833" t="n">
        <f aca="false">-B135+B136+B137-B138+B139+B140</f>
        <v>123.648</v>
      </c>
      <c r="C141" s="336"/>
      <c r="D141" s="278"/>
      <c r="E141" s="312"/>
      <c r="F141" s="384" t="s">
        <v>385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77</v>
      </c>
      <c r="D142" s="314"/>
      <c r="E142" s="314"/>
      <c r="F142" s="836" t="s">
        <v>0</v>
      </c>
      <c r="G142" s="837" t="s">
        <v>537</v>
      </c>
      <c r="H142" s="838" t="s">
        <v>0</v>
      </c>
      <c r="I142" s="838"/>
    </row>
    <row r="143" customFormat="false" ht="15" hidden="false" customHeight="false" outlineLevel="0" collapsed="false">
      <c r="A143" s="229" t="s">
        <v>95</v>
      </c>
      <c r="B143" s="230" t="n">
        <f aca="false">PGL_Requirements!O7/1000</f>
        <v>103</v>
      </c>
      <c r="C143" s="244"/>
      <c r="D143" s="244"/>
      <c r="E143" s="244"/>
      <c r="F143" s="233" t="s">
        <v>288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316</v>
      </c>
      <c r="B144" s="230" t="n">
        <f aca="false">PGL_Supplies!L7/1000</f>
        <v>0</v>
      </c>
      <c r="C144" s="244"/>
      <c r="D144" s="244"/>
      <c r="E144" s="244"/>
      <c r="F144" s="324" t="s">
        <v>293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319</v>
      </c>
      <c r="B145" s="230" t="n">
        <f aca="false">PGL_Requirements!B7/1000</f>
        <v>0</v>
      </c>
      <c r="C145" s="244"/>
      <c r="D145" s="244"/>
      <c r="E145" s="244"/>
      <c r="F145" s="255" t="s">
        <v>295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322</v>
      </c>
      <c r="B146" s="230" t="n">
        <f aca="false">PGL_Supplies!G7/1000</f>
        <v>1</v>
      </c>
      <c r="C146" s="244"/>
      <c r="D146" s="244"/>
      <c r="E146" s="244"/>
      <c r="F146" s="840" t="s">
        <v>298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345</v>
      </c>
      <c r="B147" s="230" t="s">
        <v>0</v>
      </c>
      <c r="C147" s="244"/>
      <c r="D147" s="244"/>
      <c r="E147" s="244"/>
      <c r="F147" s="738" t="s">
        <v>323</v>
      </c>
      <c r="G147" s="738"/>
      <c r="H147" s="738"/>
      <c r="I147" s="738"/>
    </row>
    <row r="148" customFormat="false" ht="15.75" hidden="false" customHeight="false" outlineLevel="0" collapsed="false">
      <c r="A148" s="229" t="s">
        <v>538</v>
      </c>
      <c r="B148" s="230" t="n">
        <f aca="false">PGL_Requirements!P7/1000</f>
        <v>1.545</v>
      </c>
      <c r="C148" s="266"/>
      <c r="D148" s="266"/>
      <c r="E148" s="266"/>
      <c r="F148" s="335" t="s">
        <v>326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298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332</v>
      </c>
      <c r="B150" s="847" t="n">
        <f aca="false">PGL_Deliveries!AE5</f>
        <v>0</v>
      </c>
      <c r="C150" s="353"/>
      <c r="D150" s="353"/>
      <c r="E150" s="848"/>
      <c r="F150" s="840" t="s">
        <v>298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333</v>
      </c>
      <c r="B151" s="847" t="n">
        <f aca="false">PGL_Deliveries!AG5</f>
        <v>0</v>
      </c>
      <c r="C151" s="753"/>
      <c r="D151" s="753"/>
      <c r="E151" s="753"/>
      <c r="F151" s="738" t="s">
        <v>351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43</v>
      </c>
      <c r="D152" s="728"/>
      <c r="E152" s="756" t="s">
        <v>0</v>
      </c>
      <c r="F152" s="335" t="s">
        <v>539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540</v>
      </c>
      <c r="B153" s="245" t="n">
        <f aca="false">PGL_Requirements!M7/1000</f>
        <v>0</v>
      </c>
      <c r="C153" s="244"/>
      <c r="D153" s="244"/>
      <c r="E153" s="757"/>
      <c r="F153" s="850" t="s">
        <v>354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302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357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304</v>
      </c>
      <c r="B155" s="245" t="n">
        <f aca="false">PGL_Requirements!E7/1000</f>
        <v>0</v>
      </c>
      <c r="C155" s="291" t="s">
        <v>0</v>
      </c>
      <c r="D155" s="244"/>
      <c r="E155" s="758"/>
      <c r="F155" s="229" t="s">
        <v>176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307</v>
      </c>
      <c r="B156" s="230" t="n">
        <f aca="false">PGL_Supplies!F7/1000</f>
        <v>5.3</v>
      </c>
      <c r="C156" s="764" t="s">
        <v>0</v>
      </c>
      <c r="D156" s="244"/>
      <c r="E156" s="758"/>
      <c r="F156" s="334" t="s">
        <v>450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541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542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543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544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176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509</v>
      </c>
      <c r="G159" s="858"/>
      <c r="H159" s="858"/>
      <c r="I159" s="858"/>
    </row>
    <row r="160" customFormat="false" ht="15.75" hidden="false" customHeight="false" outlineLevel="0" collapsed="false">
      <c r="A160" s="229" t="s">
        <v>450</v>
      </c>
      <c r="B160" s="859" t="n">
        <f aca="false">PGL_Supplies!X7/1000</f>
        <v>106.796</v>
      </c>
      <c r="C160" s="305" t="s">
        <v>0</v>
      </c>
      <c r="D160" s="266"/>
      <c r="E160" s="860"/>
      <c r="F160" s="320" t="s">
        <v>314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545</v>
      </c>
      <c r="B161" s="232"/>
      <c r="C161" s="863" t="s">
        <v>0</v>
      </c>
      <c r="D161" s="864"/>
      <c r="E161" s="865"/>
      <c r="F161" s="866" t="s">
        <v>317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298</v>
      </c>
      <c r="B162" s="868" t="n">
        <f aca="false">B154+B156+B158+B159+B160-B153-B155-B157-B161</f>
        <v>115.096</v>
      </c>
      <c r="C162" s="775"/>
      <c r="D162" s="776"/>
      <c r="E162" s="869"/>
      <c r="F162" s="870" t="s">
        <v>513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546</v>
      </c>
      <c r="C163" s="873"/>
      <c r="D163" s="873" t="s">
        <v>547</v>
      </c>
      <c r="E163" s="873"/>
      <c r="F163" s="873"/>
      <c r="G163" s="873"/>
      <c r="H163" s="874" t="s">
        <v>386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548</v>
      </c>
      <c r="B2" s="876" t="s">
        <v>548</v>
      </c>
      <c r="C2" s="876" t="s">
        <v>548</v>
      </c>
      <c r="D2" s="876" t="s">
        <v>548</v>
      </c>
      <c r="E2" s="876" t="s">
        <v>548</v>
      </c>
      <c r="F2" s="876" t="s">
        <v>548</v>
      </c>
      <c r="G2" s="876" t="s">
        <v>548</v>
      </c>
      <c r="H2" s="876" t="s">
        <v>548</v>
      </c>
      <c r="I2" s="877" t="s">
        <v>548</v>
      </c>
      <c r="J2" s="877"/>
    </row>
    <row r="14" customFormat="false" ht="30" hidden="false" customHeight="false" outlineLevel="0" collapsed="false">
      <c r="A14" s="876" t="s">
        <v>549</v>
      </c>
      <c r="B14" s="876" t="s">
        <v>549</v>
      </c>
      <c r="C14" s="876" t="s">
        <v>549</v>
      </c>
      <c r="D14" s="876" t="s">
        <v>549</v>
      </c>
      <c r="E14" s="876" t="s">
        <v>549</v>
      </c>
      <c r="F14" s="876" t="s">
        <v>549</v>
      </c>
      <c r="G14" s="876" t="s">
        <v>549</v>
      </c>
      <c r="H14" s="876" t="s">
        <v>549</v>
      </c>
      <c r="I14" s="877" t="s">
        <v>549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548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550</v>
      </c>
      <c r="D5" s="9" t="s">
        <v>551</v>
      </c>
      <c r="F5" s="878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78" t="s">
        <v>560</v>
      </c>
    </row>
    <row r="12" customFormat="false" ht="15.75" hidden="false" customHeight="false" outlineLevel="0" collapsed="false">
      <c r="D12" s="878" t="s">
        <v>561</v>
      </c>
    </row>
    <row r="14" customFormat="false" ht="30" hidden="false" customHeight="false" outlineLevel="0" collapsed="false">
      <c r="A14" s="877" t="s">
        <v>549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564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565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566</v>
      </c>
      <c r="D22" s="881" t="n">
        <f aca="true">NOW()</f>
        <v>45927.0033137467</v>
      </c>
      <c r="F22" s="9" t="s">
        <v>567</v>
      </c>
      <c r="G22" s="882" t="n">
        <f aca="true">NOW()</f>
        <v>45927.0033137468</v>
      </c>
    </row>
    <row r="24" customFormat="false" ht="15" hidden="false" customHeight="false" outlineLevel="0" collapsed="false">
      <c r="B24" s="9" t="s">
        <v>568</v>
      </c>
      <c r="D24" s="883" t="s">
        <v>569</v>
      </c>
      <c r="E24" s="0" t="s">
        <v>0</v>
      </c>
      <c r="F24" s="9" t="s">
        <v>570</v>
      </c>
      <c r="G24" s="884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572</v>
      </c>
    </row>
    <row r="27" customFormat="false" ht="15.75" hidden="false" customHeight="false" outlineLevel="0" collapsed="false">
      <c r="B27" s="885" t="s">
        <v>0</v>
      </c>
      <c r="C27" s="9" t="s">
        <v>573</v>
      </c>
    </row>
    <row r="28" customFormat="false" ht="15.75" hidden="false" customHeight="false" outlineLevel="0" collapsed="false">
      <c r="B28" s="885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6" t="n">
        <v>35915</v>
      </c>
    </row>
    <row r="34" customFormat="false" ht="15.75" hidden="false" customHeight="false" outlineLevel="0" collapsed="false">
      <c r="B34" s="9" t="s">
        <v>578</v>
      </c>
      <c r="E34" s="887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87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81" t="n">
        <f aca="false">+E32+1</f>
        <v>35916</v>
      </c>
      <c r="F38" s="887" t="n">
        <v>0</v>
      </c>
      <c r="G38" s="0" t="s">
        <v>579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579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579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579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405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583</v>
      </c>
      <c r="D49" s="889"/>
    </row>
    <row r="50" customFormat="false" ht="15" hidden="false" customHeight="false" outlineLevel="0" collapsed="false">
      <c r="B50" s="890"/>
      <c r="C50" s="888" t="s">
        <v>584</v>
      </c>
    </row>
    <row r="51" customFormat="false" ht="15" hidden="false" customHeight="false" outlineLevel="0" collapsed="false">
      <c r="B51" s="890"/>
      <c r="C51" s="888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586</v>
      </c>
      <c r="E4" s="900"/>
      <c r="F4" s="900" t="s">
        <v>587</v>
      </c>
      <c r="G4" s="900"/>
      <c r="H4" s="901"/>
      <c r="I4" s="902" t="s">
        <v>588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Tuesday</v>
      </c>
      <c r="B5" s="903" t="n">
        <f aca="false">Weather_Input!A5</f>
        <v>37089</v>
      </c>
      <c r="C5" s="13"/>
      <c r="D5" s="904" t="s">
        <v>589</v>
      </c>
      <c r="E5" s="905" t="n">
        <f aca="false">Weather_Input!B5</f>
        <v>85</v>
      </c>
      <c r="F5" s="906" t="s">
        <v>590</v>
      </c>
      <c r="G5" s="907" t="n">
        <f aca="false">Weather_Input!H5</f>
        <v>0</v>
      </c>
      <c r="H5" s="908" t="s">
        <v>591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291</v>
      </c>
      <c r="E6" s="905" t="n">
        <f aca="false">Weather_Input!C5</f>
        <v>72</v>
      </c>
      <c r="F6" s="906" t="s">
        <v>592</v>
      </c>
      <c r="G6" s="907" t="n">
        <f aca="false">Weather_Input!F5</f>
        <v>5</v>
      </c>
      <c r="H6" s="908" t="s">
        <v>593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594</v>
      </c>
      <c r="E7" s="905" t="n">
        <f aca="false">IF(Weather_Input!E5="N/A",(Weather_Input!C5+Weather_Input!B5)/2,Weather_Input!E5)</f>
        <v>78.5</v>
      </c>
      <c r="F7" s="906" t="s">
        <v>595</v>
      </c>
      <c r="G7" s="907" t="n">
        <f aca="false">Weather_Input!G5</f>
        <v>6704</v>
      </c>
      <c r="H7" s="908" t="s">
        <v>595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PARTLY SUNNY.WARM AND HUMID WITH A 30% CHANCE OF SHOWERS AND T'STOR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MS. SOUTH WINDS 10 MPH. OVERNIGHT…PARTLY CLOUDY…T'STORMS POSSIBLE.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Wednesday</v>
      </c>
      <c r="B10" s="903" t="n">
        <f aca="false">Weather_Input!A6</f>
        <v>37090</v>
      </c>
      <c r="C10" s="13"/>
      <c r="D10" s="904" t="s">
        <v>589</v>
      </c>
      <c r="E10" s="905" t="n">
        <f aca="false">Weather_Input!B6</f>
        <v>90</v>
      </c>
      <c r="F10" s="906" t="s">
        <v>590</v>
      </c>
      <c r="G10" s="907" t="n">
        <f aca="false">IF(E12&lt;65,65-(Weather_Input!B6+Weather_Input!C6)/2,0)</f>
        <v>0</v>
      </c>
      <c r="H10" s="908" t="s">
        <v>591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291</v>
      </c>
      <c r="E11" s="905" t="n">
        <f aca="false">Weather_Input!C6</f>
        <v>72</v>
      </c>
      <c r="F11" s="906" t="s">
        <v>592</v>
      </c>
      <c r="G11" s="907" t="n">
        <f aca="false">IF(DAY(B10)=1,G10,G6+G10)</f>
        <v>5</v>
      </c>
      <c r="H11" s="908" t="s">
        <v>593</v>
      </c>
      <c r="I11" s="909" t="n">
        <f aca="true">G11-(VLOOKUP(B10,DD_Normal_Data,CELL("Col",C12),FALSE()))</f>
        <v>5</v>
      </c>
      <c r="DE11" s="27" t="s">
        <v>596</v>
      </c>
    </row>
    <row r="12" customFormat="false" ht="15" hidden="false" customHeight="false" outlineLevel="0" collapsed="false">
      <c r="A12" s="897"/>
      <c r="B12" s="899"/>
      <c r="C12" s="13"/>
      <c r="D12" s="904" t="s">
        <v>594</v>
      </c>
      <c r="E12" s="905" t="n">
        <f aca="false">(Weather_Input!C6+Weather_Input!B6)/2</f>
        <v>81</v>
      </c>
      <c r="F12" s="906" t="s">
        <v>595</v>
      </c>
      <c r="G12" s="907" t="n">
        <f aca="false">IF(AND(DAY(B10)=1,MONTH(B10)=8),G10,G7+G10)</f>
        <v>6704</v>
      </c>
      <c r="H12" s="908" t="s">
        <v>595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PARTLY CLOUDY WITH A 30% CHANCE OF T'STORMS. OVERNIGHT…PARTLY CLOUDY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WITH A 30% CHANCE OF T'STORMS.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Thursday</v>
      </c>
      <c r="B15" s="903" t="n">
        <f aca="false">Weather_Input!A7</f>
        <v>37091</v>
      </c>
      <c r="C15" s="13"/>
      <c r="D15" s="904" t="s">
        <v>589</v>
      </c>
      <c r="E15" s="905" t="n">
        <f aca="false">Weather_Input!B7</f>
        <v>91</v>
      </c>
      <c r="F15" s="906" t="s">
        <v>590</v>
      </c>
      <c r="G15" s="907" t="n">
        <f aca="false">IF(E17&lt;65,65-(Weather_Input!B7+Weather_Input!C7)/2,0)</f>
        <v>0</v>
      </c>
      <c r="H15" s="908" t="s">
        <v>591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291</v>
      </c>
      <c r="E16" s="905" t="n">
        <f aca="false">Weather_Input!C7</f>
        <v>70</v>
      </c>
      <c r="F16" s="906" t="s">
        <v>592</v>
      </c>
      <c r="G16" s="907" t="n">
        <f aca="false">IF(DAY(B15)=1,G15,G11+G15)</f>
        <v>5</v>
      </c>
      <c r="H16" s="908" t="s">
        <v>593</v>
      </c>
      <c r="I16" s="909" t="n">
        <f aca="true">G16-(VLOOKUP(B15,DD_Normal_Data,CELL("Col",C17),FALSE()))</f>
        <v>5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594</v>
      </c>
      <c r="E17" s="905" t="n">
        <f aca="false">(Weather_Input!C7+Weather_Input!B7)/2</f>
        <v>80.5</v>
      </c>
      <c r="F17" s="906" t="s">
        <v>595</v>
      </c>
      <c r="G17" s="907" t="n">
        <f aca="false">IF(AND(DAY(B15)=1,MONTH(B15)=8),G15,G12+G15)</f>
        <v>6704</v>
      </c>
      <c r="H17" s="908" t="s">
        <v>595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PARTLY CLOUDY. CHANCE OF SHOWERS EARLY.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Friday</v>
      </c>
      <c r="B20" s="903" t="n">
        <f aca="false">Weather_Input!A8</f>
        <v>37092</v>
      </c>
      <c r="C20" s="13"/>
      <c r="D20" s="904" t="s">
        <v>589</v>
      </c>
      <c r="E20" s="905" t="n">
        <f aca="false">Weather_Input!B8</f>
        <v>91</v>
      </c>
      <c r="F20" s="906" t="s">
        <v>590</v>
      </c>
      <c r="G20" s="907" t="n">
        <f aca="false">IF(E22&lt;65,65-(Weather_Input!B8+Weather_Input!C8)/2,0)</f>
        <v>0</v>
      </c>
      <c r="H20" s="908" t="s">
        <v>591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291</v>
      </c>
      <c r="E21" s="905" t="n">
        <f aca="false">Weather_Input!C8</f>
        <v>71</v>
      </c>
      <c r="F21" s="906" t="s">
        <v>592</v>
      </c>
      <c r="G21" s="907" t="n">
        <f aca="false">IF(DAY(B20)=1,G20,G16+G20)</f>
        <v>5</v>
      </c>
      <c r="H21" s="908" t="s">
        <v>593</v>
      </c>
      <c r="I21" s="909" t="n">
        <f aca="true">G21-(VLOOKUP(B20,DD_Normal_Data,CELL("Col",C22),FALSE()))</f>
        <v>5</v>
      </c>
      <c r="DE21" s="27" t="s">
        <v>597</v>
      </c>
    </row>
    <row r="22" customFormat="false" ht="15" hidden="false" customHeight="false" outlineLevel="0" collapsed="false">
      <c r="A22" s="897"/>
      <c r="B22" s="903"/>
      <c r="C22" s="13"/>
      <c r="D22" s="904" t="s">
        <v>594</v>
      </c>
      <c r="E22" s="905" t="n">
        <f aca="false">(Weather_Input!C8+Weather_Input!B8)/2</f>
        <v>81</v>
      </c>
      <c r="F22" s="906" t="s">
        <v>595</v>
      </c>
      <c r="G22" s="907" t="n">
        <f aca="false">IF(AND(DAY(B20)=1,MONTH(B20)=8),G20,G17+G20)</f>
        <v>6704</v>
      </c>
      <c r="H22" s="908" t="s">
        <v>595</v>
      </c>
      <c r="I22" s="909" t="n">
        <f aca="true">G22-(VLOOKUP(B20,DD_Normal_Data,CELL("Col",D19),FALSE()))</f>
        <v>282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PARTLY CLOUDY.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Saturday</v>
      </c>
      <c r="B25" s="903" t="n">
        <f aca="false">Weather_Input!A9</f>
        <v>37093</v>
      </c>
      <c r="C25" s="13"/>
      <c r="D25" s="904" t="s">
        <v>589</v>
      </c>
      <c r="E25" s="905" t="n">
        <f aca="false">Weather_Input!B9</f>
        <v>91</v>
      </c>
      <c r="F25" s="906" t="s">
        <v>590</v>
      </c>
      <c r="G25" s="907" t="n">
        <f aca="false">IF(E27&lt;65,65-(Weather_Input!B9+Weather_Input!C9)/2,0)</f>
        <v>0</v>
      </c>
      <c r="H25" s="908" t="s">
        <v>591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291</v>
      </c>
      <c r="E26" s="905" t="n">
        <f aca="false">Weather_Input!C9</f>
        <v>72</v>
      </c>
      <c r="F26" s="906" t="s">
        <v>592</v>
      </c>
      <c r="G26" s="907" t="n">
        <f aca="false">IF(DAY(B25)=1,G25,G21+G25)</f>
        <v>5</v>
      </c>
      <c r="H26" s="908" t="s">
        <v>593</v>
      </c>
      <c r="I26" s="909" t="n">
        <f aca="true">G26-(VLOOKUP(B25,DD_Normal_Data,CELL("Col",C27),FALSE()))</f>
        <v>5</v>
      </c>
      <c r="DE26" s="27" t="s">
        <v>598</v>
      </c>
    </row>
    <row r="27" customFormat="false" ht="15" hidden="false" customHeight="false" outlineLevel="0" collapsed="false">
      <c r="A27" s="897"/>
      <c r="B27" s="899"/>
      <c r="C27" s="13"/>
      <c r="D27" s="904" t="s">
        <v>594</v>
      </c>
      <c r="E27" s="905" t="n">
        <f aca="false">(Weather_Input!C9+Weather_Input!B9)/2</f>
        <v>81.5</v>
      </c>
      <c r="F27" s="906" t="s">
        <v>595</v>
      </c>
      <c r="G27" s="907" t="n">
        <f aca="false">IF(AND(DAY(B25)=1,MONTH(B25)=8),G25,G22+G25)</f>
        <v>6704</v>
      </c>
      <c r="H27" s="908" t="s">
        <v>595</v>
      </c>
      <c r="I27" s="909" t="n">
        <f aca="true">G27-(VLOOKUP(B25,DD_Normal_Data,CELL("Col",D24),FALSE()))</f>
        <v>282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CLOUDY. 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Sunday</v>
      </c>
      <c r="B30" s="903" t="n">
        <f aca="false">Weather_Input!A10</f>
        <v>37094</v>
      </c>
      <c r="C30" s="13"/>
      <c r="D30" s="904" t="s">
        <v>589</v>
      </c>
      <c r="E30" s="905" t="n">
        <f aca="false">Weather_Input!B10</f>
        <v>91</v>
      </c>
      <c r="F30" s="906" t="s">
        <v>590</v>
      </c>
      <c r="G30" s="907" t="n">
        <f aca="false">IF(E32&lt;65,65-(Weather_Input!B10+Weather_Input!C10)/2,0)</f>
        <v>0</v>
      </c>
      <c r="H30" s="908" t="s">
        <v>591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291</v>
      </c>
      <c r="E31" s="905" t="n">
        <f aca="false">Weather_Input!C10</f>
        <v>72</v>
      </c>
      <c r="F31" s="906" t="s">
        <v>592</v>
      </c>
      <c r="G31" s="907" t="n">
        <f aca="false">IF(DAY(B30)=1,G30,G26+G30)</f>
        <v>5</v>
      </c>
      <c r="H31" s="908" t="s">
        <v>593</v>
      </c>
      <c r="I31" s="909" t="n">
        <f aca="true">G31-(VLOOKUP(B30,DD_Normal_Data,CELL("Col",C32),FALSE()))</f>
        <v>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594</v>
      </c>
      <c r="E32" s="905" t="n">
        <f aca="false">(Weather_Input!C10+Weather_Input!B10)/2</f>
        <v>81.5</v>
      </c>
      <c r="F32" s="906" t="s">
        <v>595</v>
      </c>
      <c r="G32" s="907" t="n">
        <f aca="false">IF(AND(DAY(B30)=1,MONTH(B30)=8),G30,G27+G30)</f>
        <v>6704</v>
      </c>
      <c r="H32" s="908" t="s">
        <v>595</v>
      </c>
      <c r="I32" s="909" t="n">
        <f aca="true">G32-(VLOOKUP(B30,DD_Normal_Data,CELL("Col",D29),FALSE()))</f>
        <v>282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 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599</v>
      </c>
      <c r="B35" s="897" t="s">
        <v>270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65</v>
      </c>
      <c r="B36" s="924" t="n">
        <f aca="false">B5</f>
        <v>37089</v>
      </c>
      <c r="C36" s="924" t="n">
        <f aca="false">B10</f>
        <v>37090</v>
      </c>
      <c r="D36" s="924" t="n">
        <f aca="false">B15</f>
        <v>37091</v>
      </c>
      <c r="E36" s="924" t="n">
        <f aca="false">B20</f>
        <v>37092</v>
      </c>
      <c r="F36" s="924" t="n">
        <f aca="false">B25</f>
        <v>37093</v>
      </c>
      <c r="G36" s="924" t="n">
        <f aca="false">B30</f>
        <v>37094</v>
      </c>
      <c r="H36" s="27"/>
      <c r="I36" s="13"/>
    </row>
    <row r="37" customFormat="false" ht="15" hidden="false" customHeight="false" outlineLevel="0" collapsed="false">
      <c r="A37" s="13" t="s">
        <v>73</v>
      </c>
      <c r="B37" s="925" t="n">
        <f aca="true">(VLOOKUP(B36,PGL_Sendouts,(CELL("COL",PGL_Deliveries!C6))))/1000</f>
        <v>198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185</v>
      </c>
      <c r="F37" s="925" t="n">
        <f aca="true">(VLOOKUP(F36,PGL_Sendouts,(CELL("COL",PGL_Deliveries!C10))))/1000</f>
        <v>175</v>
      </c>
      <c r="G37" s="925" t="n">
        <f aca="true">(VLOOKUP(G36,PGL_Sendouts,(CELL("COL",PGL_Deliveries!C10))))/1000</f>
        <v>185</v>
      </c>
      <c r="H37" s="27"/>
      <c r="I37" s="13"/>
    </row>
    <row r="38" customFormat="false" ht="15" hidden="false" customHeight="false" outlineLevel="0" collapsed="false">
      <c r="A38" s="13" t="s">
        <v>600</v>
      </c>
      <c r="B38" s="925" t="n">
        <f aca="false">PGL_6_Day_Report!D25</f>
        <v>482.725</v>
      </c>
      <c r="C38" s="925" t="n">
        <f aca="false">PGL_6_Day_Report!E25</f>
        <v>397.43</v>
      </c>
      <c r="D38" s="925" t="n">
        <f aca="false">PGL_6_Day_Report!F25</f>
        <v>332.8</v>
      </c>
      <c r="E38" s="925" t="n">
        <f aca="false">PGL_6_Day_Report!G25</f>
        <v>322.8</v>
      </c>
      <c r="F38" s="925" t="n">
        <f aca="false">PGL_6_Day_Report!H25</f>
        <v>312.8</v>
      </c>
      <c r="G38" s="925" t="n">
        <f aca="false">PGL_6_Day_Report!I25</f>
        <v>322.8</v>
      </c>
      <c r="H38" s="27"/>
      <c r="I38" s="13"/>
    </row>
    <row r="39" customFormat="false" ht="15" hidden="false" customHeight="false" outlineLevel="0" collapsed="false">
      <c r="A39" s="926" t="s">
        <v>176</v>
      </c>
      <c r="B39" s="925" t="n">
        <f aca="false">SUM(PGL_Supplies!Y7:AD7)/1000</f>
        <v>268.033</v>
      </c>
      <c r="C39" s="925" t="n">
        <f aca="false">SUM(PGL_Supplies!Y8:AD8)/1000</f>
        <v>242.052</v>
      </c>
      <c r="D39" s="925" t="n">
        <f aca="false">SUM(PGL_Supplies!Y9:AD9)/1000</f>
        <v>237.052</v>
      </c>
      <c r="E39" s="925" t="n">
        <f aca="false">SUM(PGL_Supplies!Y10:AD10)/1000</f>
        <v>237.052</v>
      </c>
      <c r="F39" s="925" t="n">
        <f aca="false">SUM(PGL_Supplies!Y11:AD11)/1000</f>
        <v>237.052</v>
      </c>
      <c r="G39" s="925" t="n">
        <f aca="false">SUM(PGL_Supplies!Y12:AD12)/1000</f>
        <v>237.052</v>
      </c>
      <c r="H39" s="27"/>
      <c r="I39" s="13"/>
    </row>
    <row r="40" customFormat="false" ht="15" hidden="false" customHeight="false" outlineLevel="0" collapsed="false">
      <c r="A40" s="926" t="s">
        <v>601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602</v>
      </c>
      <c r="B41" s="925" t="n">
        <f aca="false">SUM(PGL_Requirements!Q7:T7)/1000</f>
        <v>0.82</v>
      </c>
      <c r="C41" s="925" t="n">
        <f aca="false">SUM(PGL_Requirements!Q7:T7)/1000</f>
        <v>0.82</v>
      </c>
      <c r="D41" s="925" t="n">
        <f aca="false">SUM(PGL_Requirements!Q7:T7)/1000</f>
        <v>0.82</v>
      </c>
      <c r="E41" s="925" t="n">
        <f aca="false">SUM(PGL_Requirements!Q7:T7)/1000</f>
        <v>0.82</v>
      </c>
      <c r="F41" s="925" t="n">
        <f aca="false">SUM(PGL_Requirements!Q7:T7)/1000</f>
        <v>0.82</v>
      </c>
      <c r="G41" s="925" t="n">
        <f aca="false">SUM(PGL_Requirements!Q7:T7)/1000</f>
        <v>0.82</v>
      </c>
      <c r="H41" s="27"/>
      <c r="I41" s="13"/>
    </row>
    <row r="42" customFormat="false" ht="15" hidden="false" customHeight="false" outlineLevel="0" collapsed="false">
      <c r="A42" s="13" t="s">
        <v>603</v>
      </c>
      <c r="B42" s="925" t="n">
        <f aca="false">PGL_Supplies!U7/1000</f>
        <v>123.648</v>
      </c>
      <c r="C42" s="925" t="n">
        <f aca="false">PGL_Supplies!U8/1000</f>
        <v>129.772</v>
      </c>
      <c r="D42" s="925" t="n">
        <f aca="false">PGL_Supplies!U9/1000</f>
        <v>129.772</v>
      </c>
      <c r="E42" s="925" t="n">
        <f aca="false">PGL_Supplies!U10/1000</f>
        <v>129.772</v>
      </c>
      <c r="F42" s="925" t="n">
        <f aca="false">PGL_Supplies!U11/1000</f>
        <v>129.772</v>
      </c>
      <c r="G42" s="925" t="n">
        <f aca="false">PGL_Supplies!U12/1000</f>
        <v>129.772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129</v>
      </c>
      <c r="B44" s="924" t="n">
        <f aca="false">B36</f>
        <v>37089</v>
      </c>
      <c r="C44" s="924" t="n">
        <f aca="false">C36</f>
        <v>37090</v>
      </c>
      <c r="D44" s="924" t="n">
        <f aca="false">D36</f>
        <v>37091</v>
      </c>
      <c r="E44" s="924" t="n">
        <f aca="false">E36</f>
        <v>37092</v>
      </c>
      <c r="F44" s="924" t="n">
        <f aca="false">F36</f>
        <v>37093</v>
      </c>
      <c r="G44" s="924" t="n">
        <f aca="false">G36</f>
        <v>37094</v>
      </c>
      <c r="H44" s="27"/>
      <c r="I44" s="13"/>
    </row>
    <row r="45" customFormat="false" ht="15" hidden="false" customHeight="false" outlineLevel="0" collapsed="false">
      <c r="A45" s="13" t="s">
        <v>73</v>
      </c>
      <c r="B45" s="925" t="n">
        <f aca="false">NSG_6_Day_Report!D6</f>
        <v>33.5</v>
      </c>
      <c r="C45" s="925" t="n">
        <f aca="false">NSG_6_Day_Report!E6</f>
        <v>34</v>
      </c>
      <c r="D45" s="925" t="n">
        <f aca="false">NSG_6_Day_Report!F6</f>
        <v>34</v>
      </c>
      <c r="E45" s="925" t="n">
        <f aca="false">NSG_6_Day_Report!G6</f>
        <v>33</v>
      </c>
      <c r="F45" s="925" t="n">
        <f aca="false">NSG_6_Day_Report!H6</f>
        <v>30</v>
      </c>
      <c r="G45" s="925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26" t="s">
        <v>600</v>
      </c>
      <c r="B46" s="925" t="n">
        <f aca="false">NSG_6_Day_Report!D11</f>
        <v>39.92</v>
      </c>
      <c r="C46" s="925" t="n">
        <f aca="false">NSG_6_Day_Report!E11</f>
        <v>34</v>
      </c>
      <c r="D46" s="925" t="n">
        <f aca="false">NSG_6_Day_Report!F11</f>
        <v>34</v>
      </c>
      <c r="E46" s="925" t="n">
        <f aca="false">NSG_6_Day_Report!G11</f>
        <v>33</v>
      </c>
      <c r="F46" s="925" t="n">
        <f aca="false">NSG_6_Day_Report!H11</f>
        <v>30</v>
      </c>
      <c r="G46" s="925" t="n">
        <f aca="false">NSG_6_Day_Report!I11</f>
        <v>33</v>
      </c>
      <c r="H46" s="27"/>
      <c r="I46" s="13"/>
    </row>
    <row r="47" customFormat="false" ht="15" hidden="false" customHeight="false" outlineLevel="0" collapsed="false">
      <c r="A47" s="926" t="s">
        <v>176</v>
      </c>
      <c r="B47" s="925" t="n">
        <f aca="false">SUM(NSG_Supplies!O7:Q7)/1000</f>
        <v>39.323</v>
      </c>
      <c r="C47" s="925" t="n">
        <f aca="false">SUM(NSG_Supplies!O8:Q8)/1000</f>
        <v>38.65</v>
      </c>
      <c r="D47" s="925" t="n">
        <f aca="false">SUM(NSG_Supplies!O9:Q9)/1000</f>
        <v>38.65</v>
      </c>
      <c r="E47" s="925" t="n">
        <f aca="false">SUM(NSG_Supplies!O10:Q10)/1000</f>
        <v>38.65</v>
      </c>
      <c r="F47" s="925" t="n">
        <f aca="false">SUM(NSG_Supplies!O11:Q11)/1000</f>
        <v>38.65</v>
      </c>
      <c r="G47" s="925" t="n">
        <f aca="false">SUM(NSG_Supplies!O12:Q12)/1000</f>
        <v>38.65</v>
      </c>
      <c r="H47" s="27"/>
      <c r="I47" s="13"/>
    </row>
    <row r="48" customFormat="false" ht="15" hidden="false" customHeight="false" outlineLevel="0" collapsed="false">
      <c r="A48" s="926" t="s">
        <v>601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602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5" t="n">
        <f aca="false">NSG_Supplies!R7/1000</f>
        <v>15.99</v>
      </c>
      <c r="C50" s="925" t="n">
        <f aca="false">NSG_Supplies!R8/1000</f>
        <v>15.317</v>
      </c>
      <c r="D50" s="925" t="n">
        <f aca="false">NSG_Supplies!R9/1000</f>
        <v>15.317</v>
      </c>
      <c r="E50" s="925" t="n">
        <f aca="false">NSG_Supplies!R10/1000</f>
        <v>15.317</v>
      </c>
      <c r="F50" s="925" t="n">
        <f aca="false">NSG_Supplies!R11/1000</f>
        <v>15.317</v>
      </c>
      <c r="G50" s="925" t="n">
        <f aca="false">NSG_Supplies!R12/1000</f>
        <v>15.317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604</v>
      </c>
      <c r="B52" s="924" t="n">
        <f aca="false">B36</f>
        <v>37089</v>
      </c>
      <c r="C52" s="924" t="n">
        <f aca="false">C36</f>
        <v>37090</v>
      </c>
      <c r="D52" s="924" t="n">
        <f aca="false">D36</f>
        <v>37091</v>
      </c>
      <c r="E52" s="924" t="n">
        <f aca="false">E36</f>
        <v>37092</v>
      </c>
      <c r="F52" s="924" t="n">
        <f aca="false">F36</f>
        <v>37093</v>
      </c>
      <c r="G52" s="924" t="n">
        <f aca="false">G36</f>
        <v>37094</v>
      </c>
      <c r="H52" s="27"/>
      <c r="I52" s="13"/>
    </row>
    <row r="53" customFormat="false" ht="15" hidden="false" customHeight="false" outlineLevel="0" collapsed="false">
      <c r="A53" s="929" t="s">
        <v>605</v>
      </c>
      <c r="B53" s="925" t="n">
        <f aca="false">PGL_Requirements!O7/1000</f>
        <v>103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606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607</v>
      </c>
    </row>
    <row r="57" customFormat="false" ht="15.75" hidden="false" customHeight="false" outlineLevel="0" collapsed="false">
      <c r="A57" s="894" t="s">
        <v>608</v>
      </c>
    </row>
    <row r="58" customFormat="false" ht="15.75" hidden="false" customHeight="false" outlineLevel="0" collapsed="false">
      <c r="A58" s="894" t="s">
        <v>609</v>
      </c>
      <c r="G58" s="931"/>
    </row>
    <row r="59" customFormat="false" ht="15.75" hidden="false" customHeight="false" outlineLevel="0" collapsed="false">
      <c r="A59" s="894" t="s">
        <v>610</v>
      </c>
    </row>
    <row r="60" customFormat="false" ht="15.75" hidden="false" customHeight="false" outlineLevel="0" collapsed="false">
      <c r="A60" s="894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612</v>
      </c>
    </row>
    <row r="4" customFormat="false" ht="15" hidden="false" customHeight="false" outlineLevel="0" collapsed="false">
      <c r="A4" s="937"/>
      <c r="B4" s="938" t="str">
        <f aca="false">Six_Day_Summary!A10</f>
        <v>Wednesday</v>
      </c>
      <c r="C4" s="939" t="str">
        <f aca="false">Six_Day_Summary!A15</f>
        <v>Thursday</v>
      </c>
      <c r="D4" s="939" t="str">
        <f aca="false">Six_Day_Summary!A20</f>
        <v>Friday</v>
      </c>
      <c r="E4" s="939" t="str">
        <f aca="false">Six_Day_Summary!A25</f>
        <v>Saturday</v>
      </c>
      <c r="F4" s="940" t="str">
        <f aca="false">Six_Day_Summary!A30</f>
        <v>Sunday</v>
      </c>
      <c r="G4" s="941"/>
    </row>
    <row r="5" customFormat="false" ht="15" hidden="false" customHeight="false" outlineLevel="0" collapsed="false">
      <c r="A5" s="942" t="s">
        <v>613</v>
      </c>
      <c r="B5" s="943" t="n">
        <f aca="false">Weather_Input!A6</f>
        <v>37090</v>
      </c>
      <c r="C5" s="944" t="n">
        <f aca="false">Weather_Input!A7</f>
        <v>37091</v>
      </c>
      <c r="D5" s="944" t="n">
        <f aca="false">Weather_Input!A8</f>
        <v>37092</v>
      </c>
      <c r="E5" s="944" t="n">
        <f aca="false">Weather_Input!A9</f>
        <v>37093</v>
      </c>
      <c r="F5" s="945" t="n">
        <f aca="false">Weather_Input!A10</f>
        <v>37094</v>
      </c>
      <c r="G5" s="941"/>
    </row>
    <row r="6" customFormat="false" ht="15" hidden="false" customHeight="false" outlineLevel="0" collapsed="false">
      <c r="A6" s="941" t="s">
        <v>614</v>
      </c>
      <c r="B6" s="946" t="n">
        <f aca="false">PGL_Supplies!AB8/1000+PGL_Supplies!K8/1000-PGL_Requirements!N8/1000-PGL_Requirements!S8/1000+B8</f>
        <v>37.306</v>
      </c>
      <c r="C6" s="946" t="n">
        <f aca="false">PGL_Supplies!AB9/1000+PGL_Supplies!K9/1000-PGL_Requirements!N9/1000+C15-PGL_Requirements!S9/1000</f>
        <v>32.306</v>
      </c>
      <c r="D6" s="946" t="n">
        <f aca="false">PGL_Supplies!AB10/1000+PGL_Supplies!K10/1000-PGL_Requirements!N10/1000+D15-PGL_Requirements!S10/1000</f>
        <v>32.306</v>
      </c>
      <c r="E6" s="946" t="n">
        <f aca="false">PGL_Supplies!AB11/1000+PGL_Supplies!K11/1000-PGL_Requirements!N11/1000+E15-PGL_Requirements!S11/1000</f>
        <v>32.306</v>
      </c>
      <c r="F6" s="947" t="n">
        <f aca="false">PGL_Supplies!AB12/1000+PGL_Supplies!K12/1000-PGL_Requirements!N12/1000+F15-PGL_Requirements!S12/1000</f>
        <v>32.306</v>
      </c>
      <c r="G6" s="941"/>
      <c r="H6" s="0" t="s">
        <v>0</v>
      </c>
    </row>
    <row r="7" customFormat="false" ht="15" hidden="false" customHeight="false" outlineLevel="0" collapsed="false">
      <c r="A7" s="941" t="s">
        <v>615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616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617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618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619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620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441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621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622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623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624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Wednesday</v>
      </c>
      <c r="C21" s="960" t="str">
        <f aca="false">C4</f>
        <v>Thursday</v>
      </c>
      <c r="D21" s="960" t="str">
        <f aca="false">D4</f>
        <v>Friday</v>
      </c>
      <c r="E21" s="960" t="str">
        <f aca="false">E4</f>
        <v>Saturday</v>
      </c>
      <c r="F21" s="961" t="str">
        <f aca="false">F4</f>
        <v>Sunday</v>
      </c>
      <c r="G21" s="941"/>
    </row>
    <row r="22" customFormat="false" ht="15" hidden="false" customHeight="false" outlineLevel="0" collapsed="false">
      <c r="A22" s="962" t="s">
        <v>613</v>
      </c>
      <c r="B22" s="963" t="n">
        <f aca="false">B5</f>
        <v>37090</v>
      </c>
      <c r="C22" s="963" t="n">
        <f aca="false">C5</f>
        <v>37091</v>
      </c>
      <c r="D22" s="963" t="n">
        <f aca="false">D5</f>
        <v>37092</v>
      </c>
      <c r="E22" s="963" t="n">
        <f aca="false">E5</f>
        <v>37093</v>
      </c>
      <c r="F22" s="964" t="n">
        <f aca="false">F5</f>
        <v>37094</v>
      </c>
      <c r="G22" s="941"/>
    </row>
    <row r="23" customFormat="false" ht="15" hidden="false" customHeight="false" outlineLevel="0" collapsed="false">
      <c r="A23" s="941" t="s">
        <v>614</v>
      </c>
      <c r="B23" s="952" t="n">
        <f aca="false">NSG_Supplies!Q8/1000+NSG_Supplies!F8/1000-NSG_Requirements!H8/1000</f>
        <v>26.65</v>
      </c>
      <c r="C23" s="952" t="n">
        <f aca="false">NSG_Supplies!Q9/1000+NSG_Supplies!F9/1000-NSG_Requirements!H9/1000</f>
        <v>26.65</v>
      </c>
      <c r="D23" s="952" t="n">
        <f aca="false">NSG_Supplies!Q10/1000+NSG_Supplies!F10/1000-NSG_Requirements!H10/1000</f>
        <v>26.65</v>
      </c>
      <c r="E23" s="952" t="n">
        <f aca="false">NSG_Supplies!Q12/1000+NSG_Supplies!F11/1000-NSG_Requirements!H11/1000</f>
        <v>26.65</v>
      </c>
      <c r="F23" s="947" t="n">
        <f aca="false">NSG_Supplies!Q12/1000+NSG_Supplies!F12/1000-NSG_Requirements!H12/1000</f>
        <v>26.65</v>
      </c>
      <c r="G23" s="941"/>
    </row>
    <row r="24" customFormat="false" ht="15" hidden="false" customHeight="false" outlineLevel="0" collapsed="false">
      <c r="A24" s="941" t="s">
        <v>625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615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616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617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626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618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619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620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627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628</v>
      </c>
      <c r="C1" s="967" t="n">
        <f aca="false">Weather_Input!A6</f>
        <v>37090</v>
      </c>
      <c r="D1" s="968" t="s">
        <v>629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630</v>
      </c>
      <c r="E2" s="401"/>
      <c r="I2" s="401"/>
    </row>
    <row r="3" customFormat="false" ht="15.75" hidden="false" customHeight="true" outlineLevel="0" collapsed="false">
      <c r="B3" s="972" t="s">
        <v>176</v>
      </c>
      <c r="C3" s="973" t="n">
        <f aca="false">NSG_Supplies!P8/1000</f>
        <v>12</v>
      </c>
      <c r="E3" s="401"/>
      <c r="F3" s="974" t="s">
        <v>275</v>
      </c>
      <c r="G3" s="486"/>
      <c r="H3" s="975" t="s">
        <v>631</v>
      </c>
      <c r="I3" s="976" t="s">
        <v>632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0</v>
      </c>
      <c r="E4" s="977"/>
      <c r="F4" s="972" t="s">
        <v>633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634</v>
      </c>
      <c r="C5" s="981" t="n">
        <f aca="false">C3+C4-D4</f>
        <v>12</v>
      </c>
      <c r="D5" s="479"/>
      <c r="E5" s="982" t="n">
        <f aca="false">AVERAGE(C5/24)</f>
        <v>0.5</v>
      </c>
      <c r="F5" s="983" t="s">
        <v>316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635</v>
      </c>
      <c r="C6" s="988"/>
      <c r="D6" s="40"/>
      <c r="E6" s="989"/>
      <c r="F6" s="0" t="s">
        <v>636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637</v>
      </c>
      <c r="C7" s="978" t="n">
        <f aca="false">NSG_Supplies!K8/1000</f>
        <v>0</v>
      </c>
      <c r="D7" s="95"/>
      <c r="E7" s="990"/>
      <c r="F7" s="971" t="s">
        <v>638</v>
      </c>
      <c r="G7" s="991"/>
      <c r="H7" s="95"/>
      <c r="I7" s="401"/>
    </row>
    <row r="8" customFormat="false" ht="15.75" hidden="false" customHeight="true" outlineLevel="0" collapsed="false">
      <c r="B8" s="972" t="s">
        <v>639</v>
      </c>
      <c r="C8" s="978" t="n">
        <f aca="false">PGL_Requirements!V8/1000</f>
        <v>0</v>
      </c>
      <c r="D8" s="95"/>
      <c r="E8" s="990"/>
      <c r="F8" s="972" t="s">
        <v>640</v>
      </c>
      <c r="G8" s="978" t="n">
        <f aca="false">PGL_Supplies!S8/1000</f>
        <v>50</v>
      </c>
      <c r="H8" s="95"/>
      <c r="I8" s="401"/>
    </row>
    <row r="9" customFormat="false" ht="15.75" hidden="false" customHeight="true" outlineLevel="0" collapsed="false">
      <c r="B9" s="972" t="s">
        <v>641</v>
      </c>
      <c r="C9" s="978" t="n">
        <f aca="false">NSG_Requirements!B8/1000</f>
        <v>0</v>
      </c>
      <c r="D9" s="95"/>
      <c r="E9" s="990"/>
      <c r="F9" s="29" t="s">
        <v>642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643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535</v>
      </c>
      <c r="G10" s="978" t="n">
        <f aca="false">PGL_Supplies!AA8/1000</f>
        <v>201.546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644</v>
      </c>
      <c r="C11" s="978" t="n">
        <f aca="false">PGL_Supplies!X8/1000</f>
        <v>114.566</v>
      </c>
      <c r="D11" s="486"/>
      <c r="E11" s="993"/>
      <c r="F11" s="994" t="s">
        <v>645</v>
      </c>
      <c r="G11" s="995" t="n">
        <f aca="false">G8+G10</f>
        <v>251.546</v>
      </c>
      <c r="H11" s="261"/>
      <c r="I11" s="367"/>
    </row>
    <row r="12" customFormat="false" ht="15.75" hidden="false" customHeight="true" outlineLevel="0" collapsed="false">
      <c r="B12" s="252" t="s">
        <v>646</v>
      </c>
      <c r="C12" s="978" t="n">
        <v>0</v>
      </c>
      <c r="D12" s="40"/>
      <c r="E12" s="401"/>
      <c r="F12" s="996" t="s">
        <v>647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648</v>
      </c>
      <c r="C13" s="40"/>
      <c r="D13" s="978" t="n">
        <f aca="false">PGL_Requirements!I8/1000</f>
        <v>0</v>
      </c>
      <c r="E13" s="401"/>
      <c r="F13" s="996" t="s">
        <v>649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650</v>
      </c>
      <c r="C14" s="981" t="n">
        <f aca="false">C11-C12</f>
        <v>114.566</v>
      </c>
      <c r="D14" s="479"/>
      <c r="E14" s="982" t="n">
        <f aca="false">AVERAGE(C14/24)</f>
        <v>4.77358333333333</v>
      </c>
      <c r="F14" s="998" t="s">
        <v>651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652</v>
      </c>
      <c r="C15" s="978" t="n">
        <f aca="false">PGL_Supplies!Y8/1000</f>
        <v>0.2</v>
      </c>
      <c r="D15" s="95"/>
      <c r="E15" s="401"/>
      <c r="F15" s="998" t="s">
        <v>653</v>
      </c>
      <c r="G15" s="995" t="n">
        <f aca="false">SUM(G11)-G16-G17</f>
        <v>167.286</v>
      </c>
      <c r="H15" s="479" t="s">
        <v>0</v>
      </c>
      <c r="I15" s="982" t="n">
        <f aca="false">AVERAGE(G15/24)</f>
        <v>6.97025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654</v>
      </c>
      <c r="G16" s="981" t="n">
        <f aca="false">PGL_Requirements!G8/1000</f>
        <v>69.26</v>
      </c>
      <c r="H16" s="981" t="s">
        <v>0</v>
      </c>
      <c r="I16" s="982" t="n">
        <f aca="false">AVERAGE(G16/24)</f>
        <v>2.88583333333333</v>
      </c>
    </row>
    <row r="17" customFormat="false" ht="15.75" hidden="false" customHeight="true" outlineLevel="0" collapsed="false">
      <c r="B17" s="994" t="s">
        <v>645</v>
      </c>
      <c r="C17" s="995" t="n">
        <f aca="false">SUM(C15:C16)-SUM(D15:D16)</f>
        <v>0</v>
      </c>
      <c r="D17" s="261"/>
      <c r="E17" s="367"/>
      <c r="F17" s="999" t="s">
        <v>655</v>
      </c>
      <c r="G17" s="1000" t="n">
        <v>15</v>
      </c>
      <c r="H17" s="1001"/>
      <c r="I17" s="1002" t="n">
        <f aca="false">AVERAGE(G17/24)</f>
        <v>0.625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656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657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658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435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659</v>
      </c>
      <c r="C21" s="978" t="n">
        <f aca="false">PGL_Supplies!Z8/1000</f>
        <v>0</v>
      </c>
      <c r="D21" s="978" t="s">
        <v>0</v>
      </c>
      <c r="E21" s="401"/>
      <c r="F21" s="972" t="s">
        <v>176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645</v>
      </c>
      <c r="C22" s="995" t="n">
        <f aca="false">SUM(C21)-SUM(D21)</f>
        <v>0</v>
      </c>
      <c r="D22" s="261"/>
      <c r="E22" s="367"/>
      <c r="F22" s="994" t="s">
        <v>645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660</v>
      </c>
      <c r="C23" s="978" t="n">
        <f aca="false">PGL_Supplies!C8/1000</f>
        <v>0</v>
      </c>
      <c r="D23" s="95"/>
      <c r="E23" s="401"/>
      <c r="F23" s="972" t="s">
        <v>661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662</v>
      </c>
      <c r="C24" s="95" t="n">
        <v>0</v>
      </c>
      <c r="D24" s="978" t="n">
        <f aca="false">PGL_Requirements!C8/1000</f>
        <v>0</v>
      </c>
      <c r="E24" s="401"/>
      <c r="F24" s="972" t="s">
        <v>663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664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665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666</v>
      </c>
    </row>
    <row r="27" customFormat="false" ht="15.75" hidden="false" customHeight="true" outlineLevel="0" collapsed="false">
      <c r="B27" s="0" t="s">
        <v>667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669</v>
      </c>
      <c r="D1" s="1016"/>
      <c r="E1" s="1016" t="s">
        <v>670</v>
      </c>
      <c r="F1" s="1016"/>
      <c r="G1" s="1017" t="s">
        <v>671</v>
      </c>
      <c r="H1" s="1018" t="n">
        <f aca="false">Weather_Input!A6</f>
        <v>37090</v>
      </c>
      <c r="I1" s="1019"/>
      <c r="J1" s="1020"/>
      <c r="K1" s="1020"/>
    </row>
    <row r="2" customFormat="false" ht="16.5" hidden="false" customHeight="true" outlineLevel="0" collapsed="false">
      <c r="A2" s="1021" t="s">
        <v>672</v>
      </c>
      <c r="C2" s="1022" t="n">
        <v>344</v>
      </c>
      <c r="F2" s="1023" t="n">
        <v>349</v>
      </c>
      <c r="H2" s="1020"/>
      <c r="I2" s="1019" t="s">
        <v>673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674</v>
      </c>
      <c r="G4" s="1027"/>
      <c r="H4" s="1020"/>
      <c r="I4" s="1019"/>
      <c r="J4" s="1019" t="s">
        <v>675</v>
      </c>
      <c r="K4" s="1024" t="n">
        <f aca="false">Billy_Sheet!C5</f>
        <v>12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676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97</v>
      </c>
      <c r="G8" s="1014"/>
      <c r="H8" s="1019" t="s">
        <v>430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26.65</v>
      </c>
      <c r="I9" s="1032"/>
      <c r="K9" s="1019" t="s">
        <v>677</v>
      </c>
      <c r="L9" s="1024" t="n">
        <f aca="false">NSG_Deliveries!C6/1000</f>
        <v>34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88</v>
      </c>
      <c r="H10" s="1033" t="s">
        <v>678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679</v>
      </c>
      <c r="L11" s="1027" t="n">
        <f aca="false">SUM(K4+K17+K19+H11+H9-L9)</f>
        <v>4.65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680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114.566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350</v>
      </c>
      <c r="F15" s="1035" t="n">
        <v>350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681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576</v>
      </c>
      <c r="D18" s="1039"/>
      <c r="E18" s="1039"/>
      <c r="F18" s="1023" t="n">
        <v>787</v>
      </c>
    </row>
    <row r="19" customFormat="false" ht="11.25" hidden="false" customHeight="false" outlineLevel="0" collapsed="false">
      <c r="A19" s="1030" t="s">
        <v>682</v>
      </c>
      <c r="C19" s="1012" t="s">
        <v>0</v>
      </c>
      <c r="J19" s="1019" t="s">
        <v>683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167.286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433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684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28.5</v>
      </c>
      <c r="H24" s="1014"/>
      <c r="I24" s="1014"/>
      <c r="J24" s="1014"/>
    </row>
    <row r="25" customFormat="false" ht="10.5" hidden="false" customHeight="true" outlineLevel="0" collapsed="false">
      <c r="A25" s="1020" t="s">
        <v>435</v>
      </c>
      <c r="B25" s="1020"/>
      <c r="C25" s="1020"/>
      <c r="D25" s="1020"/>
      <c r="F25" s="1020"/>
      <c r="G25" s="1019" t="s">
        <v>685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0</v>
      </c>
      <c r="H26" s="1014"/>
      <c r="I26" s="1014"/>
      <c r="J26" s="1014" t="s">
        <v>686</v>
      </c>
      <c r="K26" s="1045" t="n">
        <f aca="false">PGL_Deliveries!C6/1000</f>
        <v>195</v>
      </c>
      <c r="L26" s="1019" t="s">
        <v>677</v>
      </c>
      <c r="M26" s="1024" t="n">
        <f aca="false">NSG_Deliveries!C6/1000</f>
        <v>34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687</v>
      </c>
      <c r="B28" s="1024"/>
      <c r="C28" s="1020"/>
      <c r="D28" s="1014"/>
      <c r="F28" s="1019"/>
      <c r="G28" s="1036" t="s">
        <v>688</v>
      </c>
      <c r="H28" s="34"/>
      <c r="J28" s="1014" t="s">
        <v>689</v>
      </c>
      <c r="K28" s="1027" t="n">
        <f aca="false">SUM(A42)</f>
        <v>96.592</v>
      </c>
      <c r="L28" s="1014" t="s">
        <v>690</v>
      </c>
      <c r="M28" s="1027" t="n">
        <f aca="false">SUM(J2+K17+K19+H11+H9-M26)</f>
        <v>4.65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37089</v>
      </c>
      <c r="G29" s="1024" t="n">
        <f aca="false">PGL_Requirements!G7/1000</f>
        <v>227.8</v>
      </c>
      <c r="H29" s="1031"/>
      <c r="J29" s="1014" t="s">
        <v>691</v>
      </c>
      <c r="K29" s="1024" t="n">
        <f aca="false">PGL_Supplies!AB8/1000+PGL_Supplies!K8/1000-PGL_Requirements!N8/1000</f>
        <v>37.306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37090</v>
      </c>
      <c r="G30" s="1024" t="n">
        <f aca="false">PGL_Requirements!G8/1000</f>
        <v>69.26</v>
      </c>
    </row>
    <row r="31" customFormat="false" ht="17.25" hidden="false" customHeight="true" outlineLevel="0" collapsed="false">
      <c r="A31" s="1016" t="s">
        <v>692</v>
      </c>
      <c r="B31" s="1051"/>
      <c r="C31" s="1052"/>
      <c r="D31" s="1027"/>
      <c r="G31" s="1036" t="s">
        <v>693</v>
      </c>
      <c r="H31" s="1027"/>
      <c r="J31" s="1014" t="s">
        <v>679</v>
      </c>
      <c r="K31" s="1027" t="n">
        <f aca="false">SUM(K28+K29-K26)</f>
        <v>-61.102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694</v>
      </c>
      <c r="G34" s="1014" t="s">
        <v>695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696</v>
      </c>
      <c r="F37" s="1019" t="s">
        <v>697</v>
      </c>
      <c r="G37" s="1024"/>
    </row>
    <row r="38" customFormat="false" ht="11.25" hidden="false" customHeight="false" outlineLevel="0" collapsed="false">
      <c r="C38" s="1035" t="n">
        <v>582</v>
      </c>
      <c r="F38" s="1035" t="n">
        <v>752</v>
      </c>
    </row>
    <row r="39" customFormat="false" ht="11.25" hidden="false" customHeight="false" outlineLevel="0" collapsed="false">
      <c r="A39" s="1021" t="s">
        <v>698</v>
      </c>
      <c r="E39" s="1020" t="s">
        <v>699</v>
      </c>
      <c r="F39" s="1020"/>
    </row>
    <row r="40" customFormat="false" ht="11.25" hidden="false" customHeight="false" outlineLevel="0" collapsed="false">
      <c r="A40" s="1027" t="n">
        <f aca="false">SUM(A3:A35)</f>
        <v>297.852</v>
      </c>
      <c r="B40" s="1034"/>
      <c r="C40" s="1053"/>
      <c r="D40" s="1034"/>
      <c r="E40" s="1034"/>
      <c r="F40" s="1024"/>
      <c r="G40" s="1024" t="n">
        <f aca="false">SUM(G30:G35)</f>
        <v>201.26</v>
      </c>
      <c r="H40" s="1034"/>
      <c r="I40" s="1053"/>
    </row>
    <row r="41" customFormat="false" ht="11.25" hidden="false" customHeight="false" outlineLevel="0" collapsed="false">
      <c r="A41" s="1054" t="s">
        <v>700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96.592</v>
      </c>
      <c r="B42" s="1024"/>
      <c r="C42" s="1034"/>
      <c r="D42" s="1034"/>
      <c r="E42" s="1034"/>
      <c r="F42" s="1055"/>
      <c r="G42" s="1056" t="s">
        <v>701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702</v>
      </c>
      <c r="G43" s="1055" t="s">
        <v>703</v>
      </c>
      <c r="I43" s="1024"/>
    </row>
    <row r="44" customFormat="false" ht="12.75" hidden="false" customHeight="true" outlineLevel="0" collapsed="false">
      <c r="A44" s="1054" t="s">
        <v>704</v>
      </c>
      <c r="B44" s="1024" t="s">
        <v>705</v>
      </c>
      <c r="C44" s="1024" t="s">
        <v>706</v>
      </c>
      <c r="D44" s="1024" t="s">
        <v>707</v>
      </c>
      <c r="E44" s="1059"/>
      <c r="F44" s="1059" t="s">
        <v>708</v>
      </c>
      <c r="G44" s="1034" t="s">
        <v>709</v>
      </c>
      <c r="H44" s="1020" t="s">
        <v>710</v>
      </c>
      <c r="I44" s="1024"/>
      <c r="K44" s="1020"/>
    </row>
    <row r="45" customFormat="false" ht="11.25" hidden="false" customHeight="false" outlineLevel="0" collapsed="false">
      <c r="A45" s="1054" t="s">
        <v>711</v>
      </c>
      <c r="B45" s="1060" t="n">
        <v>275</v>
      </c>
      <c r="C45" s="1060" t="n">
        <v>450</v>
      </c>
      <c r="D45" s="1061" t="n">
        <f aca="false">SUM(F2+F15)/2</f>
        <v>349.5</v>
      </c>
      <c r="E45" s="1062"/>
      <c r="F45" s="1063" t="n">
        <v>0.067</v>
      </c>
      <c r="G45" s="1064" t="n">
        <f aca="false">(C45-D45)*F45</f>
        <v>6.7335</v>
      </c>
      <c r="H45" s="1064" t="n">
        <f aca="false">(D45-B45)*F45</f>
        <v>4.9915</v>
      </c>
      <c r="I45" s="1024"/>
      <c r="J45" s="1065"/>
    </row>
    <row r="46" customFormat="false" ht="11.25" hidden="false" customHeight="false" outlineLevel="0" collapsed="false">
      <c r="A46" s="1020" t="s">
        <v>712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713</v>
      </c>
      <c r="B47" s="1066" t="n">
        <v>275</v>
      </c>
      <c r="C47" s="1060" t="n">
        <v>450</v>
      </c>
      <c r="D47" s="1061" t="n">
        <f aca="false">SUM(C2+C15)/2</f>
        <v>347</v>
      </c>
      <c r="E47" s="1062"/>
      <c r="F47" s="1063" t="n">
        <v>0.141</v>
      </c>
      <c r="G47" s="1064" t="n">
        <f aca="false">(C47-D47)*F47</f>
        <v>14.523</v>
      </c>
      <c r="H47" s="1064" t="n">
        <f aca="false">(D47-B47)*F47</f>
        <v>10.152</v>
      </c>
      <c r="I47" s="1024"/>
    </row>
    <row r="48" customFormat="false" ht="11.25" hidden="false" customHeight="false" outlineLevel="0" collapsed="false">
      <c r="A48" s="1020" t="s">
        <v>714</v>
      </c>
      <c r="B48" s="1066" t="n">
        <v>285</v>
      </c>
      <c r="C48" s="1060" t="n">
        <v>750</v>
      </c>
      <c r="D48" s="1061" t="n">
        <f aca="false">SUM(C18+C38)/2</f>
        <v>579</v>
      </c>
      <c r="E48" s="1062"/>
      <c r="F48" s="1063" t="n">
        <v>0.161</v>
      </c>
      <c r="G48" s="1064" t="n">
        <f aca="false">(C48-D48)*F48</f>
        <v>27.531</v>
      </c>
      <c r="H48" s="1064" t="n">
        <f aca="false">(D48-B48)*F48</f>
        <v>47.334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715</v>
      </c>
      <c r="G49" s="1064" t="n">
        <f aca="false">SUM(G45:G48)</f>
        <v>48.7875</v>
      </c>
      <c r="H49" s="1064" t="n">
        <f aca="false">SUM(H45:H48)</f>
        <v>62.4775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37089</v>
      </c>
      <c r="B5" s="18" t="n">
        <v>85</v>
      </c>
      <c r="C5" s="19" t="n">
        <v>72</v>
      </c>
      <c r="D5" s="19" t="n">
        <v>8</v>
      </c>
      <c r="E5" s="18" t="s">
        <v>29</v>
      </c>
      <c r="F5" s="18" t="n">
        <v>5</v>
      </c>
      <c r="G5" s="18" t="n">
        <v>6704</v>
      </c>
      <c r="H5" s="18" t="n">
        <v>0</v>
      </c>
      <c r="I5" s="20" t="s">
        <v>30</v>
      </c>
      <c r="J5" s="20" t="s">
        <v>31</v>
      </c>
      <c r="K5" s="18" t="n">
        <v>2</v>
      </c>
      <c r="L5" s="18" t="n">
        <v>1</v>
      </c>
      <c r="N5" s="13" t="str">
        <f aca="false">I5&amp;" "&amp;I5</f>
        <v>PARTLY SUNNY.WARM AND HUMID WITH A 30% CHANCE OF SHOWERS AND T'STOR PARTLY SUNNY.WARM AND HUMID WITH A 30% CHANCE OF SHOWERS AND T'STOR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37090</v>
      </c>
      <c r="B6" s="18" t="n">
        <v>90</v>
      </c>
      <c r="C6" s="19" t="n">
        <v>72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3</v>
      </c>
      <c r="L6" s="18" t="s">
        <v>35</v>
      </c>
      <c r="N6" s="13" t="str">
        <f aca="false">I6&amp;" "&amp;J6</f>
        <v>PARTLY CLOUDY WITH A 30% CHANCE OF T'STORMS. OVERNIGHT…PARTLY CLOUDY WITH A 30% CHANCE OF T'STORMS.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37091</v>
      </c>
      <c r="B7" s="18" t="n">
        <v>91</v>
      </c>
      <c r="C7" s="19" t="n">
        <v>70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3</v>
      </c>
      <c r="L7" s="18" t="s">
        <v>17</v>
      </c>
      <c r="N7" s="13" t="str">
        <f aca="false">I7&amp;" "&amp;J7</f>
        <v>PARTLY CLOUDY. CHANCE OF SHOWERS EARLY.  </v>
      </c>
    </row>
    <row r="8" customFormat="false" ht="16.5" hidden="false" customHeight="true" outlineLevel="0" collapsed="false">
      <c r="A8" s="17" t="n">
        <f aca="false">A7+1</f>
        <v>37092</v>
      </c>
      <c r="B8" s="18" t="n">
        <v>91</v>
      </c>
      <c r="C8" s="19" t="n">
        <v>71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3</v>
      </c>
      <c r="L8" s="18"/>
      <c r="N8" s="13" t="str">
        <f aca="false">I8&amp;" "&amp;J8</f>
        <v>PARTLY CLOUDY.   </v>
      </c>
    </row>
    <row r="9" customFormat="false" ht="16.5" hidden="false" customHeight="true" outlineLevel="0" collapsed="false">
      <c r="A9" s="17" t="n">
        <f aca="false">A8+1</f>
        <v>37093</v>
      </c>
      <c r="B9" s="18" t="n">
        <v>91</v>
      </c>
      <c r="C9" s="19" t="n">
        <v>72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CLOUDY.   </v>
      </c>
    </row>
    <row r="10" customFormat="false" ht="16.5" hidden="false" customHeight="true" outlineLevel="0" collapsed="false">
      <c r="A10" s="17" t="n">
        <f aca="false">A9+1</f>
        <v>37094</v>
      </c>
      <c r="B10" s="18" t="n">
        <v>91</v>
      </c>
      <c r="C10" s="19" t="n">
        <v>72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PARTLY CLOUDY.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686</v>
      </c>
      <c r="B2" s="1070" t="n">
        <f aca="false">PGL_Deliveries!U5/1000</f>
        <v>4.265</v>
      </c>
      <c r="C2" s="95"/>
      <c r="D2" s="1071" t="s">
        <v>671</v>
      </c>
      <c r="E2" s="1072" t="n">
        <f aca="false">Weather_Input!A5</f>
        <v>37089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716</v>
      </c>
      <c r="B3" s="1073" t="n">
        <f aca="false">PGL_Supplies!I7/1000</f>
        <v>0</v>
      </c>
      <c r="C3" s="1074"/>
      <c r="D3" s="1075" t="s">
        <v>301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717</v>
      </c>
      <c r="B5" s="978" t="n">
        <f aca="false">PGL_Deliveries!D5/1000</f>
        <v>0</v>
      </c>
      <c r="C5" s="71"/>
      <c r="D5" s="73" t="s">
        <v>718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512</v>
      </c>
      <c r="B6" s="978" t="n">
        <f aca="false">PGL_Deliveries!I5/1000</f>
        <v>0</v>
      </c>
      <c r="C6" s="1084"/>
      <c r="D6" s="73" t="s">
        <v>719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720</v>
      </c>
      <c r="B7" s="1086" t="n">
        <f aca="false">SUM(B5:B6)</f>
        <v>0</v>
      </c>
      <c r="C7" s="1084"/>
      <c r="D7" s="73" t="s">
        <v>461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680</v>
      </c>
      <c r="B8" s="978" t="n">
        <f aca="false">PGL_Deliveries!V5/1000</f>
        <v>90.033</v>
      </c>
      <c r="C8" s="1088"/>
      <c r="D8" s="73" t="s">
        <v>721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88</v>
      </c>
      <c r="B9" s="978" t="n">
        <f aca="false">PGL_Deliveries!W5/1000</f>
        <v>0</v>
      </c>
      <c r="C9" s="71"/>
      <c r="D9" s="73" t="s">
        <v>464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433</v>
      </c>
      <c r="B10" s="978" t="n">
        <f aca="false">PGL_Deliveries!X5/1000</f>
        <v>0</v>
      </c>
      <c r="C10" s="71"/>
      <c r="D10" s="73" t="s">
        <v>465</v>
      </c>
      <c r="E10" s="978" t="n">
        <f aca="false">PGL_Deliveries!S5/1000</f>
        <v>4.265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97</v>
      </c>
      <c r="B11" s="978" t="n">
        <f aca="false">(PGL_Deliveries!AJ5+PGL_Deliveries!AK5)/1000</f>
        <v>16.944</v>
      </c>
      <c r="C11" s="71"/>
      <c r="D11" s="73" t="s">
        <v>722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723</v>
      </c>
      <c r="B12" s="978" t="n">
        <f aca="false">PGL_Supplies!J7/1000</f>
        <v>0</v>
      </c>
      <c r="C12" s="71"/>
      <c r="D12" s="73" t="s">
        <v>468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724</v>
      </c>
      <c r="B13" s="978" t="n">
        <f aca="false">PGL_Deliveries!Y5/1000+PGL_Deliveries!Z5/1000+PGL_Deliveries!AA5/1000-PGL_Deliveries!BE5/1000-PGL_Deliveries!BF5/1000+0.117</f>
        <v>171.541</v>
      </c>
      <c r="C13" s="71"/>
      <c r="D13" s="73" t="s">
        <v>469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435</v>
      </c>
      <c r="B14" s="978" t="n">
        <f aca="false">PGL_Deliveries!AD5/1000</f>
        <v>0</v>
      </c>
      <c r="C14" s="71"/>
      <c r="D14" s="73" t="s">
        <v>471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69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-124.864</v>
      </c>
      <c r="C15" s="71"/>
      <c r="D15" s="73" t="s">
        <v>473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725</v>
      </c>
      <c r="B16" s="95"/>
      <c r="C16" s="1089" t="n">
        <f aca="false">PGL_Deliveries!AO5/1000</f>
        <v>0</v>
      </c>
      <c r="D16" s="73" t="s">
        <v>477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437</v>
      </c>
      <c r="B17" s="978" t="n">
        <f aca="false">PGL_Deliveries!AP5/1000</f>
        <v>10.491</v>
      </c>
      <c r="C17" s="1084" t="s">
        <v>0</v>
      </c>
      <c r="D17" s="1090" t="s">
        <v>475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726</v>
      </c>
      <c r="B18" s="1010" t="n">
        <f aca="false">SUM(B8:B17)-C16</f>
        <v>164.145</v>
      </c>
      <c r="C18" s="1084"/>
      <c r="D18" s="1092" t="s">
        <v>727</v>
      </c>
      <c r="E18" s="1093" t="n">
        <f aca="false">SUM(E5:E17)</f>
        <v>4.265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644</v>
      </c>
      <c r="B19" s="978" t="n">
        <f aca="false">PGL_Supplies!X7/1000</f>
        <v>106.796</v>
      </c>
      <c r="C19" s="1088"/>
      <c r="D19" s="73" t="s">
        <v>622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287</v>
      </c>
      <c r="B20" s="978" t="n">
        <f aca="false">PGL_Supplies!W7/1000</f>
        <v>0.3</v>
      </c>
      <c r="C20" s="71"/>
      <c r="D20" s="73" t="s">
        <v>441</v>
      </c>
      <c r="E20" s="978" t="n">
        <f aca="false">PGL_Deliveries!AW5/1000+B40</f>
        <v>1.8771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648</v>
      </c>
      <c r="C21" s="979" t="n">
        <f aca="false">PGL_Requirements!I7/1000</f>
        <v>0</v>
      </c>
      <c r="D21" s="1094" t="s">
        <v>728</v>
      </c>
      <c r="E21" s="1095" t="n">
        <f aca="false">SUM(E18:E20)</f>
        <v>6.1421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715</v>
      </c>
      <c r="B22" s="1098" t="n">
        <f aca="false">+B19+B20-C21</f>
        <v>107.096</v>
      </c>
      <c r="C22" s="76"/>
      <c r="D22" s="1099" t="s">
        <v>729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481</v>
      </c>
      <c r="B23" s="978" t="n">
        <f aca="false">PGL_Supplies!Y7/1000</f>
        <v>0.2</v>
      </c>
      <c r="C23" s="71"/>
      <c r="D23" s="1099" t="s">
        <v>730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731</v>
      </c>
      <c r="B24" s="1100"/>
      <c r="C24" s="1089" t="n">
        <f aca="false">PGL_Requirements!T7/1000</f>
        <v>0.2</v>
      </c>
      <c r="D24" s="95" t="s">
        <v>732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733</v>
      </c>
      <c r="B25" s="978" t="n">
        <f aca="false">PGL_Supplies!Q7/1000</f>
        <v>0</v>
      </c>
      <c r="C25" s="71"/>
      <c r="D25" s="1099" t="s">
        <v>734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478</v>
      </c>
      <c r="B26" s="82" t="s">
        <v>0</v>
      </c>
      <c r="C26" s="1101" t="s">
        <v>0</v>
      </c>
      <c r="D26" s="95" t="s">
        <v>735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736</v>
      </c>
      <c r="B27" s="978" t="n">
        <f aca="false">PGL_Supplies!Z7/1000</f>
        <v>0</v>
      </c>
      <c r="C27" s="71"/>
      <c r="D27" s="1099" t="s">
        <v>737</v>
      </c>
      <c r="E27" s="95" t="s">
        <v>0</v>
      </c>
      <c r="F27" s="979" t="n">
        <f aca="false">PGL_Deliveries!AQ5/1000</f>
        <v>4.716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738</v>
      </c>
      <c r="B28" s="978" t="n">
        <v>0</v>
      </c>
      <c r="C28" s="71"/>
      <c r="D28" s="1102" t="s">
        <v>739</v>
      </c>
      <c r="E28" s="978" t="n">
        <f aca="false">PGL_Deliveries!AR5/1000</f>
        <v>0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740</v>
      </c>
      <c r="B29" s="1103" t="n">
        <f aca="false">PGL_Supplies!AC7/1000</f>
        <v>3</v>
      </c>
      <c r="C29" s="71"/>
      <c r="D29" s="1099" t="s">
        <v>741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742</v>
      </c>
      <c r="B30" s="978" t="n">
        <f aca="false">PGL_Supplies!AD7/1000</f>
        <v>0</v>
      </c>
      <c r="C30" s="71"/>
      <c r="D30" s="95" t="s">
        <v>356</v>
      </c>
      <c r="E30" s="978" t="n">
        <f aca="false">PGL_Supplies!AB7/1000</f>
        <v>43.287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743</v>
      </c>
      <c r="B31" s="95"/>
      <c r="C31" s="1089" t="n">
        <v>0</v>
      </c>
      <c r="D31" s="95" t="s">
        <v>744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745</v>
      </c>
      <c r="B32" s="978" t="n">
        <f aca="false">PGL_Supplies!P7/1000</f>
        <v>0</v>
      </c>
      <c r="C32" s="71"/>
      <c r="D32" s="1102" t="s">
        <v>746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747</v>
      </c>
      <c r="B33" s="1104" t="n">
        <f aca="false">(PGL_Deliveries!AB5+PGL_Deliveries!AC5+PGL_Deliveries!AD5)/1000</f>
        <v>0</v>
      </c>
      <c r="C33" s="71"/>
      <c r="D33" s="1099" t="s">
        <v>748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749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750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751</v>
      </c>
      <c r="B36" s="978" t="s">
        <v>0</v>
      </c>
      <c r="C36" s="1089" t="n">
        <f aca="false">PGL_Deliveries!AU5/1000</f>
        <v>125.14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752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753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462</v>
      </c>
      <c r="B39" s="978" t="n">
        <f aca="false">PGL_Deliveries!AT5/1000</f>
        <v>0.836</v>
      </c>
      <c r="C39" s="71"/>
      <c r="D39" s="1105" t="s">
        <v>385</v>
      </c>
      <c r="E39" s="1095" t="n">
        <f aca="false">SUM(E22:E33)-SUM(F23:F38)-E29</f>
        <v>38.571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333</v>
      </c>
      <c r="B40" s="978" t="n">
        <f aca="false">PGL_Deliveries!AG5/1000</f>
        <v>0</v>
      </c>
      <c r="C40" s="71"/>
      <c r="D40" s="1106" t="s">
        <v>754</v>
      </c>
      <c r="E40" s="1076"/>
      <c r="F40" s="979" t="n">
        <f aca="false">PGL_Requirements!J7/1000</f>
        <v>28.5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755</v>
      </c>
      <c r="B41" s="978" t="n">
        <f aca="false">PGL_Deliveries!AF5/1000</f>
        <v>0</v>
      </c>
      <c r="C41" s="71"/>
      <c r="D41" s="1099" t="s">
        <v>756</v>
      </c>
      <c r="E41" s="1107" t="n">
        <f aca="false">PGL_Supplies!AA7/1000</f>
        <v>221.546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757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450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758</v>
      </c>
      <c r="B43" s="978" t="n">
        <f aca="false">PGL_Deliveries!AW5/1000</f>
        <v>1.8771</v>
      </c>
      <c r="C43" s="71"/>
      <c r="D43" s="95" t="s">
        <v>639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759</v>
      </c>
      <c r="B44" s="985"/>
      <c r="C44" s="1089" t="n">
        <f aca="false">PGL_Requirements!Q7/1000</f>
        <v>0.62</v>
      </c>
      <c r="D44" s="95" t="s">
        <v>760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761</v>
      </c>
      <c r="B45" s="95" t="n">
        <f aca="false">Weather_Input!B5</f>
        <v>85</v>
      </c>
      <c r="C45" s="1074"/>
      <c r="D45" s="95" t="s">
        <v>363</v>
      </c>
      <c r="E45" s="1107" t="n">
        <f aca="false">PGL_Supplies!S7/1000</f>
        <v>70</v>
      </c>
      <c r="F45" s="1082"/>
    </row>
    <row r="46" customFormat="false" ht="15" hidden="false" customHeight="false" outlineLevel="0" collapsed="false">
      <c r="A46" s="972" t="s">
        <v>762</v>
      </c>
      <c r="B46" s="1108" t="n">
        <f aca="false">Weather_Input!C5</f>
        <v>72</v>
      </c>
      <c r="C46" s="41"/>
      <c r="D46" s="30" t="s">
        <v>763</v>
      </c>
      <c r="E46" s="95"/>
      <c r="F46" s="979" t="n">
        <f aca="false">PGL_Deliveries!BE5/1000</f>
        <v>58.407</v>
      </c>
    </row>
    <row r="47" customFormat="false" ht="15" hidden="false" customHeight="false" outlineLevel="0" collapsed="false">
      <c r="A47" s="996" t="s">
        <v>764</v>
      </c>
      <c r="B47" s="95" t="str">
        <f aca="false">Weather_Input!E5</f>
        <v>N/A</v>
      </c>
      <c r="C47" s="41"/>
      <c r="D47" s="1109" t="s">
        <v>765</v>
      </c>
      <c r="E47" s="82"/>
      <c r="F47" s="1110" t="n">
        <f aca="false">PGL_Deliveries!BF5/1000</f>
        <v>0.117</v>
      </c>
    </row>
    <row r="48" customFormat="false" ht="15" hidden="false" customHeight="false" outlineLevel="0" collapsed="false">
      <c r="A48" s="972" t="s">
        <v>766</v>
      </c>
      <c r="B48" s="1111" t="n">
        <f aca="false">Weather_Input!D5</f>
        <v>8</v>
      </c>
      <c r="C48" s="41"/>
      <c r="D48" s="1099" t="s">
        <v>502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767</v>
      </c>
      <c r="B49" s="978" t="n">
        <f aca="false">PGL_Deliveries!AM5/1000</f>
        <v>1.025</v>
      </c>
      <c r="C49" s="41"/>
      <c r="D49" s="95" t="s">
        <v>768</v>
      </c>
      <c r="E49" s="978" t="n">
        <f aca="false">PGL_Deliveries!AJ5/1000</f>
        <v>16.944</v>
      </c>
      <c r="F49" s="401"/>
    </row>
    <row r="50" customFormat="false" ht="15.75" hidden="false" customHeight="false" outlineLevel="2" collapsed="false">
      <c r="A50" s="955" t="s">
        <v>769</v>
      </c>
      <c r="B50" s="1078"/>
      <c r="C50" s="351"/>
      <c r="D50" s="985" t="s">
        <v>770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771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772</v>
      </c>
      <c r="B3" s="1114" t="n">
        <f aca="false">NSG_Deliveries!H5/1000</f>
        <v>0</v>
      </c>
      <c r="C3" s="480"/>
      <c r="D3" s="1115" t="s">
        <v>671</v>
      </c>
      <c r="E3" s="1116" t="n">
        <f aca="false">Weather_Input!A5</f>
        <v>37089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430</v>
      </c>
      <c r="B5" s="1121" t="n">
        <f aca="false">NSG_Deliveries!E5/1000</f>
        <v>0</v>
      </c>
      <c r="C5" s="1122"/>
      <c r="D5" s="1123" t="s">
        <v>681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773</v>
      </c>
      <c r="B7" s="1124" t="n">
        <f aca="false">NSG_Deliveries!G5/1000</f>
        <v>0</v>
      </c>
      <c r="C7" s="1127"/>
      <c r="D7" s="1123" t="s">
        <v>774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385</v>
      </c>
      <c r="B8" s="1124" t="n">
        <f aca="false">B5+B7</f>
        <v>0</v>
      </c>
      <c r="C8" s="401"/>
      <c r="D8" s="1130" t="s">
        <v>775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627</v>
      </c>
      <c r="B9" s="1133" t="s">
        <v>0</v>
      </c>
      <c r="C9" s="1134" t="n">
        <f aca="false">NSG_Requirements!L7/1000</f>
        <v>0</v>
      </c>
      <c r="D9" s="29" t="s">
        <v>303</v>
      </c>
      <c r="E9" s="1135" t="s">
        <v>0</v>
      </c>
      <c r="F9" s="1136" t="n">
        <f aca="false">NSG_Deliveries!M5/1000</f>
        <v>5.841</v>
      </c>
      <c r="G9" s="40"/>
    </row>
    <row r="10" customFormat="false" ht="15" hidden="false" customHeight="true" outlineLevel="0" collapsed="false">
      <c r="A10" s="1137" t="s">
        <v>776</v>
      </c>
      <c r="B10" s="1138" t="n">
        <f aca="false">NSG_Supplies!G7/1000</f>
        <v>0</v>
      </c>
      <c r="C10" s="1139"/>
      <c r="D10" s="1140" t="s">
        <v>777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778</v>
      </c>
      <c r="B11" s="1144" t="s">
        <v>0</v>
      </c>
      <c r="C11" s="1145"/>
      <c r="D11" s="983" t="s">
        <v>779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780</v>
      </c>
      <c r="B12" s="1138" t="n">
        <v>0</v>
      </c>
      <c r="C12" s="1118"/>
      <c r="D12" s="0" t="s">
        <v>781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782</v>
      </c>
      <c r="B13" s="1138" t="n">
        <f aca="false">NSG_Supplies!Q7/1000</f>
        <v>27.323</v>
      </c>
      <c r="C13" s="1118"/>
      <c r="D13" s="1149" t="s">
        <v>783</v>
      </c>
      <c r="E13" s="1150"/>
      <c r="F13" s="1151"/>
      <c r="G13" s="0"/>
    </row>
    <row r="14" customFormat="false" ht="15" hidden="false" customHeight="true" outlineLevel="0" collapsed="false">
      <c r="A14" s="1137" t="s">
        <v>446</v>
      </c>
      <c r="B14" s="1138" t="n">
        <f aca="false">NSG_Supplies!C7/1000</f>
        <v>0</v>
      </c>
      <c r="C14" s="1118"/>
      <c r="D14" s="1152" t="s">
        <v>784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785</v>
      </c>
      <c r="B15" s="1152"/>
      <c r="C15" s="1134" t="n">
        <f aca="false">NSG_Deliveries!K5/1000</f>
        <v>0</v>
      </c>
      <c r="D15" s="1156" t="s">
        <v>786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787</v>
      </c>
      <c r="B16" s="1141" t="n">
        <f aca="false">NSG_Deliveries!L5/1000</f>
        <v>0.427</v>
      </c>
      <c r="C16" s="1159"/>
      <c r="D16" s="1160" t="s">
        <v>500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788</v>
      </c>
      <c r="B17" s="1152"/>
      <c r="C17" s="1134" t="n">
        <f aca="false">NSG_Requirements!P7/1000</f>
        <v>0</v>
      </c>
      <c r="D17" s="1162" t="s">
        <v>789</v>
      </c>
      <c r="E17" s="437"/>
      <c r="F17" s="1163"/>
    </row>
    <row r="18" customFormat="false" ht="15" hidden="false" customHeight="true" outlineLevel="0" collapsed="false">
      <c r="A18" s="1137" t="s">
        <v>790</v>
      </c>
      <c r="B18" s="1138" t="n">
        <f aca="false">NSG_Supplies!H7/1000</f>
        <v>0</v>
      </c>
      <c r="C18" s="1118"/>
      <c r="D18" s="71" t="s">
        <v>791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792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793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794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795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796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797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798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799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385</v>
      </c>
      <c r="B27" s="1173" t="n">
        <f aca="false">SUM(B9:B26)-SUM(C9:C26)</f>
        <v>27.75</v>
      </c>
      <c r="C27" s="1174"/>
      <c r="D27" s="1175" t="s">
        <v>800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  <c r="BH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43</v>
      </c>
      <c r="AD3" s="36" t="s">
        <v>43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  <c r="BH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50</v>
      </c>
      <c r="BA4" s="44" t="s">
        <v>51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 t="s">
        <v>109</v>
      </c>
      <c r="BI4" s="29" t="s">
        <v>110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37089</v>
      </c>
      <c r="B5" s="29" t="n">
        <f aca="false">(Weather_Input!B5+Weather_Input!C5)/2</f>
        <v>78.5</v>
      </c>
      <c r="C5" s="46" t="n">
        <v>198000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4265</v>
      </c>
      <c r="T5" s="49" t="n">
        <v>0</v>
      </c>
      <c r="U5" s="46" t="n">
        <f aca="false">SUM(D5:S5)-T5</f>
        <v>4265</v>
      </c>
      <c r="V5" s="46" t="n">
        <v>90033</v>
      </c>
      <c r="W5" s="18" t="n">
        <v>0</v>
      </c>
      <c r="X5" s="18" t="n">
        <v>0</v>
      </c>
      <c r="Y5" s="18" t="n">
        <v>0</v>
      </c>
      <c r="Z5" s="18" t="n">
        <v>167517</v>
      </c>
      <c r="AA5" s="18" t="n">
        <v>62431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16944</v>
      </c>
      <c r="AK5" s="18" t="n">
        <v>0</v>
      </c>
      <c r="AL5" s="18" t="n">
        <v>0</v>
      </c>
      <c r="AM5" s="29" t="n">
        <v>1025</v>
      </c>
      <c r="AN5" s="29"/>
      <c r="AO5" s="29" t="n">
        <v>0</v>
      </c>
      <c r="AP5" s="29" t="n">
        <v>10491</v>
      </c>
      <c r="AQ5" s="29" t="n">
        <v>4716</v>
      </c>
      <c r="AR5" s="29" t="n">
        <v>0</v>
      </c>
      <c r="AS5" s="29" t="n">
        <v>0</v>
      </c>
      <c r="AT5" s="29" t="n">
        <v>836</v>
      </c>
      <c r="AU5" s="29" t="n">
        <v>125140</v>
      </c>
      <c r="AV5" s="29" t="n">
        <v>560</v>
      </c>
      <c r="AW5" s="50" t="n">
        <f aca="false">AU5*0.015</f>
        <v>1877.1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58407</v>
      </c>
      <c r="BF5" s="29" t="n">
        <v>117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37090</v>
      </c>
      <c r="B6" s="51" t="n">
        <f aca="false">(Weather_Input!B6+Weather_Input!C6)/2</f>
        <v>81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37091</v>
      </c>
      <c r="B7" s="51" t="n">
        <f aca="false">(Weather_Input!B7+Weather_Input!C7)/2</f>
        <v>80.5</v>
      </c>
      <c r="C7" s="46" t="n">
        <v>195000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37092</v>
      </c>
      <c r="B8" s="51" t="n">
        <f aca="false">(Weather_Input!B8+Weather_Input!C8)/2</f>
        <v>81</v>
      </c>
      <c r="C8" s="46" t="n">
        <v>185000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37093</v>
      </c>
      <c r="B9" s="51" t="n">
        <f aca="false">(Weather_Input!B9+Weather_Input!C9)/2</f>
        <v>81.5</v>
      </c>
      <c r="C9" s="46" t="n">
        <v>175000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37094</v>
      </c>
      <c r="B10" s="51" t="n">
        <f aca="false">(Weather_Input!B10+Weather_Input!C10)/2</f>
        <v>81.5</v>
      </c>
      <c r="C10" s="46" t="n">
        <v>185000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189" t="n">
        <f aca="false">Weather_Input!A5</f>
        <v>37089</v>
      </c>
      <c r="C1" s="1190"/>
    </row>
    <row r="2" customFormat="false" ht="15" hidden="false" customHeight="false" outlineLevel="0" collapsed="false">
      <c r="A2" s="28" t="s">
        <v>804</v>
      </c>
      <c r="B2" s="1190"/>
      <c r="C2" s="1190"/>
    </row>
    <row r="3" customFormat="false" ht="15.75" hidden="false" customHeight="false" outlineLevel="0" collapsed="false">
      <c r="B3" s="1191" t="s">
        <v>88</v>
      </c>
      <c r="C3" s="1191"/>
      <c r="D3" s="1191"/>
      <c r="E3" s="1191"/>
      <c r="F3" s="1191"/>
      <c r="G3" s="1191"/>
      <c r="H3" s="1192" t="s">
        <v>89</v>
      </c>
      <c r="I3" s="1192"/>
      <c r="J3" s="1192"/>
      <c r="K3" s="1192"/>
      <c r="L3" s="1192"/>
      <c r="M3" s="1192"/>
      <c r="N3" s="933" t="s">
        <v>43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805</v>
      </c>
      <c r="C4" s="1193"/>
      <c r="D4" s="11" t="s">
        <v>715</v>
      </c>
      <c r="E4" s="11" t="s">
        <v>715</v>
      </c>
      <c r="F4" s="1194" t="s">
        <v>806</v>
      </c>
      <c r="G4" s="1194"/>
      <c r="H4" s="4" t="s">
        <v>805</v>
      </c>
      <c r="I4" s="4"/>
      <c r="J4" s="11" t="s">
        <v>715</v>
      </c>
      <c r="K4" s="11" t="s">
        <v>715</v>
      </c>
      <c r="L4" s="1194" t="s">
        <v>806</v>
      </c>
      <c r="M4" s="1194"/>
      <c r="N4" s="4" t="s">
        <v>805</v>
      </c>
      <c r="O4" s="4"/>
      <c r="P4" s="11" t="s">
        <v>715</v>
      </c>
      <c r="Q4" s="11" t="s">
        <v>715</v>
      </c>
      <c r="R4" s="4" t="s">
        <v>806</v>
      </c>
      <c r="S4" s="4"/>
    </row>
    <row r="5" customFormat="false" ht="15" hidden="false" customHeight="false" outlineLevel="0" collapsed="false">
      <c r="A5" s="884"/>
      <c r="B5" s="1195" t="s">
        <v>807</v>
      </c>
      <c r="C5" s="1196" t="s">
        <v>808</v>
      </c>
      <c r="D5" s="1197" t="s">
        <v>809</v>
      </c>
      <c r="E5" s="1197" t="s">
        <v>810</v>
      </c>
      <c r="F5" s="1197" t="s">
        <v>807</v>
      </c>
      <c r="G5" s="1198" t="s">
        <v>808</v>
      </c>
      <c r="H5" s="1197" t="s">
        <v>807</v>
      </c>
      <c r="I5" s="1197" t="s">
        <v>808</v>
      </c>
      <c r="J5" s="1197" t="s">
        <v>809</v>
      </c>
      <c r="K5" s="1197" t="s">
        <v>810</v>
      </c>
      <c r="L5" s="1197" t="s">
        <v>807</v>
      </c>
      <c r="M5" s="1198" t="s">
        <v>808</v>
      </c>
      <c r="N5" s="1197" t="s">
        <v>807</v>
      </c>
      <c r="O5" s="1197" t="s">
        <v>808</v>
      </c>
      <c r="P5" s="1197" t="s">
        <v>809</v>
      </c>
      <c r="Q5" s="1197" t="s">
        <v>810</v>
      </c>
      <c r="R5" s="1197" t="s">
        <v>807</v>
      </c>
      <c r="S5" s="1197" t="s">
        <v>808</v>
      </c>
    </row>
    <row r="6" customFormat="false" ht="15" hidden="false" customHeight="false" outlineLevel="0" collapsed="false">
      <c r="A6" s="1190" t="n">
        <f aca="false">B1-1</f>
        <v>37088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93021</v>
      </c>
      <c r="O6" s="1199" t="n">
        <v>0</v>
      </c>
      <c r="P6" s="1199" t="n">
        <v>54790655</v>
      </c>
      <c r="Q6" s="1199" t="n">
        <v>15045098</v>
      </c>
      <c r="R6" s="1199" t="n">
        <v>39745557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37089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109796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54900451</v>
      </c>
      <c r="Q7" s="0" t="n">
        <f aca="false">IF(O7&gt;0,Q6+O7,Q6)</f>
        <v>15045098</v>
      </c>
      <c r="R7" s="0" t="n">
        <f aca="false">IF(P7&gt;Q7,P7-Q7,0)</f>
        <v>39855353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201" t="s">
        <v>813</v>
      </c>
    </row>
    <row r="2" customFormat="false" ht="15" hidden="false" customHeight="false" outlineLevel="0" collapsed="false">
      <c r="B2" s="36" t="s">
        <v>814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48</v>
      </c>
      <c r="C3" s="29" t="s">
        <v>73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73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37089</v>
      </c>
      <c r="B5" s="29" t="n">
        <f aca="false">(Weather_Input!B5+Weather_Input!C5)/2</f>
        <v>78.5</v>
      </c>
      <c r="C5" s="46" t="n">
        <v>33500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1004</v>
      </c>
      <c r="J5" s="29" t="s">
        <v>0</v>
      </c>
      <c r="K5" s="29" t="n">
        <v>0</v>
      </c>
      <c r="L5" s="29" t="n">
        <v>427</v>
      </c>
      <c r="M5" s="29" t="n">
        <v>5841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37090</v>
      </c>
      <c r="B6" s="51" t="n">
        <f aca="false">(Weather_Input!B6+Weather_Input!C6)/2</f>
        <v>81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37091</v>
      </c>
      <c r="B7" s="51" t="n">
        <f aca="false">(Weather_Input!B7+Weather_Input!C7)/2</f>
        <v>80.5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37092</v>
      </c>
      <c r="B8" s="51" t="n">
        <f aca="false">(Weather_Input!B8+Weather_Input!C8)/2</f>
        <v>81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37093</v>
      </c>
      <c r="B9" s="51" t="n">
        <f aca="false">(Weather_Input!B9+Weather_Input!C9)/2</f>
        <v>81.5</v>
      </c>
      <c r="C9" s="46" t="n">
        <v>30000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37094</v>
      </c>
      <c r="B10" s="51" t="n">
        <f aca="false">(Weather_Input!B10+Weather_Input!C10)/2</f>
        <v>81.5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87</v>
      </c>
      <c r="J5" s="36" t="s">
        <v>148</v>
      </c>
      <c r="K5" s="29"/>
      <c r="L5" s="36" t="s">
        <v>149</v>
      </c>
      <c r="M5" s="37" t="s">
        <v>150</v>
      </c>
      <c r="N5" s="73" t="s">
        <v>44</v>
      </c>
      <c r="O5" s="36" t="s">
        <v>65</v>
      </c>
      <c r="P5" s="36" t="s">
        <v>77</v>
      </c>
      <c r="Q5" s="36" t="s">
        <v>77</v>
      </c>
      <c r="R5" s="36" t="s">
        <v>44</v>
      </c>
      <c r="S5" s="36" t="s">
        <v>69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36" t="s">
        <v>155</v>
      </c>
      <c r="AI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89</v>
      </c>
      <c r="M6" s="81" t="s">
        <v>164</v>
      </c>
      <c r="N6" s="81" t="s">
        <v>151</v>
      </c>
      <c r="O6" s="81" t="s">
        <v>77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88</v>
      </c>
      <c r="Z6" s="81" t="s">
        <v>143</v>
      </c>
      <c r="AA6" s="81" t="s">
        <v>144</v>
      </c>
      <c r="AB6" s="81" t="s">
        <v>88</v>
      </c>
      <c r="AC6" s="81" t="s">
        <v>44</v>
      </c>
      <c r="AD6" s="81" t="s">
        <v>143</v>
      </c>
      <c r="AE6" s="81" t="s">
        <v>88</v>
      </c>
      <c r="AF6" s="81" t="s">
        <v>44</v>
      </c>
      <c r="AG6" s="81" t="s">
        <v>143</v>
      </c>
      <c r="AH6" s="81" t="s">
        <v>144</v>
      </c>
      <c r="AI6" s="29"/>
    </row>
    <row r="7" customFormat="false" ht="12.75" hidden="false" customHeight="false" outlineLevel="0" collapsed="false">
      <c r="A7" s="88" t="n">
        <f aca="false">Weather_Input!A5</f>
        <v>37089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25800</v>
      </c>
      <c r="G7" s="91" t="n">
        <v>227800</v>
      </c>
      <c r="H7" s="92" t="n">
        <v>0</v>
      </c>
      <c r="I7" s="92" t="n">
        <v>0</v>
      </c>
      <c r="J7" s="90" t="n">
        <v>28500</v>
      </c>
      <c r="K7" s="92" t="n">
        <v>0</v>
      </c>
      <c r="L7" s="90" t="n">
        <v>0</v>
      </c>
      <c r="M7" s="90" t="n">
        <v>0</v>
      </c>
      <c r="N7" s="93" t="n">
        <v>11160</v>
      </c>
      <c r="O7" s="90" t="n">
        <v>103000</v>
      </c>
      <c r="P7" s="50" t="n">
        <f aca="false">O7*0.015</f>
        <v>1545</v>
      </c>
      <c r="Q7" s="90" t="n">
        <v>620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37090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69260</v>
      </c>
      <c r="H8" s="92" t="n">
        <v>0</v>
      </c>
      <c r="I8" s="92" t="n">
        <v>0</v>
      </c>
      <c r="J8" s="90" t="n">
        <v>30000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37091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37092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37093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37094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Q4" s="75" t="s">
        <v>177</v>
      </c>
      <c r="R4" s="76"/>
      <c r="S4" s="80" t="s">
        <v>178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44</v>
      </c>
      <c r="L5" s="37" t="s">
        <v>65</v>
      </c>
      <c r="M5" s="37" t="s">
        <v>181</v>
      </c>
      <c r="N5" s="36" t="s">
        <v>0</v>
      </c>
      <c r="O5" s="36" t="s">
        <v>0</v>
      </c>
      <c r="P5" s="36" t="s">
        <v>182</v>
      </c>
      <c r="Q5" s="33" t="s">
        <v>169</v>
      </c>
      <c r="R5" s="101" t="s">
        <v>183</v>
      </c>
      <c r="S5" s="80" t="s">
        <v>86</v>
      </c>
      <c r="T5" s="33" t="s">
        <v>147</v>
      </c>
      <c r="U5" s="36" t="s">
        <v>184</v>
      </c>
      <c r="V5" s="36"/>
      <c r="W5" s="73" t="s">
        <v>87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143</v>
      </c>
      <c r="D6" s="81" t="s">
        <v>144</v>
      </c>
      <c r="E6" s="81" t="s">
        <v>86</v>
      </c>
      <c r="F6" s="83" t="s">
        <v>157</v>
      </c>
      <c r="G6" s="81" t="s">
        <v>145</v>
      </c>
      <c r="H6" s="81" t="s">
        <v>97</v>
      </c>
      <c r="I6" s="81" t="s">
        <v>78</v>
      </c>
      <c r="J6" s="83" t="s">
        <v>98</v>
      </c>
      <c r="K6" s="81" t="s">
        <v>187</v>
      </c>
      <c r="L6" s="102" t="s">
        <v>77</v>
      </c>
      <c r="M6" s="81" t="s">
        <v>164</v>
      </c>
      <c r="N6" s="81" t="s">
        <v>0</v>
      </c>
      <c r="O6" s="81" t="s">
        <v>0</v>
      </c>
      <c r="P6" s="103" t="s">
        <v>188</v>
      </c>
      <c r="Q6" s="104" t="s">
        <v>151</v>
      </c>
      <c r="R6" s="104" t="s">
        <v>151</v>
      </c>
      <c r="S6" s="85" t="s">
        <v>189</v>
      </c>
      <c r="T6" s="104" t="s">
        <v>160</v>
      </c>
      <c r="U6" s="81" t="s">
        <v>190</v>
      </c>
      <c r="V6" s="81" t="s">
        <v>0</v>
      </c>
      <c r="W6" s="105" t="s">
        <v>191</v>
      </c>
      <c r="X6" s="83" t="s">
        <v>87</v>
      </c>
      <c r="Y6" s="81" t="s">
        <v>88</v>
      </c>
      <c r="Z6" s="81" t="s">
        <v>143</v>
      </c>
      <c r="AA6" s="81" t="s">
        <v>144</v>
      </c>
      <c r="AB6" s="81" t="s">
        <v>44</v>
      </c>
      <c r="AC6" s="81" t="s">
        <v>157</v>
      </c>
      <c r="AD6" s="83" t="s">
        <v>192</v>
      </c>
      <c r="AE6" s="88"/>
    </row>
    <row r="7" customFormat="false" ht="12.75" hidden="false" customHeight="false" outlineLevel="0" collapsed="false">
      <c r="A7" s="88" t="n">
        <f aca="false">Weather_Input!A5</f>
        <v>37089</v>
      </c>
      <c r="B7" s="50" t="n">
        <v>0</v>
      </c>
      <c r="C7" s="50" t="n">
        <v>0</v>
      </c>
      <c r="D7" s="50" t="n">
        <v>43700</v>
      </c>
      <c r="E7" s="50" t="n">
        <v>0</v>
      </c>
      <c r="F7" s="89" t="n">
        <v>5300</v>
      </c>
      <c r="G7" s="90" t="n">
        <v>1000</v>
      </c>
      <c r="H7" s="90" t="n">
        <v>22600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70000</v>
      </c>
      <c r="T7" s="90" t="n">
        <v>0</v>
      </c>
      <c r="U7" s="93" t="n">
        <v>123648</v>
      </c>
      <c r="V7" s="93" t="n">
        <v>0</v>
      </c>
      <c r="W7" s="92" t="n">
        <v>300</v>
      </c>
      <c r="X7" s="106" t="n">
        <v>106796</v>
      </c>
      <c r="Y7" s="93" t="n">
        <v>200</v>
      </c>
      <c r="Z7" s="29" t="n">
        <v>0</v>
      </c>
      <c r="AA7" s="92" t="n">
        <v>221546</v>
      </c>
      <c r="AB7" s="92" t="n">
        <v>43287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37090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50000</v>
      </c>
      <c r="T8" s="90" t="n">
        <v>0</v>
      </c>
      <c r="U8" s="93" t="n">
        <v>129772</v>
      </c>
      <c r="V8" s="93" t="n">
        <v>0</v>
      </c>
      <c r="W8" s="92" t="n">
        <v>0</v>
      </c>
      <c r="X8" s="106" t="n">
        <v>114566</v>
      </c>
      <c r="Y8" s="93" t="n">
        <v>200</v>
      </c>
      <c r="Z8" s="29" t="n">
        <v>0</v>
      </c>
      <c r="AA8" s="92" t="n">
        <v>201546</v>
      </c>
      <c r="AB8" s="92" t="n">
        <v>37306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37091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129772</v>
      </c>
      <c r="V9" s="93" t="n">
        <v>0</v>
      </c>
      <c r="W9" s="92" t="n">
        <v>0</v>
      </c>
      <c r="X9" s="106" t="n">
        <v>104066</v>
      </c>
      <c r="Y9" s="93" t="n">
        <v>200</v>
      </c>
      <c r="Z9" s="29" t="n">
        <v>0</v>
      </c>
      <c r="AA9" s="92" t="n">
        <v>201546</v>
      </c>
      <c r="AB9" s="92" t="n">
        <v>32306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37092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129772</v>
      </c>
      <c r="V10" s="93" t="n">
        <v>0</v>
      </c>
      <c r="W10" s="92" t="n">
        <v>0</v>
      </c>
      <c r="X10" s="106" t="n">
        <v>104066</v>
      </c>
      <c r="Y10" s="93" t="n">
        <v>200</v>
      </c>
      <c r="Z10" s="29" t="n">
        <v>0</v>
      </c>
      <c r="AA10" s="92" t="n">
        <v>201546</v>
      </c>
      <c r="AB10" s="92" t="n">
        <v>32306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37093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129772</v>
      </c>
      <c r="V11" s="93" t="n">
        <v>0</v>
      </c>
      <c r="W11" s="92" t="n">
        <v>0</v>
      </c>
      <c r="X11" s="106" t="n">
        <v>104066</v>
      </c>
      <c r="Y11" s="93" t="n">
        <v>200</v>
      </c>
      <c r="Z11" s="29" t="n">
        <v>0</v>
      </c>
      <c r="AA11" s="92" t="n">
        <v>201546</v>
      </c>
      <c r="AB11" s="92" t="n">
        <v>32306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37094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129772</v>
      </c>
      <c r="V12" s="93" t="n">
        <v>0</v>
      </c>
      <c r="W12" s="92" t="n">
        <v>0</v>
      </c>
      <c r="X12" s="106" t="n">
        <v>104066</v>
      </c>
      <c r="Y12" s="93" t="n">
        <v>200</v>
      </c>
      <c r="Z12" s="29" t="n">
        <v>0</v>
      </c>
      <c r="AA12" s="92" t="n">
        <v>201546</v>
      </c>
      <c r="AB12" s="92" t="n">
        <v>32306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193</v>
      </c>
      <c r="C3" s="69" t="s">
        <v>194</v>
      </c>
      <c r="D3" s="69"/>
      <c r="E3" s="69"/>
      <c r="F3" s="69"/>
      <c r="G3" s="70" t="s">
        <v>195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196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197</v>
      </c>
      <c r="C4" s="29"/>
      <c r="D4" s="29"/>
      <c r="E4" s="29"/>
      <c r="F4" s="29"/>
      <c r="G4" s="37" t="s">
        <v>198</v>
      </c>
      <c r="H4" s="37"/>
      <c r="I4" s="36" t="s">
        <v>199</v>
      </c>
      <c r="J4" s="36"/>
      <c r="K4" s="73" t="s">
        <v>200</v>
      </c>
      <c r="L4" s="73" t="s">
        <v>200</v>
      </c>
      <c r="M4" s="37" t="s">
        <v>200</v>
      </c>
      <c r="N4" s="73" t="s">
        <v>129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201</v>
      </c>
      <c r="H5" s="36" t="s">
        <v>44</v>
      </c>
      <c r="I5" s="112" t="n">
        <v>0.05</v>
      </c>
      <c r="J5" s="112" t="s">
        <v>88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88</v>
      </c>
      <c r="P5" s="36" t="s">
        <v>44</v>
      </c>
      <c r="Q5" s="36" t="s">
        <v>44</v>
      </c>
      <c r="R5" s="112" t="s">
        <v>44</v>
      </c>
      <c r="S5" s="37" t="s">
        <v>88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44</v>
      </c>
      <c r="D6" s="81" t="s">
        <v>88</v>
      </c>
      <c r="E6" s="81" t="s">
        <v>143</v>
      </c>
      <c r="F6" s="81" t="s">
        <v>144</v>
      </c>
      <c r="G6" s="102" t="s">
        <v>203</v>
      </c>
      <c r="H6" s="81" t="s">
        <v>187</v>
      </c>
      <c r="I6" s="81" t="s">
        <v>204</v>
      </c>
      <c r="J6" s="81" t="s">
        <v>151</v>
      </c>
      <c r="K6" s="81" t="s">
        <v>205</v>
      </c>
      <c r="L6" s="81" t="s">
        <v>206</v>
      </c>
      <c r="M6" s="81" t="s">
        <v>207</v>
      </c>
      <c r="N6" s="81" t="s">
        <v>208</v>
      </c>
      <c r="O6" s="81" t="n">
        <v>50</v>
      </c>
      <c r="P6" s="81" t="s">
        <v>209</v>
      </c>
      <c r="Q6" s="81" t="s">
        <v>167</v>
      </c>
      <c r="R6" s="81" t="s">
        <v>210</v>
      </c>
      <c r="S6" s="102" t="s">
        <v>211</v>
      </c>
      <c r="T6" s="81" t="s">
        <v>212</v>
      </c>
      <c r="U6" s="81" t="s">
        <v>213</v>
      </c>
      <c r="V6" s="102" t="s">
        <v>211</v>
      </c>
      <c r="W6" s="81" t="s">
        <v>212</v>
      </c>
      <c r="X6" s="81" t="s">
        <v>213</v>
      </c>
      <c r="Y6" s="102" t="s">
        <v>211</v>
      </c>
      <c r="Z6" s="81" t="s">
        <v>212</v>
      </c>
      <c r="AA6" s="81" t="s">
        <v>213</v>
      </c>
      <c r="AB6" s="102" t="s">
        <v>211</v>
      </c>
      <c r="AC6" s="81" t="s">
        <v>212</v>
      </c>
      <c r="AD6" s="81" t="s">
        <v>213</v>
      </c>
      <c r="AE6" s="81" t="s">
        <v>214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6420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37090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37090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37091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37091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37093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37093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37094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37094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193</v>
      </c>
      <c r="C3" s="70" t="s">
        <v>215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216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217</v>
      </c>
      <c r="C4" s="37"/>
      <c r="D4" s="36"/>
      <c r="E4" s="36"/>
      <c r="F4" s="73"/>
      <c r="G4" s="37"/>
      <c r="L4" s="71"/>
      <c r="M4" s="95"/>
      <c r="O4" s="36" t="s">
        <v>218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219</v>
      </c>
      <c r="E5" s="36" t="s">
        <v>88</v>
      </c>
      <c r="F5" s="73" t="s">
        <v>44</v>
      </c>
      <c r="G5" s="37" t="s">
        <v>65</v>
      </c>
      <c r="H5" s="36" t="s">
        <v>44</v>
      </c>
      <c r="I5" s="36" t="s">
        <v>44</v>
      </c>
      <c r="J5" s="36" t="s">
        <v>44</v>
      </c>
      <c r="K5" s="36" t="s">
        <v>88</v>
      </c>
      <c r="L5" s="78" t="s">
        <v>88</v>
      </c>
      <c r="M5" s="36" t="s">
        <v>144</v>
      </c>
      <c r="N5" s="36"/>
      <c r="O5" s="36" t="s">
        <v>220</v>
      </c>
      <c r="P5" s="36" t="s">
        <v>220</v>
      </c>
      <c r="Q5" s="36" t="s">
        <v>44</v>
      </c>
      <c r="R5" s="29" t="s">
        <v>221</v>
      </c>
      <c r="T5" s="78"/>
    </row>
    <row r="6" customFormat="false" ht="12.75" hidden="false" customHeight="false" outlineLevel="0" collapsed="false">
      <c r="B6" s="81" t="s">
        <v>86</v>
      </c>
      <c r="C6" s="102" t="s">
        <v>201</v>
      </c>
      <c r="D6" s="81" t="s">
        <v>222</v>
      </c>
      <c r="E6" s="81" t="s">
        <v>151</v>
      </c>
      <c r="F6" s="81" t="s">
        <v>187</v>
      </c>
      <c r="G6" s="102" t="s">
        <v>77</v>
      </c>
      <c r="H6" s="81" t="s">
        <v>209</v>
      </c>
      <c r="I6" s="81" t="s">
        <v>167</v>
      </c>
      <c r="J6" s="81" t="s">
        <v>210</v>
      </c>
      <c r="K6" s="81" t="s">
        <v>223</v>
      </c>
      <c r="L6" s="83" t="s">
        <v>224</v>
      </c>
      <c r="M6" s="81" t="s">
        <v>225</v>
      </c>
      <c r="N6" s="81" t="s">
        <v>143</v>
      </c>
      <c r="O6" s="81" t="s">
        <v>226</v>
      </c>
      <c r="P6" s="81" t="s">
        <v>227</v>
      </c>
      <c r="Q6" s="81" t="s">
        <v>220</v>
      </c>
      <c r="R6" s="104" t="s">
        <v>44</v>
      </c>
      <c r="S6" s="81" t="s">
        <v>144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37089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600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27323</v>
      </c>
      <c r="R7" s="50" t="n">
        <v>15990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37090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26650</v>
      </c>
      <c r="R8" s="50" t="n">
        <v>15317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37091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26650</v>
      </c>
      <c r="R9" s="50" t="n">
        <v>15317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37092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26650</v>
      </c>
      <c r="R10" s="50" t="n">
        <v>15317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37093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26650</v>
      </c>
      <c r="R11" s="50" t="n">
        <v>15317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37094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26650</v>
      </c>
      <c r="R12" s="50" t="n">
        <v>15317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228</v>
      </c>
      <c r="B1" s="122"/>
      <c r="C1" s="123"/>
      <c r="D1" s="122"/>
      <c r="E1" s="122"/>
      <c r="F1" s="122" t="s">
        <v>0</v>
      </c>
      <c r="G1" s="122" t="s">
        <v>229</v>
      </c>
      <c r="H1" s="124" t="str">
        <f aca="false">D3</f>
        <v>TUE</v>
      </c>
      <c r="I1" s="125" t="n">
        <f aca="false">D4</f>
        <v>37089</v>
      </c>
    </row>
    <row r="2" customFormat="false" ht="18.95" hidden="false" customHeight="true" outlineLevel="0" collapsed="false">
      <c r="A2" s="126" t="s">
        <v>230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37089</v>
      </c>
      <c r="E4" s="134" t="n">
        <f aca="false">Weather_Input!A6</f>
        <v>37090</v>
      </c>
      <c r="F4" s="134" t="n">
        <f aca="false">Weather_Input!A7</f>
        <v>37091</v>
      </c>
      <c r="G4" s="134" t="n">
        <f aca="false">Weather_Input!A8</f>
        <v>37092</v>
      </c>
      <c r="H4" s="134" t="n">
        <f aca="false">Weather_Input!A9</f>
        <v>37093</v>
      </c>
      <c r="I4" s="135" t="n">
        <f aca="false">Weather_Input!A10</f>
        <v>37094</v>
      </c>
    </row>
    <row r="5" customFormat="false" ht="18.95" hidden="false" customHeight="true" outlineLevel="0" collapsed="false">
      <c r="A5" s="136" t="s">
        <v>231</v>
      </c>
      <c r="B5" s="127"/>
      <c r="C5" s="127" t="s">
        <v>232</v>
      </c>
      <c r="D5" s="137" t="str">
        <f aca="false">TEXT(Weather_Input!B5,"0")&amp;"/"&amp;TEXT(Weather_Input!C5,"0")&amp;"/"&amp;TEXT((Weather_Input!B5+Weather_Input!C5)/2,"0")</f>
        <v>85/72/79</v>
      </c>
      <c r="E5" s="137" t="str">
        <f aca="false">TEXT(Weather_Input!B6,"0")&amp;"/"&amp;TEXT(Weather_Input!C6,"0")&amp;"/"&amp;TEXT((Weather_Input!B6+Weather_Input!C6)/2,"0")</f>
        <v>90/72/81</v>
      </c>
      <c r="F5" s="137" t="str">
        <f aca="false">TEXT(Weather_Input!B7,"0")&amp;"/"&amp;TEXT(Weather_Input!C7,"0")&amp;"/"&amp;TEXT((Weather_Input!B7+Weather_Input!C7)/2,"0")</f>
        <v>91/70/81</v>
      </c>
      <c r="G5" s="137" t="str">
        <f aca="false">TEXT(Weather_Input!B8,"0")&amp;"/"&amp;TEXT(Weather_Input!C8,"0")&amp;"/"&amp;TEXT((Weather_Input!B8+Weather_Input!C8)/2,"0")</f>
        <v>91/71/81</v>
      </c>
      <c r="H5" s="137" t="str">
        <f aca="false">TEXT(Weather_Input!B9,"0")&amp;"/"&amp;TEXT(Weather_Input!C9,"0")&amp;"/"&amp;TEXT((Weather_Input!B9+Weather_Input!C9)/2,"0")</f>
        <v>91/72/82</v>
      </c>
      <c r="I5" s="138" t="str">
        <f aca="false">TEXT(Weather_Input!B10,"0")&amp;"/"&amp;TEXT(Weather_Input!C10,"0")&amp;"/"&amp;TEXT((Weather_Input!B10+Weather_Input!C10)/2,"0")</f>
        <v>91/72/82</v>
      </c>
    </row>
    <row r="6" customFormat="false" ht="18.95" hidden="false" customHeight="true" outlineLevel="0" collapsed="false">
      <c r="A6" s="139" t="s">
        <v>233</v>
      </c>
      <c r="B6" s="127"/>
      <c r="C6" s="127"/>
      <c r="D6" s="137" t="n">
        <f aca="false">PGL_Deliveries!C5/1000</f>
        <v>198</v>
      </c>
      <c r="E6" s="137" t="n">
        <f aca="false">PGL_Deliveries!C6/1000</f>
        <v>195</v>
      </c>
      <c r="F6" s="137" t="n">
        <f aca="false">PGL_Deliveries!C7/1000</f>
        <v>195</v>
      </c>
      <c r="G6" s="137" t="n">
        <f aca="false">PGL_Deliveries!C8/1000</f>
        <v>185</v>
      </c>
      <c r="H6" s="137" t="n">
        <f aca="false">PGL_Deliveries!C9/1000</f>
        <v>175</v>
      </c>
      <c r="I6" s="138" t="n">
        <f aca="false">PGL_Deliveries!C10/1000</f>
        <v>185</v>
      </c>
    </row>
    <row r="7" customFormat="false" ht="18.95" hidden="false" customHeight="true" outlineLevel="0" collapsed="false">
      <c r="A7" s="139" t="s">
        <v>234</v>
      </c>
      <c r="B7" s="127" t="s">
        <v>0</v>
      </c>
      <c r="C7" s="127"/>
      <c r="D7" s="137" t="n">
        <f aca="false">PGL_Requirements!G7/1000*0.5</f>
        <v>113.9</v>
      </c>
      <c r="E7" s="137" t="n">
        <f aca="false">PGL_Requirements!G8/1000*0.5</f>
        <v>34.63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235</v>
      </c>
      <c r="B8" s="127"/>
      <c r="C8" s="127"/>
      <c r="D8" s="137" t="n">
        <f aca="false">PGL_Requirements!J7/1000</f>
        <v>28.5</v>
      </c>
      <c r="E8" s="137" t="n">
        <f aca="false">PGL_Requirements!J8/1000</f>
        <v>30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236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237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238</v>
      </c>
      <c r="B11" s="127" t="s">
        <v>239</v>
      </c>
      <c r="C11" s="127" t="s">
        <v>77</v>
      </c>
      <c r="D11" s="137" t="n">
        <f aca="false">PGL_Requirements!O7/1000</f>
        <v>103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165</v>
      </c>
      <c r="D12" s="137" t="n">
        <f aca="false">PGL_Requirements!P7/1000</f>
        <v>1.545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166</v>
      </c>
      <c r="D13" s="137" t="n">
        <f aca="false">PGL_Requirements!Q7/1000</f>
        <v>0.62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240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241</v>
      </c>
      <c r="C15" s="127" t="s">
        <v>242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243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244</v>
      </c>
      <c r="C17" s="127" t="s">
        <v>151</v>
      </c>
      <c r="D17" s="137" t="n">
        <f aca="false">PGL_Requirements!N7/1000</f>
        <v>11.16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245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246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247</v>
      </c>
      <c r="B20" s="127"/>
      <c r="C20" s="127"/>
      <c r="D20" s="137" t="n">
        <f aca="false">PGL_Requirements!F7/1000</f>
        <v>25.8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248</v>
      </c>
      <c r="B21" s="127" t="s">
        <v>249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143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144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157</v>
      </c>
      <c r="C24" s="127"/>
      <c r="D24" s="143" t="n">
        <f aca="false">PGL_Requirements!E7/1000</f>
        <v>0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250</v>
      </c>
      <c r="B25" s="146"/>
      <c r="C25" s="146"/>
      <c r="D25" s="147" t="n">
        <f aca="false">SUM(D6:D24)</f>
        <v>482.725</v>
      </c>
      <c r="E25" s="147" t="n">
        <f aca="false">SUM(E6:E24)</f>
        <v>397.43</v>
      </c>
      <c r="F25" s="147" t="n">
        <f aca="false">SUM(F6:F24)</f>
        <v>332.8</v>
      </c>
      <c r="G25" s="147" t="n">
        <f aca="false">SUM(G6:G24)</f>
        <v>322.8</v>
      </c>
      <c r="H25" s="147" t="n">
        <f aca="false">SUM(H6:H24)</f>
        <v>312.8</v>
      </c>
      <c r="I25" s="148" t="n">
        <f aca="false">SUM(I6:I24)</f>
        <v>322.8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251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252</v>
      </c>
      <c r="B28" s="127" t="s">
        <v>239</v>
      </c>
      <c r="C28" s="127" t="s">
        <v>77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145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78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241</v>
      </c>
      <c r="C31" s="127" t="s">
        <v>242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243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244</v>
      </c>
      <c r="C33" s="127" t="s">
        <v>151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253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254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255</v>
      </c>
      <c r="B36" s="127" t="s">
        <v>144</v>
      </c>
      <c r="C36" s="127"/>
      <c r="D36" s="137" t="n">
        <f aca="false">PGL_Supplies!S7/1000*0.5</f>
        <v>35</v>
      </c>
      <c r="E36" s="137" t="n">
        <f aca="false">PGL_Supplies!S8/1000*0.5</f>
        <v>25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256</v>
      </c>
      <c r="B37" s="127" t="s">
        <v>257</v>
      </c>
      <c r="C37" s="127"/>
      <c r="D37" s="137" t="n">
        <f aca="false">PGL_Supplies!X7/1000</f>
        <v>106.796</v>
      </c>
      <c r="E37" s="137" t="n">
        <f aca="false">PGL_Supplies!X8/1000</f>
        <v>114.566</v>
      </c>
      <c r="F37" s="137" t="n">
        <f aca="false">PGL_Supplies!X9/1000</f>
        <v>104.066</v>
      </c>
      <c r="G37" s="137" t="n">
        <f aca="false">PGL_Supplies!X10/1000</f>
        <v>104.066</v>
      </c>
      <c r="H37" s="137" t="n">
        <f aca="false">PGL_Supplies!X11/1000</f>
        <v>104.066</v>
      </c>
      <c r="I37" s="138" t="n">
        <f aca="false">PGL_Supplies!X12/1000</f>
        <v>104.066</v>
      </c>
    </row>
    <row r="38" customFormat="false" ht="18.95" hidden="false" customHeight="true" outlineLevel="0" collapsed="false">
      <c r="A38" s="139"/>
      <c r="B38" s="127" t="s">
        <v>241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258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144</v>
      </c>
      <c r="C40" s="140"/>
      <c r="D40" s="137" t="n">
        <f aca="false">PGL_Supplies!AA7/1000</f>
        <v>221.546</v>
      </c>
      <c r="E40" s="137" t="n">
        <f aca="false">PGL_Supplies!AA8/1000</f>
        <v>201.546</v>
      </c>
      <c r="F40" s="137" t="n">
        <f aca="false">PGL_Supplies!AA9/1000</f>
        <v>201.546</v>
      </c>
      <c r="G40" s="137" t="n">
        <f aca="false">PGL_Supplies!AA10/1000</f>
        <v>201.546</v>
      </c>
      <c r="H40" s="137" t="n">
        <f aca="false">PGL_Supplies!AA11/1000</f>
        <v>201.546</v>
      </c>
      <c r="I40" s="138" t="n">
        <f aca="false">PGL_Supplies!AA12/1000</f>
        <v>201.546</v>
      </c>
    </row>
    <row r="41" customFormat="false" ht="18.95" hidden="false" customHeight="true" outlineLevel="0" collapsed="false">
      <c r="A41" s="139"/>
      <c r="B41" s="127" t="s">
        <v>244</v>
      </c>
      <c r="C41" s="127"/>
      <c r="D41" s="137" t="n">
        <f aca="false">PGL_Supplies!AB7/1000</f>
        <v>43.287</v>
      </c>
      <c r="E41" s="137" t="n">
        <f aca="false">PGL_Supplies!AB8/1000</f>
        <v>37.306</v>
      </c>
      <c r="F41" s="137" t="n">
        <f aca="false">PGL_Supplies!AB9/1000</f>
        <v>32.306</v>
      </c>
      <c r="G41" s="137" t="n">
        <f aca="false">PGL_Supplies!AB10/1000</f>
        <v>32.306</v>
      </c>
      <c r="H41" s="137" t="n">
        <f aca="false">PGL_Supplies!AB11/1000</f>
        <v>32.306</v>
      </c>
      <c r="I41" s="138" t="n">
        <f aca="false">PGL_Supplies!AB12/1000</f>
        <v>32.306</v>
      </c>
    </row>
    <row r="42" customFormat="false" ht="18.95" hidden="false" customHeight="true" outlineLevel="0" collapsed="false">
      <c r="A42" s="139"/>
      <c r="B42" s="127" t="s">
        <v>259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260</v>
      </c>
      <c r="C43" s="127"/>
      <c r="D43" s="137" t="n">
        <f aca="false">PGL_Supplies!H7/1000</f>
        <v>22.6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261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262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263</v>
      </c>
      <c r="B46" s="127" t="s">
        <v>257</v>
      </c>
      <c r="C46" s="127"/>
      <c r="D46" s="137" t="n">
        <f aca="false">PGL_Supplies!W7/1000</f>
        <v>0.3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258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144</v>
      </c>
      <c r="C48" s="127"/>
      <c r="D48" s="137" t="n">
        <f aca="false">PGL_Supplies!D7/1000</f>
        <v>43.7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259</v>
      </c>
      <c r="C49" s="159"/>
      <c r="D49" s="143" t="n">
        <f aca="false">PGL_Supplies!F7/1000</f>
        <v>5.3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264</v>
      </c>
      <c r="B50" s="161"/>
      <c r="C50" s="161"/>
      <c r="D50" s="162" t="n">
        <f aca="false">SUM(D28:D49)</f>
        <v>482.729</v>
      </c>
      <c r="E50" s="162" t="n">
        <f aca="false">SUM(E28:E49)</f>
        <v>397.618</v>
      </c>
      <c r="F50" s="162" t="n">
        <f aca="false">SUM(F28:F49)</f>
        <v>357.118</v>
      </c>
      <c r="G50" s="162" t="n">
        <f aca="false">SUM(G28:G49)</f>
        <v>357.118</v>
      </c>
      <c r="H50" s="162" t="n">
        <f aca="false">SUM(H28:H49)</f>
        <v>357.118</v>
      </c>
      <c r="I50" s="163" t="n">
        <f aca="false">SUM(I28:I49)</f>
        <v>357.118</v>
      </c>
    </row>
    <row r="51" customFormat="false" ht="18.95" hidden="false" customHeight="true" outlineLevel="0" collapsed="false">
      <c r="A51" s="164" t="s">
        <v>265</v>
      </c>
      <c r="B51" s="159"/>
      <c r="C51" s="159"/>
      <c r="D51" s="165" t="n">
        <f aca="false">IF(D50-D25&lt;0,0,D50-D25)</f>
        <v>0.00399999999996226</v>
      </c>
      <c r="E51" s="165" t="n">
        <f aca="false">IF(E50-E25&lt;0,0,E50-E25)</f>
        <v>0.187999999999988</v>
      </c>
      <c r="F51" s="165" t="n">
        <f aca="false">IF(F50-F25&lt;0,0,F50-F25)</f>
        <v>24.318</v>
      </c>
      <c r="G51" s="165" t="n">
        <f aca="false">IF(G50-G25&lt;0,0,G50-G25)</f>
        <v>34.318</v>
      </c>
      <c r="H51" s="165" t="n">
        <f aca="false">IF(H50-H25&lt;0,0,H50-H25)</f>
        <v>44.318</v>
      </c>
      <c r="I51" s="166" t="n">
        <f aca="false">IF(I50-I25&lt;0,0,I50-I25)</f>
        <v>34.318</v>
      </c>
    </row>
    <row r="52" customFormat="false" ht="18.95" hidden="false" customHeight="true" outlineLevel="0" collapsed="false">
      <c r="A52" s="167" t="s">
        <v>266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267</v>
      </c>
      <c r="B53" s="172"/>
      <c r="C53" s="172"/>
      <c r="D53" s="173" t="n">
        <f aca="false">PGL_Supplies!U7/1000</f>
        <v>123.648</v>
      </c>
      <c r="E53" s="173" t="n">
        <f aca="false">PGL_Supplies!U8/1000</f>
        <v>129.772</v>
      </c>
      <c r="F53" s="173" t="n">
        <f aca="false">PGL_Supplies!U9/1000</f>
        <v>129.772</v>
      </c>
      <c r="G53" s="173" t="n">
        <f aca="false">PGL_Supplies!U10/1000</f>
        <v>129.772</v>
      </c>
      <c r="H53" s="173" t="n">
        <f aca="false">PGL_Supplies!U11/1000</f>
        <v>129.772</v>
      </c>
      <c r="I53" s="174" t="n">
        <f aca="false">PGL_Supplies!U12/1000</f>
        <v>129.772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2001-07-17T16:53:26Z</cp:lastPrinted>
  <cp:revision>0</cp:revision>
  <dc:subject/>
  <dc:title/>
</cp:coreProperties>
</file>