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<sst xmlns="http://schemas.openxmlformats.org/spreadsheetml/2006/main" count="2060" uniqueCount="828">
  <si>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</si>
  <si>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</si>
  <si>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</si>
  <si>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</si>
  <si>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</si>
  <si>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</si>
  <si>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</si>
  <si>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</si>
  <si>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</si>
  <si>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</si>
  <si>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</si>
  <si>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</si>
  <si>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</si>
  <si>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</si>
  <si>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</si>
  <si>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</si>
  <si>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</si>
  <si>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</si>
  <si>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</si>
  <si>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</si>
  <si>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</si>
  <si>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</si>
  <si>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</si>
  <si>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</si>
  <si>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</si>
  <si>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</si>
  <si>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</si>
  <si>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</si>
  <si>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</si>
  <si>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OVERNIGHT…MOSTLY CLOUDY. A 40% CHANCE OF RAIN.</t>
  </si>
  <si>
    <t xml:space="preserve">RAIN</t>
  </si>
  <si>
    <t xml:space="preserve">MOSTLY CLOUDY THIS A.M…BECOMING PARTLY SUNNY BY P.M. N.E. WINDS 5/10 MPH</t>
  </si>
  <si>
    <t xml:space="preserve">OVERNIGHT…PARTLY CLOUDY. LIGHT NORTH WINDS.</t>
  </si>
  <si>
    <t xml:space="preserve">S</t>
  </si>
  <si>
    <t xml:space="preserve">TSTORM</t>
  </si>
  <si>
    <t xml:space="preserve">PARTLY CLOUDY WITH A 30% CHANCE OF P.M. SHOWERS…COOLER NEAR LAKE. OVE</t>
  </si>
  <si>
    <t xml:space="preserve">RNIGHT…BECOMING FAIR.</t>
  </si>
  <si>
    <t xml:space="preserve">SUNNY…BUT COOLER NEAR THE LAKE.</t>
  </si>
  <si>
    <t xml:space="preserve">PARTLY CLOUDY…BUT COOLER NEAR THE LAKE.</t>
  </si>
  <si>
    <t xml:space="preserve">SUNNY.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</si>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</sst>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9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3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270</v>
      </c>
      <c r="B1" s="122"/>
      <c r="C1" s="122"/>
      <c r="D1" s="122"/>
      <c r="E1" s="122"/>
      <c r="F1" s="122"/>
      <c r="G1" s="122" t="s">
        <v>230</v>
      </c>
      <c r="H1" s="176" t="str">
        <f aca="false">D3</f>
        <v>TUE</v>
      </c>
      <c r="I1" s="177" t="n">
        <f aca="false">D4</f>
        <v>37061</v>
      </c>
      <c r="J1" s="178"/>
    </row>
    <row r="2" customFormat="false" ht="24.95" hidden="false" customHeight="true" outlineLevel="0" collapsed="false">
      <c r="A2" s="126" t="s">
        <v>271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TUE</v>
      </c>
      <c r="E3" s="130" t="str">
        <f aca="false">CHOOSE(WEEKDAY(E4),"SUN","MON","TUE","WED","THU","FRI","SAT")</f>
        <v>WED</v>
      </c>
      <c r="F3" s="130" t="str">
        <f aca="false">CHOOSE(WEEKDAY(F4),"SUN","MON","TUE","WED","THU","FRI","SAT")</f>
        <v>THU</v>
      </c>
      <c r="G3" s="130" t="str">
        <f aca="false">CHOOSE(WEEKDAY(G4),"SUN","MON","TUE","WED","THU","FRI","SAT")</f>
        <v>FRI</v>
      </c>
      <c r="H3" s="130" t="str">
        <f aca="false">CHOOSE(WEEKDAY(H4),"SUN","MON","TUE","WED","THU","FRI","SAT")</f>
        <v>SAT</v>
      </c>
      <c r="I3" s="131" t="str">
        <f aca="false">CHOOSE(WEEKDAY(I4),"SUN","MON","TUE","WED","THU","FRI","SAT")</f>
        <v>SUN</v>
      </c>
      <c r="J3" s="178"/>
    </row>
    <row r="4" customFormat="false" ht="24.95" hidden="false" customHeight="true" outlineLevel="0" collapsed="false">
      <c r="A4" s="132" t="s">
        <v>272</v>
      </c>
      <c r="B4" s="133"/>
      <c r="C4" s="133"/>
      <c r="D4" s="179" t="n">
        <f aca="false">Weather_Input!A5</f>
        <v>37061</v>
      </c>
      <c r="E4" s="179" t="n">
        <f aca="false">Weather_Input!A6</f>
        <v>37062</v>
      </c>
      <c r="F4" s="179" t="n">
        <f aca="false">Weather_Input!A7</f>
        <v>37063</v>
      </c>
      <c r="G4" s="179" t="n">
        <f aca="false">Weather_Input!A8</f>
        <v>37064</v>
      </c>
      <c r="H4" s="179" t="n">
        <f aca="false">Weather_Input!A9</f>
        <v>37065</v>
      </c>
      <c r="I4" s="180" t="n">
        <f aca="false">Weather_Input!A10</f>
        <v>37066</v>
      </c>
      <c r="J4" s="178"/>
    </row>
    <row r="5" customFormat="false" ht="24.95" hidden="false" customHeight="true" outlineLevel="0" collapsed="false">
      <c r="A5" s="136" t="s">
        <v>232</v>
      </c>
      <c r="B5" s="127"/>
      <c r="C5" s="127" t="s">
        <v>233</v>
      </c>
      <c r="D5" s="181" t="str">
        <f aca="false">TEXT(Weather_Input!B5,"0")&amp;"/"&amp;TEXT(Weather_Input!C5,"0")&amp;"/"&amp;TEXT((Weather_Input!B5+Weather_Input!C5)/2,"0")</f>
        <v>83/65/74</v>
      </c>
      <c r="E5" s="181" t="str">
        <f aca="false">TEXT(Weather_Input!B6,"0")&amp;"/"&amp;TEXT(Weather_Input!C6,"0")&amp;"/"&amp;TEXT((Weather_Input!B6+Weather_Input!C6)/2,"0")</f>
        <v>78/59/69</v>
      </c>
      <c r="F5" s="181" t="str">
        <f aca="false">TEXT(Weather_Input!B7,"0")&amp;"/"&amp;TEXT(Weather_Input!C7,"0")&amp;"/"&amp;TEXT((Weather_Input!B7+Weather_Input!C7)/2,"0")</f>
        <v>72/53/63</v>
      </c>
      <c r="G5" s="181" t="str">
        <f aca="false">TEXT(Weather_Input!B8,"0")&amp;"/"&amp;TEXT(Weather_Input!C8,"0")&amp;"/"&amp;TEXT((Weather_Input!B8+Weather_Input!C8)/2,"0")</f>
        <v>74/51/63</v>
      </c>
      <c r="H5" s="181" t="str">
        <f aca="false">TEXT(Weather_Input!B9,"0")&amp;"/"&amp;TEXT(Weather_Input!C9,"0")&amp;"/"&amp;TEXT((Weather_Input!B9+Weather_Input!C9)/2,"0")</f>
        <v>80/58/69</v>
      </c>
      <c r="I5" s="182" t="str">
        <f aca="false">TEXT(Weather_Input!B10,"0")&amp;"/"&amp;TEXT(Weather_Input!C10,"0")&amp;"/"&amp;TEXT((Weather_Input!B10+Weather_Input!C10)/2,"0")</f>
        <v>85/62/74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234</v>
      </c>
      <c r="B6" s="127"/>
      <c r="C6" s="127"/>
      <c r="D6" s="183" t="n">
        <f aca="true">VLOOKUP(D4,NSG_Sendouts,CELL("Col",NSG_Deliveries!C5),FALSE())/1000</f>
        <v>36</v>
      </c>
      <c r="E6" s="183" t="n">
        <f aca="true">VLOOKUP(E4,NSG_Sendouts,CELL("Col",NSG_Deliveries!C6),FALSE())/1000</f>
        <v>37</v>
      </c>
      <c r="F6" s="183" t="n">
        <f aca="true">VLOOKUP(F4,NSG_Sendouts,CELL("Col",NSG_Deliveries!C7),FALSE())/1000</f>
        <v>38</v>
      </c>
      <c r="G6" s="183" t="n">
        <f aca="true">VLOOKUP(G4,NSG_Sendouts,CELL("Col",NSG_Deliveries!C8),FALSE())/1000</f>
        <v>36</v>
      </c>
      <c r="H6" s="183" t="n">
        <f aca="true">VLOOKUP(H4,NSG_Sendouts,CELL("Col",NSG_Deliveries!C9),FALSE())/1000</f>
        <v>33</v>
      </c>
      <c r="I6" s="184" t="n">
        <f aca="true">VLOOKUP(I4,NSG_Sendouts,CELL("Col",NSG_Deliveries!C10),FALSE())/1000</f>
        <v>36</v>
      </c>
      <c r="J6" s="120"/>
    </row>
    <row r="7" customFormat="false" ht="24.95" hidden="false" customHeight="true" outlineLevel="0" collapsed="false">
      <c r="A7" s="136" t="s">
        <v>239</v>
      </c>
      <c r="B7" s="127" t="s">
        <v>240</v>
      </c>
      <c r="C7" s="127" t="s">
        <v>78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242</v>
      </c>
      <c r="C8" s="141" t="s">
        <v>152</v>
      </c>
      <c r="D8" s="183" t="n">
        <f aca="false">NSG_Requirements!J7/1000</f>
        <v>4.644</v>
      </c>
      <c r="E8" s="183" t="n">
        <f aca="false">NSG_Requirements!J8/1000</f>
        <v>4.76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245</v>
      </c>
      <c r="C9" s="141" t="s">
        <v>152</v>
      </c>
      <c r="D9" s="183" t="n">
        <f aca="false">NSG_Requirements!H7/1000</f>
        <v>3.031</v>
      </c>
      <c r="E9" s="183" t="n">
        <f aca="false">NSG_Requirements!H8/1000</f>
        <v>2</v>
      </c>
      <c r="F9" s="183" t="n">
        <f aca="false">NSG_Requirements!H9/1000</f>
        <v>2</v>
      </c>
      <c r="G9" s="183" t="n">
        <f aca="false">NSG_Requirements!H10/1000</f>
        <v>2</v>
      </c>
      <c r="H9" s="183" t="n">
        <f aca="false">NSG_Requirements!H11/1000</f>
        <v>2</v>
      </c>
      <c r="I9" s="184" t="n">
        <f aca="false">NSG_Requirements!H12/1000</f>
        <v>2</v>
      </c>
      <c r="J9" s="178"/>
    </row>
    <row r="10" customFormat="false" ht="24.95" hidden="false" customHeight="true" outlineLevel="0" collapsed="false">
      <c r="A10" s="158" t="s">
        <v>273</v>
      </c>
      <c r="B10" s="159" t="s">
        <v>274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251</v>
      </c>
      <c r="B11" s="168"/>
      <c r="C11" s="168"/>
      <c r="D11" s="188" t="n">
        <f aca="false">SUM(D6:D10)</f>
        <v>43.675</v>
      </c>
      <c r="E11" s="188" t="n">
        <f aca="false">SUM(E6:E10)</f>
        <v>43.76</v>
      </c>
      <c r="F11" s="188" t="n">
        <f aca="false">SUM(F6:F10)</f>
        <v>40</v>
      </c>
      <c r="G11" s="188" t="n">
        <f aca="false">SUM(G6:G10)</f>
        <v>38</v>
      </c>
      <c r="H11" s="188" t="n">
        <f aca="false">SUM(H6:H10)</f>
        <v>35</v>
      </c>
      <c r="I11" s="189" t="n">
        <f aca="false">SUM(I6:I10)</f>
        <v>38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252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275</v>
      </c>
      <c r="B14" s="127" t="s">
        <v>240</v>
      </c>
      <c r="C14" s="127" t="s">
        <v>276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242</v>
      </c>
      <c r="C15" s="127" t="s">
        <v>277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278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245</v>
      </c>
      <c r="C17" s="141" t="s">
        <v>279</v>
      </c>
      <c r="D17" s="183" t="n">
        <f aca="false">NSG_Supplies!F7/1000</f>
        <v>0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130</v>
      </c>
      <c r="C18" s="127" t="s">
        <v>280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281</v>
      </c>
      <c r="B19" s="127" t="s">
        <v>245</v>
      </c>
      <c r="C19" s="196" t="s">
        <v>282</v>
      </c>
      <c r="D19" s="183" t="n">
        <f aca="false">NSG_Supplies!Q7/1000</f>
        <v>27.899</v>
      </c>
      <c r="E19" s="183" t="n">
        <f aca="false">NSG_Supplies!Q8/1000</f>
        <v>28.549</v>
      </c>
      <c r="F19" s="183" t="n">
        <f aca="false">NSG_Supplies!Q9/1000</f>
        <v>28.549</v>
      </c>
      <c r="G19" s="183" t="n">
        <f aca="false">NSG_Supplies!Q10/1000</f>
        <v>28.549</v>
      </c>
      <c r="H19" s="183" t="n">
        <f aca="false">NSG_Supplies!Q11/1000</f>
        <v>28.549</v>
      </c>
      <c r="I19" s="184" t="n">
        <f aca="false">NSG_Supplies!Q12/1000</f>
        <v>28.549</v>
      </c>
      <c r="J19" s="178"/>
    </row>
    <row r="20" customFormat="false" ht="24.95" hidden="false" customHeight="true" outlineLevel="0" collapsed="false">
      <c r="A20" s="136"/>
      <c r="B20" s="127" t="s">
        <v>242</v>
      </c>
      <c r="C20" s="127" t="s">
        <v>283</v>
      </c>
      <c r="D20" s="183" t="n">
        <f aca="false">NSG_Supplies!P7/1000</f>
        <v>15.215</v>
      </c>
      <c r="E20" s="183" t="n">
        <f aca="false">NSG_Supplies!P8/1000</f>
        <v>15.215</v>
      </c>
      <c r="F20" s="183" t="n">
        <f aca="false">NSG_Supplies!P9/1000</f>
        <v>15.215</v>
      </c>
      <c r="G20" s="183" t="n">
        <f aca="false">NSG_Supplies!P10/1000</f>
        <v>15.215</v>
      </c>
      <c r="H20" s="183" t="n">
        <f aca="false">NSG_Supplies!P11/1000</f>
        <v>15.215</v>
      </c>
      <c r="I20" s="184" t="n">
        <f aca="false">NSG_Supplies!P12/1000</f>
        <v>15.215</v>
      </c>
      <c r="J20" s="178"/>
    </row>
    <row r="21" customFormat="false" ht="24.95" hidden="false" customHeight="true" outlineLevel="0" collapsed="false">
      <c r="A21" s="197" t="s">
        <v>265</v>
      </c>
      <c r="B21" s="198"/>
      <c r="C21" s="198"/>
      <c r="D21" s="199" t="n">
        <f aca="false">SUM(D14:D20)</f>
        <v>43.114</v>
      </c>
      <c r="E21" s="199" t="n">
        <f aca="false">SUM(E14:E20)</f>
        <v>43.764</v>
      </c>
      <c r="F21" s="199" t="n">
        <f aca="false">SUM(F14:F20)</f>
        <v>43.764</v>
      </c>
      <c r="G21" s="199" t="n">
        <f aca="false">SUM(G14:G20)</f>
        <v>43.764</v>
      </c>
      <c r="H21" s="199" t="n">
        <f aca="false">SUM(H14:H20)</f>
        <v>43.764</v>
      </c>
      <c r="I21" s="200" t="n">
        <f aca="false">SUM(I14:I20)</f>
        <v>43.764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266</v>
      </c>
      <c r="B22" s="203"/>
      <c r="C22" s="203"/>
      <c r="D22" s="204" t="n">
        <f aca="false">IF(D21-D11&lt;0,0,D21-D11)</f>
        <v>0</v>
      </c>
      <c r="E22" s="204" t="n">
        <f aca="false">IF(E21-E11&lt;0,0,E21-E11)</f>
        <v>0.00399999999999778</v>
      </c>
      <c r="F22" s="204" t="n">
        <f aca="false">IF(F21-F11&lt;0,0,F21-F11)</f>
        <v>3.764</v>
      </c>
      <c r="G22" s="204" t="n">
        <f aca="false">IF(G21-G11&lt;0,0,G21-G11)</f>
        <v>5.764</v>
      </c>
      <c r="H22" s="204" t="n">
        <f aca="false">IF(H21-H11&lt;0,0,H21-H11)</f>
        <v>8.764</v>
      </c>
      <c r="I22" s="205" t="n">
        <f aca="false">IF(I21-I11&lt;0,0,I21-I11)</f>
        <v>5.764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267</v>
      </c>
      <c r="B23" s="168"/>
      <c r="C23" s="168"/>
      <c r="D23" s="207" t="n">
        <f aca="false">IF(D11-D21&lt;0,0,D11-D21)</f>
        <v>0.560999999999993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284</v>
      </c>
      <c r="B24" s="210"/>
      <c r="C24" s="210"/>
      <c r="D24" s="211" t="n">
        <f aca="false">NSG_Supplies!R7/1000</f>
        <v>16.025</v>
      </c>
      <c r="E24" s="211" t="n">
        <f aca="false">NSG_Supplies!R8/1000</f>
        <v>16.675</v>
      </c>
      <c r="F24" s="211" t="n">
        <f aca="false">NSG_Supplies!R9/1000</f>
        <v>16.675</v>
      </c>
      <c r="G24" s="211" t="n">
        <f aca="false">NSG_Supplies!R10/1000</f>
        <v>16.675</v>
      </c>
      <c r="H24" s="211" t="n">
        <f aca="false">NSG_Supplies!R11/1000</f>
        <v>16.675</v>
      </c>
      <c r="I24" s="212" t="n">
        <f aca="false">NSG_Supplies!R12/1000</f>
        <v>16.675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285</v>
      </c>
      <c r="B26" s="215"/>
      <c r="C26" s="215"/>
      <c r="D26" s="216" t="n">
        <f aca="false">Weather_Input!D5</f>
        <v>7.2</v>
      </c>
      <c r="E26" s="216" t="n">
        <f aca="false">Weather_Input!D6</f>
        <v>7</v>
      </c>
      <c r="F26" s="216" t="n">
        <f aca="false">Weather_Input!D7</f>
        <v>10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O4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88</v>
      </c>
      <c r="D1" s="221"/>
      <c r="E1" s="218" t="s">
        <v>0</v>
      </c>
      <c r="F1" s="220" t="s">
        <v>286</v>
      </c>
      <c r="G1" s="222" t="s">
        <v>0</v>
      </c>
      <c r="H1" s="222"/>
      <c r="I1" s="223" t="s">
        <v>0</v>
      </c>
      <c r="J1" s="224"/>
      <c r="K1" s="224"/>
      <c r="L1" s="225" t="s">
        <v>287</v>
      </c>
      <c r="M1" s="226" t="n">
        <f aca="false">Weather_Input!A5</f>
        <v>37061</v>
      </c>
      <c r="N1" s="227" t="str">
        <f aca="false">CHOOSE(WEEKDAY(M1),"SUN","MON","TUE","WED","THU","FRI","SAT")</f>
        <v>TUE</v>
      </c>
      <c r="O1" s="228"/>
    </row>
    <row r="2" customFormat="false" ht="16.5" hidden="false" customHeight="false" outlineLevel="0" collapsed="false">
      <c r="A2" s="229" t="s">
        <v>288</v>
      </c>
      <c r="B2" s="230" t="n">
        <f aca="false">PGL_Supplies!W7/1000</f>
        <v>0</v>
      </c>
      <c r="C2" s="231"/>
      <c r="D2" s="232"/>
      <c r="E2" s="233" t="s">
        <v>289</v>
      </c>
      <c r="F2" s="234"/>
      <c r="G2" s="235" t="s">
        <v>0</v>
      </c>
      <c r="H2" s="236" t="s">
        <v>0</v>
      </c>
      <c r="I2" s="237" t="s">
        <v>290</v>
      </c>
      <c r="J2" s="238" t="s">
        <v>291</v>
      </c>
      <c r="K2" s="239" t="s">
        <v>292</v>
      </c>
      <c r="L2" s="238" t="s">
        <v>18</v>
      </c>
      <c r="M2" s="239" t="s">
        <v>292</v>
      </c>
      <c r="N2" s="238" t="s">
        <v>18</v>
      </c>
      <c r="O2" s="240" t="s">
        <v>292</v>
      </c>
      <c r="Q2" s="241" t="s">
        <v>0</v>
      </c>
    </row>
    <row r="3" customFormat="false" ht="15.75" hidden="false" customHeight="false" outlineLevel="0" collapsed="false">
      <c r="A3" s="229" t="s">
        <v>293</v>
      </c>
      <c r="B3" s="242" t="n">
        <f aca="false">PGL_Requirements!I7/1000</f>
        <v>0</v>
      </c>
      <c r="C3" s="243" t="s">
        <v>0</v>
      </c>
      <c r="D3" s="244"/>
      <c r="E3" s="233" t="s">
        <v>294</v>
      </c>
      <c r="F3" s="230" t="n">
        <f aca="false">PGL_Supplies!H7/1000</f>
        <v>24.85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83</v>
      </c>
      <c r="K3" s="248" t="n">
        <f aca="false">Weather_Input!C5</f>
        <v>65</v>
      </c>
      <c r="L3" s="249" t="s">
        <v>0</v>
      </c>
      <c r="M3" s="250" t="s">
        <v>0</v>
      </c>
      <c r="N3" s="250"/>
      <c r="O3" s="251"/>
    </row>
    <row r="4" customFormat="false" ht="16.5" hidden="false" customHeight="false" outlineLevel="0" collapsed="false">
      <c r="A4" s="252" t="s">
        <v>295</v>
      </c>
      <c r="B4" s="253" t="n">
        <v>0</v>
      </c>
      <c r="C4" s="40"/>
      <c r="D4" s="254"/>
      <c r="E4" s="255" t="s">
        <v>296</v>
      </c>
      <c r="F4" s="256" t="n">
        <v>0</v>
      </c>
      <c r="G4" s="257" t="s">
        <v>0</v>
      </c>
      <c r="H4" s="258"/>
      <c r="I4" s="0" t="s">
        <v>297</v>
      </c>
      <c r="J4" s="259"/>
      <c r="K4" s="260" t="s">
        <v>0</v>
      </c>
      <c r="L4" s="261"/>
      <c r="M4" s="262"/>
      <c r="N4" s="261"/>
      <c r="O4" s="263"/>
    </row>
    <row r="5" customFormat="false" ht="16.5" hidden="false" customHeight="false" outlineLevel="0" collapsed="false">
      <c r="A5" s="264" t="s">
        <v>298</v>
      </c>
      <c r="B5" s="230" t="n">
        <f aca="false">PGL_Supplies!X7/1000</f>
        <v>89.603</v>
      </c>
      <c r="C5" s="265" t="s">
        <v>0</v>
      </c>
      <c r="D5" s="266"/>
      <c r="E5" s="267" t="s">
        <v>299</v>
      </c>
      <c r="F5" s="268" t="n">
        <f aca="false">F3+F4</f>
        <v>24.85</v>
      </c>
      <c r="G5" s="269" t="s">
        <v>0</v>
      </c>
      <c r="H5" s="270" t="s">
        <v>0</v>
      </c>
      <c r="I5" s="271" t="s">
        <v>300</v>
      </c>
      <c r="J5" s="272" t="s">
        <v>0</v>
      </c>
      <c r="K5" s="273" t="n">
        <f aca="false">PGL_Deliveries!C5/1000</f>
        <v>215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301</v>
      </c>
      <c r="B6" s="276" t="n">
        <f aca="false">+B5-B3+B2-B4</f>
        <v>89.603</v>
      </c>
      <c r="C6" s="277" t="s">
        <v>0</v>
      </c>
      <c r="D6" s="278"/>
      <c r="E6" s="279" t="s">
        <v>0</v>
      </c>
      <c r="F6" s="280" t="s">
        <v>44</v>
      </c>
      <c r="G6" s="281"/>
      <c r="H6" s="282"/>
      <c r="I6" s="40" t="s">
        <v>302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89</v>
      </c>
      <c r="D7" s="290"/>
      <c r="E7" s="229" t="s">
        <v>303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304</v>
      </c>
      <c r="B8" s="230" t="n">
        <f aca="false">PGL_Requirements!T7/1000</f>
        <v>0</v>
      </c>
      <c r="C8" s="295"/>
      <c r="D8" s="244"/>
      <c r="E8" s="229" t="s">
        <v>305</v>
      </c>
      <c r="F8" s="245" t="n">
        <f aca="false">PGL_Requirements!E7/1000</f>
        <v>4</v>
      </c>
      <c r="G8" s="291" t="s">
        <v>0</v>
      </c>
      <c r="H8" s="292"/>
      <c r="I8" s="296" t="s">
        <v>306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307</v>
      </c>
      <c r="B9" s="230" t="n">
        <f aca="false">PGL_Supplies!Q7/1000</f>
        <v>0</v>
      </c>
      <c r="C9" s="244"/>
      <c r="D9" s="244"/>
      <c r="E9" s="229" t="s">
        <v>308</v>
      </c>
      <c r="F9" s="230" t="n">
        <f aca="false">PGL_Supplies!F7/1000</f>
        <v>0</v>
      </c>
      <c r="G9" s="230"/>
      <c r="H9" s="292"/>
      <c r="I9" s="40" t="s">
        <v>88</v>
      </c>
      <c r="J9" s="259"/>
      <c r="K9" s="300" t="n">
        <f aca="false">+B6</f>
        <v>89.603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309</v>
      </c>
      <c r="B10" s="230" t="n">
        <f aca="false">PGL_Supplies!Y7/1000</f>
        <v>0.2</v>
      </c>
      <c r="C10" s="40"/>
      <c r="D10" s="303"/>
      <c r="E10" s="229" t="s">
        <v>310</v>
      </c>
      <c r="F10" s="304" t="n">
        <f aca="false">PGL_Supplies!AC7/1000</f>
        <v>4</v>
      </c>
      <c r="G10" s="305"/>
      <c r="H10" s="306"/>
      <c r="I10" s="307" t="s">
        <v>311</v>
      </c>
      <c r="J10" s="308" t="s">
        <v>0</v>
      </c>
      <c r="K10" s="298" t="n">
        <f aca="false">B11</f>
        <v>0.2</v>
      </c>
      <c r="L10" s="274"/>
      <c r="M10" s="298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301</v>
      </c>
      <c r="B11" s="269" t="n">
        <f aca="false">B10+B9-B8</f>
        <v>0.2</v>
      </c>
      <c r="C11" s="278"/>
      <c r="D11" s="278"/>
      <c r="E11" s="309" t="s">
        <v>312</v>
      </c>
      <c r="F11" s="310" t="n">
        <f aca="false">+F10+F9-F8+F7</f>
        <v>0</v>
      </c>
      <c r="G11" s="268" t="s">
        <v>0</v>
      </c>
      <c r="H11" s="311"/>
      <c r="I11" s="307" t="s">
        <v>78</v>
      </c>
      <c r="J11" s="308" t="s">
        <v>0</v>
      </c>
      <c r="K11" s="298" t="n">
        <f aca="false">B19</f>
        <v>-130.447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2" t="s">
        <v>0</v>
      </c>
      <c r="B12" s="289" t="s">
        <v>0</v>
      </c>
      <c r="C12" s="289" t="s">
        <v>78</v>
      </c>
      <c r="D12" s="313"/>
      <c r="E12" s="314" t="s">
        <v>0</v>
      </c>
      <c r="F12" s="315" t="s">
        <v>313</v>
      </c>
      <c r="G12" s="316"/>
      <c r="H12" s="317"/>
      <c r="I12" s="307" t="s">
        <v>314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96</v>
      </c>
      <c r="B13" s="230" t="n">
        <f aca="false">PGL_Requirements!O7/1000</f>
        <v>131.31</v>
      </c>
      <c r="C13" s="244"/>
      <c r="D13" s="318"/>
      <c r="E13" s="319" t="s">
        <v>315</v>
      </c>
      <c r="F13" s="234" t="s">
        <v>0</v>
      </c>
      <c r="G13" s="320" t="s">
        <v>0</v>
      </c>
      <c r="H13" s="321" t="s">
        <v>0</v>
      </c>
      <c r="I13" s="307" t="s">
        <v>316</v>
      </c>
      <c r="J13" s="322" t="s">
        <v>0</v>
      </c>
      <c r="K13" s="298" t="n">
        <f aca="false">B34</f>
        <v>184.438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317</v>
      </c>
      <c r="B14" s="230" t="n">
        <f aca="false">PGL_Supplies!L7/1000</f>
        <v>0</v>
      </c>
      <c r="C14" s="244"/>
      <c r="D14" s="318"/>
      <c r="E14" s="323" t="s">
        <v>318</v>
      </c>
      <c r="F14" s="244"/>
      <c r="G14" s="324"/>
      <c r="H14" s="325"/>
      <c r="I14" s="307" t="s">
        <v>319</v>
      </c>
      <c r="J14" s="308" t="s">
        <v>0</v>
      </c>
      <c r="K14" s="326" t="n">
        <f aca="false">F5</f>
        <v>24.85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320</v>
      </c>
      <c r="B15" s="230" t="n">
        <f aca="false">SUM(PGL_Requirements!B7/1000)</f>
        <v>0</v>
      </c>
      <c r="C15" s="244"/>
      <c r="D15" s="292"/>
      <c r="E15" s="327" t="s">
        <v>321</v>
      </c>
      <c r="F15" s="328"/>
      <c r="G15" s="283"/>
      <c r="H15" s="329"/>
      <c r="I15" s="307" t="s">
        <v>322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323</v>
      </c>
      <c r="B16" s="230" t="n">
        <f aca="false">PGL_Supplies!G7/1000</f>
        <v>1.463</v>
      </c>
      <c r="C16" s="244"/>
      <c r="D16" s="292"/>
      <c r="E16" s="330" t="s">
        <v>0</v>
      </c>
      <c r="F16" s="293" t="s">
        <v>324</v>
      </c>
      <c r="G16" s="331"/>
      <c r="H16" s="332"/>
      <c r="I16" s="307" t="s">
        <v>325</v>
      </c>
      <c r="J16" s="308" t="s">
        <v>2</v>
      </c>
      <c r="K16" s="326" t="n">
        <f aca="false">PGL_Supplies!B7/1000</f>
        <v>15.722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3" t="s">
        <v>326</v>
      </c>
      <c r="B17" s="230" t="n">
        <f aca="false">PGL_Requirements!Q7/1000</f>
        <v>0.6</v>
      </c>
      <c r="C17" s="244"/>
      <c r="D17" s="292"/>
      <c r="E17" s="334" t="s">
        <v>327</v>
      </c>
      <c r="F17" s="335" t="n">
        <f aca="false">+PGL_Supplies!J7/1000</f>
        <v>0</v>
      </c>
      <c r="G17" s="336" t="s">
        <v>0</v>
      </c>
      <c r="H17" s="337" t="s">
        <v>0</v>
      </c>
      <c r="I17" s="307" t="s">
        <v>328</v>
      </c>
      <c r="J17" s="338" t="s">
        <v>0</v>
      </c>
      <c r="K17" s="243" t="n">
        <f aca="false">-PGL_Requirements!F7/1000</f>
        <v>-0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329</v>
      </c>
      <c r="B18" s="230" t="n">
        <f aca="false">PGL_Requirements!P7/1000</f>
        <v>1.96965</v>
      </c>
      <c r="C18" s="266"/>
      <c r="D18" s="306"/>
      <c r="E18" s="279" t="s">
        <v>0</v>
      </c>
      <c r="F18" s="293" t="s">
        <v>330</v>
      </c>
      <c r="G18" s="281"/>
      <c r="H18" s="282"/>
      <c r="I18" s="0" t="s">
        <v>331</v>
      </c>
      <c r="J18" s="259"/>
      <c r="K18" s="339" t="n">
        <f aca="false">-F19</f>
        <v>-6.444</v>
      </c>
      <c r="L18" s="259"/>
      <c r="M18" s="340"/>
      <c r="N18" s="259"/>
      <c r="O18" s="263"/>
    </row>
    <row r="19" customFormat="false" ht="16.5" hidden="false" customHeight="false" outlineLevel="0" collapsed="false">
      <c r="A19" s="275" t="s">
        <v>299</v>
      </c>
      <c r="B19" s="341" t="n">
        <f aca="false">-B13+B14+B16-B17-B15+B20+B21</f>
        <v>-130.447</v>
      </c>
      <c r="C19" s="342"/>
      <c r="D19" s="311"/>
      <c r="E19" s="343" t="s">
        <v>332</v>
      </c>
      <c r="F19" s="344" t="n">
        <f aca="false">PGL_Requirements!J7/1000</f>
        <v>6.444</v>
      </c>
      <c r="G19" s="345" t="s">
        <v>0</v>
      </c>
      <c r="H19" s="346" t="s">
        <v>0</v>
      </c>
      <c r="I19" s="0" t="s">
        <v>235</v>
      </c>
      <c r="J19" s="347"/>
      <c r="K19" s="348" t="n">
        <f aca="false">-F24</f>
        <v>-8.5225</v>
      </c>
      <c r="L19" s="347"/>
      <c r="M19" s="349"/>
      <c r="N19" s="347"/>
      <c r="O19" s="350"/>
    </row>
    <row r="20" customFormat="false" ht="16.5" hidden="false" customHeight="false" outlineLevel="0" collapsed="false">
      <c r="A20" s="229" t="s">
        <v>333</v>
      </c>
      <c r="B20" s="230" t="n">
        <v>0</v>
      </c>
      <c r="C20" s="351"/>
      <c r="D20" s="352"/>
      <c r="E20" s="40"/>
      <c r="F20" s="40"/>
      <c r="G20" s="40"/>
      <c r="H20" s="353"/>
      <c r="I20" s="354" t="s">
        <v>321</v>
      </c>
      <c r="J20" s="355" t="s">
        <v>0</v>
      </c>
      <c r="K20" s="356" t="n">
        <f aca="false">SUM(K8:K19)</f>
        <v>169.3995</v>
      </c>
      <c r="L20" s="357" t="s">
        <v>0</v>
      </c>
      <c r="M20" s="356" t="s">
        <v>0</v>
      </c>
      <c r="N20" s="357" t="s">
        <v>0</v>
      </c>
      <c r="O20" s="358"/>
    </row>
    <row r="21" customFormat="false" ht="16.5" hidden="false" customHeight="false" outlineLevel="0" collapsed="false">
      <c r="A21" s="229" t="s">
        <v>334</v>
      </c>
      <c r="B21" s="359" t="n">
        <v>0</v>
      </c>
      <c r="C21" s="360"/>
      <c r="D21" s="361"/>
      <c r="E21" s="362" t="s">
        <v>335</v>
      </c>
      <c r="F21" s="253" t="n">
        <v>0</v>
      </c>
      <c r="G21" s="363"/>
      <c r="H21" s="364"/>
      <c r="I21" s="280" t="s">
        <v>45</v>
      </c>
      <c r="J21" s="365" t="s">
        <v>0</v>
      </c>
      <c r="K21" s="366"/>
      <c r="L21" s="367"/>
      <c r="M21" s="367" t="s">
        <v>336</v>
      </c>
      <c r="N21" s="367"/>
      <c r="O21" s="294"/>
    </row>
    <row r="22" customFormat="false" ht="15.75" hidden="false" customHeight="false" outlineLevel="0" collapsed="false">
      <c r="A22" s="368" t="s">
        <v>337</v>
      </c>
      <c r="B22" s="369" t="n">
        <f aca="false">SUM(B4)</f>
        <v>0</v>
      </c>
      <c r="C22" s="370"/>
      <c r="D22" s="371"/>
      <c r="E22" s="362" t="s">
        <v>338</v>
      </c>
      <c r="F22" s="253" t="n">
        <v>0</v>
      </c>
      <c r="G22" s="363"/>
      <c r="H22" s="364"/>
      <c r="I22" s="307" t="s">
        <v>339</v>
      </c>
      <c r="J22" s="308" t="s">
        <v>0</v>
      </c>
      <c r="K22" s="372" t="n">
        <f aca="false">-PGL_Supplies!I7/1000</f>
        <v>-0</v>
      </c>
      <c r="L22" s="373"/>
      <c r="M22" s="250"/>
      <c r="N22" s="373"/>
      <c r="O22" s="374"/>
    </row>
    <row r="23" customFormat="false" ht="18" hidden="false" customHeight="true" outlineLevel="0" collapsed="false">
      <c r="A23" s="312" t="s">
        <v>0</v>
      </c>
      <c r="B23" s="375" t="s">
        <v>0</v>
      </c>
      <c r="C23" s="376" t="s">
        <v>90</v>
      </c>
      <c r="D23" s="282"/>
      <c r="E23" s="377" t="s">
        <v>340</v>
      </c>
      <c r="F23" s="378" t="n">
        <v>0</v>
      </c>
      <c r="G23" s="328"/>
      <c r="H23" s="329"/>
      <c r="I23" s="307" t="s">
        <v>341</v>
      </c>
      <c r="J23" s="308" t="s">
        <v>0</v>
      </c>
      <c r="K23" s="298" t="n">
        <f aca="false">K5+K6-K20</f>
        <v>45.6005</v>
      </c>
      <c r="L23" s="373"/>
      <c r="M23" s="298" t="s">
        <v>0</v>
      </c>
      <c r="N23" s="373"/>
      <c r="O23" s="379"/>
    </row>
    <row r="24" customFormat="false" ht="16.5" hidden="false" customHeight="false" outlineLevel="0" collapsed="false">
      <c r="A24" s="229" t="s">
        <v>342</v>
      </c>
      <c r="B24" s="230" t="n">
        <f aca="false">PGL_Supplies!C7/1000</f>
        <v>0</v>
      </c>
      <c r="C24" s="380"/>
      <c r="D24" s="292"/>
      <c r="E24" s="381" t="s">
        <v>343</v>
      </c>
      <c r="F24" s="344" t="n">
        <f aca="false">PGL_Requirements!G7/1000*0.5</f>
        <v>8.5225</v>
      </c>
      <c r="G24" s="345"/>
      <c r="H24" s="382"/>
      <c r="I24" s="383" t="s">
        <v>289</v>
      </c>
      <c r="J24" s="308" t="s">
        <v>0</v>
      </c>
      <c r="K24" s="298"/>
      <c r="L24" s="384" t="s">
        <v>0</v>
      </c>
      <c r="M24" s="385"/>
      <c r="N24" s="384" t="s">
        <v>0</v>
      </c>
      <c r="O24" s="379"/>
    </row>
    <row r="25" customFormat="false" ht="16.5" hidden="false" customHeight="false" outlineLevel="0" collapsed="false">
      <c r="A25" s="229" t="s">
        <v>344</v>
      </c>
      <c r="B25" s="386" t="n">
        <f aca="false">PGL_Supplies!C7/1000</f>
        <v>0</v>
      </c>
      <c r="C25" s="387"/>
      <c r="D25" s="292"/>
      <c r="E25" s="388" t="s">
        <v>345</v>
      </c>
      <c r="F25" s="389"/>
      <c r="G25" s="390"/>
      <c r="H25" s="391"/>
      <c r="I25" s="307" t="s">
        <v>346</v>
      </c>
      <c r="J25" s="392" t="s">
        <v>0</v>
      </c>
      <c r="K25" s="393" t="n">
        <f aca="false">SUM(B18+B20+B21)</f>
        <v>1.96965</v>
      </c>
      <c r="L25" s="394"/>
      <c r="M25" s="395"/>
      <c r="N25" s="396" t="s">
        <v>0</v>
      </c>
      <c r="O25" s="374"/>
    </row>
    <row r="26" customFormat="false" ht="17.25" hidden="false" customHeight="false" outlineLevel="0" collapsed="false">
      <c r="A26" s="229" t="s">
        <v>177</v>
      </c>
      <c r="B26" s="386" t="n">
        <f aca="false">PGL_Supplies!Z7/1000</f>
        <v>0</v>
      </c>
      <c r="C26" s="244"/>
      <c r="D26" s="292"/>
      <c r="E26" s="40"/>
      <c r="F26" s="397"/>
      <c r="G26" s="40"/>
      <c r="H26" s="398"/>
      <c r="I26" s="399" t="s">
        <v>347</v>
      </c>
      <c r="J26" s="400" t="s">
        <v>0</v>
      </c>
      <c r="K26" s="401" t="n">
        <f aca="false">SUM(K23:K25)</f>
        <v>47.57015</v>
      </c>
      <c r="L26" s="400" t="s">
        <v>0</v>
      </c>
      <c r="M26" s="298"/>
      <c r="N26" s="402" t="s">
        <v>0</v>
      </c>
      <c r="O26" s="403" t="s">
        <v>0</v>
      </c>
    </row>
    <row r="27" customFormat="false" ht="15.75" hidden="false" customHeight="true" outlineLevel="0" collapsed="false">
      <c r="A27" s="229" t="s">
        <v>348</v>
      </c>
      <c r="B27" s="230" t="n">
        <f aca="false">PGL_Supplies!R7/1000</f>
        <v>0</v>
      </c>
      <c r="C27" s="380"/>
      <c r="D27" s="292"/>
      <c r="E27" s="343" t="s">
        <v>349</v>
      </c>
      <c r="F27" s="404"/>
      <c r="G27" s="345"/>
      <c r="H27" s="346"/>
      <c r="I27" s="296" t="s">
        <v>350</v>
      </c>
      <c r="J27" s="405"/>
      <c r="K27" s="372" t="n">
        <f aca="false">SUM(-PGL_Supplies!L7/1000)</f>
        <v>0</v>
      </c>
      <c r="L27" s="406"/>
      <c r="M27" s="407"/>
      <c r="N27" s="408"/>
      <c r="O27" s="409"/>
    </row>
    <row r="28" customFormat="false" ht="16.5" hidden="false" customHeight="false" outlineLevel="0" collapsed="false">
      <c r="A28" s="275" t="s">
        <v>301</v>
      </c>
      <c r="B28" s="268" t="n">
        <f aca="false">-B24+B25+B26+B27</f>
        <v>0</v>
      </c>
      <c r="C28" s="410"/>
      <c r="D28" s="311"/>
      <c r="E28" s="40"/>
      <c r="F28" s="397"/>
      <c r="G28" s="40"/>
      <c r="H28" s="398"/>
      <c r="I28" s="307" t="s">
        <v>351</v>
      </c>
      <c r="J28" s="411"/>
      <c r="K28" s="243" t="n">
        <f aca="false">PGL_Requirements!N7/1000</f>
        <v>0</v>
      </c>
      <c r="L28" s="338"/>
      <c r="M28" s="412" t="s">
        <v>0</v>
      </c>
      <c r="N28" s="408"/>
      <c r="O28" s="413" t="s">
        <v>0</v>
      </c>
    </row>
    <row r="29" customFormat="false" ht="16.5" hidden="false" customHeight="false" outlineLevel="0" collapsed="false">
      <c r="A29" s="414" t="s">
        <v>0</v>
      </c>
      <c r="B29" s="415" t="s">
        <v>352</v>
      </c>
      <c r="C29" s="415"/>
      <c r="D29" s="415"/>
      <c r="E29" s="416" t="s">
        <v>353</v>
      </c>
      <c r="F29" s="378"/>
      <c r="G29" s="328"/>
      <c r="H29" s="417"/>
      <c r="I29" s="307" t="s">
        <v>354</v>
      </c>
      <c r="J29" s="418"/>
      <c r="K29" s="419" t="n">
        <f aca="false">-PGL_Supplies!K7/1000</f>
        <v>-18</v>
      </c>
      <c r="L29" s="338"/>
      <c r="M29" s="243" t="s">
        <v>0</v>
      </c>
      <c r="N29" s="408"/>
      <c r="O29" s="420" t="s">
        <v>0</v>
      </c>
    </row>
    <row r="30" customFormat="false" ht="15.75" hidden="false" customHeight="false" outlineLevel="0" collapsed="false">
      <c r="A30" s="333" t="s">
        <v>355</v>
      </c>
      <c r="B30" s="245" t="n">
        <f aca="false">PGL_Requirements!D7/1000</f>
        <v>0</v>
      </c>
      <c r="C30" s="324"/>
      <c r="D30" s="245" t="s">
        <v>0</v>
      </c>
      <c r="E30" s="421" t="s">
        <v>356</v>
      </c>
      <c r="F30" s="253"/>
      <c r="G30" s="363"/>
      <c r="H30" s="422"/>
      <c r="I30" s="423" t="s">
        <v>357</v>
      </c>
      <c r="J30" s="424"/>
      <c r="K30" s="284" t="n">
        <f aca="false">-PGL_Supplies!AB7/1000</f>
        <v>-31.556</v>
      </c>
      <c r="L30" s="425"/>
      <c r="M30" s="284" t="n">
        <f aca="false">-PGL_Supplies!AB7/1000</f>
        <v>-31.556</v>
      </c>
      <c r="N30" s="426"/>
      <c r="O30" s="427" t="n">
        <f aca="false">-PGL_Supplies!AB7/1000</f>
        <v>-31.556</v>
      </c>
    </row>
    <row r="31" customFormat="false" ht="16.5" hidden="false" customHeight="false" outlineLevel="0" collapsed="false">
      <c r="A31" s="333" t="s">
        <v>358</v>
      </c>
      <c r="B31" s="386" t="n">
        <f aca="false">PGL_Supplies!D7/1000</f>
        <v>0</v>
      </c>
      <c r="C31" s="386" t="s">
        <v>0</v>
      </c>
      <c r="D31" s="428" t="s">
        <v>0</v>
      </c>
      <c r="E31" s="349" t="s">
        <v>359</v>
      </c>
      <c r="F31" s="429"/>
      <c r="G31" s="303"/>
      <c r="H31" s="430"/>
      <c r="I31" s="431" t="s">
        <v>360</v>
      </c>
      <c r="J31" s="431"/>
      <c r="K31" s="431"/>
      <c r="L31" s="431"/>
      <c r="M31" s="431"/>
      <c r="N31" s="431"/>
      <c r="O31" s="431"/>
    </row>
    <row r="32" customFormat="false" ht="16.5" hidden="false" customHeight="false" outlineLevel="0" collapsed="false">
      <c r="A32" s="229" t="s">
        <v>177</v>
      </c>
      <c r="B32" s="386" t="n">
        <f aca="false">PGL_Supplies!AA7/1000+NSG_Supplies!M7/1000</f>
        <v>167.271</v>
      </c>
      <c r="C32" s="386" t="s">
        <v>0</v>
      </c>
      <c r="D32" s="428" t="s">
        <v>0</v>
      </c>
      <c r="E32" s="381" t="s">
        <v>361</v>
      </c>
      <c r="F32" s="432"/>
      <c r="G32" s="433"/>
      <c r="H32" s="382"/>
      <c r="I32" s="296" t="s">
        <v>362</v>
      </c>
      <c r="J32" s="351"/>
      <c r="K32" s="434"/>
      <c r="L32" s="435" t="s">
        <v>363</v>
      </c>
      <c r="M32" s="40"/>
      <c r="N32" s="436"/>
      <c r="O32" s="437"/>
    </row>
    <row r="33" customFormat="false" ht="15.75" hidden="false" customHeight="false" outlineLevel="0" collapsed="false">
      <c r="A33" s="438" t="s">
        <v>364</v>
      </c>
      <c r="B33" s="386" t="n">
        <f aca="false">PGL_Supplies!S7/1000</f>
        <v>34.334</v>
      </c>
      <c r="C33" s="386" t="s">
        <v>0</v>
      </c>
      <c r="D33" s="254"/>
      <c r="E33" s="40"/>
      <c r="F33" s="40"/>
      <c r="G33" s="40"/>
      <c r="H33" s="398"/>
      <c r="I33" s="439" t="s">
        <v>365</v>
      </c>
      <c r="J33" s="440"/>
      <c r="K33" s="441"/>
      <c r="L33" s="442" t="s">
        <v>353</v>
      </c>
      <c r="M33" s="262"/>
      <c r="N33" s="259"/>
      <c r="O33" s="263"/>
    </row>
    <row r="34" customFormat="false" ht="16.5" hidden="false" customHeight="false" outlineLevel="0" collapsed="false">
      <c r="A34" s="443" t="s">
        <v>366</v>
      </c>
      <c r="B34" s="404" t="n">
        <f aca="false">-B30+B31+B32+B33*0.5</f>
        <v>184.438</v>
      </c>
      <c r="C34" s="345"/>
      <c r="D34" s="444" t="s">
        <v>0</v>
      </c>
      <c r="E34" s="445" t="s">
        <v>367</v>
      </c>
      <c r="F34" s="40"/>
      <c r="G34" s="40"/>
      <c r="H34" s="398"/>
      <c r="I34" s="446" t="s">
        <v>368</v>
      </c>
      <c r="J34" s="318"/>
      <c r="K34" s="447"/>
      <c r="L34" s="442" t="s">
        <v>369</v>
      </c>
      <c r="M34" s="262"/>
      <c r="N34" s="259"/>
      <c r="O34" s="263"/>
    </row>
    <row r="35" customFormat="false" ht="15" hidden="false" customHeight="false" outlineLevel="0" collapsed="false">
      <c r="A35" s="448" t="s">
        <v>370</v>
      </c>
      <c r="B35" s="449"/>
      <c r="C35" s="449"/>
      <c r="D35" s="450" t="s">
        <v>0</v>
      </c>
      <c r="E35" s="445" t="s">
        <v>371</v>
      </c>
      <c r="F35" s="40"/>
      <c r="G35" s="40"/>
      <c r="H35" s="398"/>
      <c r="I35" s="446" t="s">
        <v>372</v>
      </c>
      <c r="J35" s="318"/>
      <c r="K35" s="441"/>
      <c r="L35" s="451" t="s">
        <v>373</v>
      </c>
      <c r="M35" s="262"/>
      <c r="N35" s="259"/>
      <c r="O35" s="263"/>
    </row>
    <row r="36" customFormat="false" ht="15" hidden="false" customHeight="false" outlineLevel="0" collapsed="false">
      <c r="A36" s="452" t="s">
        <v>374</v>
      </c>
      <c r="B36" s="230" t="n">
        <f aca="false">B34-B35-B37</f>
        <v>175.9155</v>
      </c>
      <c r="C36" s="453" t="s">
        <v>0</v>
      </c>
      <c r="D36" s="454" t="s">
        <v>0</v>
      </c>
      <c r="E36" s="445" t="s">
        <v>375</v>
      </c>
      <c r="F36" s="40"/>
      <c r="G36" s="40"/>
      <c r="H36" s="398"/>
      <c r="I36" s="446" t="s">
        <v>376</v>
      </c>
      <c r="J36" s="318"/>
      <c r="K36" s="441"/>
      <c r="L36" s="451" t="s">
        <v>53</v>
      </c>
      <c r="M36" s="262"/>
      <c r="N36" s="259"/>
      <c r="O36" s="263"/>
    </row>
    <row r="37" customFormat="false" ht="15" hidden="false" customHeight="false" outlineLevel="0" collapsed="false">
      <c r="A37" s="455" t="s">
        <v>377</v>
      </c>
      <c r="B37" s="456" t="n">
        <f aca="false">F24</f>
        <v>8.5225</v>
      </c>
      <c r="C37" s="259"/>
      <c r="D37" s="457" t="s">
        <v>0</v>
      </c>
      <c r="E37" s="40"/>
      <c r="F37" s="40"/>
      <c r="G37" s="40"/>
      <c r="H37" s="40"/>
      <c r="I37" s="458" t="s">
        <v>378</v>
      </c>
      <c r="J37" s="318"/>
      <c r="K37" s="441"/>
      <c r="L37" s="459" t="s">
        <v>379</v>
      </c>
      <c r="M37" s="262"/>
      <c r="N37" s="259"/>
      <c r="O37" s="263"/>
    </row>
    <row r="38" customFormat="false" ht="15" hidden="false" customHeight="false" outlineLevel="0" collapsed="false">
      <c r="A38" s="460" t="s">
        <v>380</v>
      </c>
      <c r="B38" s="363" t="n">
        <f aca="false">PGL_Requirements!J7/1000</f>
        <v>6.444</v>
      </c>
      <c r="C38" s="363"/>
      <c r="D38" s="254"/>
      <c r="E38" s="40"/>
      <c r="F38" s="40"/>
      <c r="G38" s="40"/>
      <c r="H38" s="40"/>
      <c r="I38" s="461" t="s">
        <v>381</v>
      </c>
      <c r="J38" s="318"/>
      <c r="K38" s="441"/>
      <c r="L38" s="295" t="s">
        <v>382</v>
      </c>
      <c r="M38" s="40"/>
      <c r="N38" s="462"/>
      <c r="O38" s="463"/>
    </row>
    <row r="39" customFormat="false" ht="16.5" hidden="false" customHeight="false" outlineLevel="0" collapsed="false">
      <c r="A39" s="464" t="s">
        <v>383</v>
      </c>
      <c r="B39" s="465" t="n">
        <f aca="false">B35+B36+B37+B38</f>
        <v>190.882</v>
      </c>
      <c r="C39" s="466"/>
      <c r="D39" s="467" t="s">
        <v>0</v>
      </c>
      <c r="E39" s="40"/>
      <c r="F39" s="40"/>
      <c r="G39" s="40"/>
      <c r="H39" s="40"/>
      <c r="I39" s="468" t="s">
        <v>384</v>
      </c>
      <c r="J39" s="469"/>
      <c r="K39" s="470"/>
      <c r="L39" s="471" t="s">
        <v>385</v>
      </c>
      <c r="M39" s="285"/>
      <c r="N39" s="472"/>
      <c r="O39" s="473"/>
    </row>
    <row r="40" customFormat="false" ht="17.25" hidden="false" customHeight="false" outlineLevel="0" collapsed="false">
      <c r="A40" s="474" t="s">
        <v>0</v>
      </c>
      <c r="B40" s="475"/>
      <c r="C40" s="475"/>
      <c r="D40" s="475"/>
      <c r="E40" s="476"/>
      <c r="F40" s="476"/>
      <c r="G40" s="476"/>
      <c r="H40" s="476"/>
      <c r="I40" s="476"/>
      <c r="J40" s="477" t="s">
        <v>0</v>
      </c>
      <c r="K40" s="478"/>
      <c r="L40" s="479" t="s">
        <v>386</v>
      </c>
      <c r="M40" s="480"/>
      <c r="N40" s="476" t="s">
        <v>0</v>
      </c>
      <c r="O40" s="481"/>
    </row>
    <row r="41" customFormat="false" ht="15.75" hidden="false" customHeight="false" outlineLevel="0" collapsed="false">
      <c r="A41" s="482"/>
      <c r="B41" s="482"/>
      <c r="C41" s="482"/>
      <c r="D41" s="482"/>
      <c r="E41" s="482"/>
      <c r="F41" s="482"/>
      <c r="G41" s="482"/>
      <c r="H41" s="482"/>
      <c r="I41" s="482"/>
      <c r="J41" s="483"/>
      <c r="K41" s="483"/>
      <c r="L41" s="484"/>
      <c r="M41" s="482"/>
      <c r="N41" s="482"/>
      <c r="O41" s="482"/>
    </row>
    <row r="42" customFormat="false" ht="15" hidden="false" customHeight="false" outlineLevel="0" collapsed="false">
      <c r="A42" s="485"/>
      <c r="B42" s="40"/>
      <c r="C42" s="40"/>
      <c r="D42" s="486"/>
      <c r="I42" s="40"/>
      <c r="J42" s="487"/>
      <c r="K42" s="295"/>
      <c r="L42" s="488"/>
    </row>
    <row r="43" customFormat="false" ht="15" hidden="false" customHeight="false" outlineLevel="0" collapsed="false">
      <c r="I43" s="40"/>
      <c r="J43" s="487"/>
      <c r="K43" s="295"/>
      <c r="L43" s="488"/>
    </row>
    <row r="44" customFormat="false" ht="15" hidden="false" customHeight="false" outlineLevel="0" collapsed="false">
      <c r="I44" s="40"/>
      <c r="J44" s="231"/>
      <c r="K44" s="231"/>
      <c r="L44" s="488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89" t="s">
        <v>0</v>
      </c>
      <c r="B1" s="490"/>
      <c r="C1" s="490" t="s">
        <v>0</v>
      </c>
      <c r="D1" s="491"/>
      <c r="E1" s="225" t="s">
        <v>287</v>
      </c>
      <c r="F1" s="225" t="str">
        <f aca="false">CHOOSE(WEEKDAY(G1),"SUN","MON","TUE","WED","THU","FRI","SAT")</f>
        <v>TUE</v>
      </c>
      <c r="G1" s="492" t="n">
        <f aca="false">Weather_Input!A5</f>
        <v>37061</v>
      </c>
      <c r="H1" s="225" t="s">
        <v>387</v>
      </c>
      <c r="I1" s="228"/>
    </row>
    <row r="2" customFormat="false" ht="20.25" hidden="false" customHeight="false" outlineLevel="0" collapsed="false">
      <c r="A2" s="493" t="s">
        <v>0</v>
      </c>
      <c r="B2" s="494" t="s">
        <v>388</v>
      </c>
      <c r="C2" s="495" t="s">
        <v>0</v>
      </c>
      <c r="D2" s="38" t="s">
        <v>389</v>
      </c>
      <c r="E2" s="496"/>
      <c r="F2" s="38" t="s">
        <v>390</v>
      </c>
      <c r="G2" s="496"/>
      <c r="H2" s="497" t="s">
        <v>391</v>
      </c>
      <c r="I2" s="498"/>
    </row>
    <row r="3" customFormat="false" ht="20.25" hidden="false" customHeight="false" outlineLevel="0" collapsed="false">
      <c r="A3" s="499" t="s">
        <v>392</v>
      </c>
      <c r="B3" s="500" t="s">
        <v>18</v>
      </c>
      <c r="C3" s="501"/>
      <c r="D3" s="502" t="s">
        <v>18</v>
      </c>
      <c r="E3" s="501" t="s">
        <v>19</v>
      </c>
      <c r="F3" s="502" t="s">
        <v>18</v>
      </c>
      <c r="G3" s="502" t="s">
        <v>19</v>
      </c>
      <c r="H3" s="500" t="s">
        <v>18</v>
      </c>
      <c r="I3" s="503" t="s">
        <v>19</v>
      </c>
    </row>
    <row r="4" customFormat="false" ht="21" hidden="false" customHeight="false" outlineLevel="0" collapsed="false">
      <c r="A4" s="504"/>
      <c r="B4" s="505" t="n">
        <f aca="false">Weather_Input!B5</f>
        <v>83</v>
      </c>
      <c r="C4" s="506" t="n">
        <f aca="false">Weather_Input!C5</f>
        <v>65</v>
      </c>
      <c r="D4" s="507"/>
      <c r="E4" s="508"/>
      <c r="F4" s="507"/>
      <c r="G4" s="508"/>
      <c r="H4" s="509"/>
      <c r="I4" s="510"/>
    </row>
    <row r="5" customFormat="false" ht="24" hidden="false" customHeight="false" outlineLevel="0" collapsed="false">
      <c r="A5" s="511" t="s">
        <v>234</v>
      </c>
      <c r="B5" s="512"/>
      <c r="C5" s="513" t="n">
        <f aca="false">NSG_Deliveries!C5/1000</f>
        <v>36</v>
      </c>
      <c r="D5" s="512"/>
      <c r="E5" s="514"/>
      <c r="F5" s="512"/>
      <c r="G5" s="514" t="s">
        <v>0</v>
      </c>
      <c r="H5" s="512"/>
      <c r="I5" s="515"/>
    </row>
    <row r="6" customFormat="false" ht="12" hidden="false" customHeight="true" outlineLevel="0" collapsed="false">
      <c r="A6" s="516" t="s">
        <v>0</v>
      </c>
      <c r="B6" s="517"/>
      <c r="C6" s="518"/>
      <c r="D6" s="519"/>
      <c r="E6" s="518"/>
      <c r="F6" s="519"/>
      <c r="G6" s="519"/>
      <c r="H6" s="517"/>
      <c r="I6" s="520"/>
    </row>
    <row r="7" customFormat="false" ht="24" hidden="false" customHeight="false" outlineLevel="0" collapsed="false">
      <c r="A7" s="521" t="s">
        <v>134</v>
      </c>
      <c r="B7" s="512"/>
      <c r="C7" s="522" t="n">
        <f aca="false">C5-C9-C11-C12</f>
        <v>0</v>
      </c>
      <c r="D7" s="523"/>
      <c r="E7" s="514"/>
      <c r="F7" s="523"/>
      <c r="G7" s="523" t="s">
        <v>0</v>
      </c>
      <c r="H7" s="512"/>
      <c r="I7" s="515"/>
    </row>
    <row r="8" customFormat="false" ht="12" hidden="false" customHeight="true" outlineLevel="0" collapsed="false">
      <c r="A8" s="516"/>
      <c r="B8" s="524"/>
      <c r="C8" s="518"/>
      <c r="D8" s="519"/>
      <c r="E8" s="518"/>
      <c r="F8" s="519"/>
      <c r="G8" s="519"/>
      <c r="H8" s="517"/>
      <c r="I8" s="520"/>
    </row>
    <row r="9" customFormat="false" ht="21" hidden="false" customHeight="true" outlineLevel="0" collapsed="false">
      <c r="A9" s="525" t="s">
        <v>393</v>
      </c>
      <c r="B9" s="526"/>
      <c r="C9" s="527" t="n">
        <f aca="false">B45</f>
        <v>10.571</v>
      </c>
      <c r="D9" s="528"/>
      <c r="E9" s="529"/>
      <c r="F9" s="528"/>
      <c r="G9" s="528"/>
      <c r="H9" s="526"/>
      <c r="I9" s="530"/>
    </row>
    <row r="10" customFormat="false" ht="12" hidden="false" customHeight="true" outlineLevel="0" collapsed="false">
      <c r="A10" s="531"/>
      <c r="B10" s="524"/>
      <c r="C10" s="518"/>
      <c r="D10" s="532"/>
      <c r="E10" s="533"/>
      <c r="F10" s="532"/>
      <c r="G10" s="532"/>
      <c r="H10" s="524"/>
      <c r="I10" s="534"/>
    </row>
    <row r="11" customFormat="false" ht="23.25" hidden="false" customHeight="false" outlineLevel="0" collapsed="false">
      <c r="A11" s="535" t="s">
        <v>394</v>
      </c>
      <c r="B11" s="536"/>
      <c r="C11" s="537" t="n">
        <f aca="false">B37</f>
        <v>0</v>
      </c>
      <c r="D11" s="528"/>
      <c r="E11" s="529"/>
      <c r="F11" s="528"/>
      <c r="G11" s="528" t="s">
        <v>0</v>
      </c>
      <c r="H11" s="526"/>
      <c r="I11" s="530"/>
    </row>
    <row r="12" customFormat="false" ht="23.25" hidden="false" customHeight="false" outlineLevel="0" collapsed="false">
      <c r="A12" s="538" t="s">
        <v>395</v>
      </c>
      <c r="B12" s="539"/>
      <c r="C12" s="540" t="n">
        <f aca="false">+C5-C9</f>
        <v>25.429</v>
      </c>
      <c r="D12" s="541"/>
      <c r="E12" s="542"/>
      <c r="F12" s="541"/>
      <c r="G12" s="541"/>
      <c r="H12" s="539"/>
      <c r="I12" s="543"/>
    </row>
    <row r="13" customFormat="false" ht="21" hidden="false" customHeight="false" outlineLevel="0" collapsed="false">
      <c r="A13" s="544" t="s">
        <v>159</v>
      </c>
      <c r="B13" s="545"/>
      <c r="C13" s="546"/>
      <c r="D13" s="541"/>
      <c r="E13" s="542"/>
      <c r="F13" s="541"/>
      <c r="G13" s="541"/>
      <c r="H13" s="539"/>
      <c r="I13" s="543"/>
    </row>
    <row r="14" customFormat="false" ht="21" hidden="false" customHeight="false" outlineLevel="0" collapsed="false">
      <c r="A14" s="544" t="s">
        <v>187</v>
      </c>
      <c r="B14" s="547"/>
      <c r="C14" s="548"/>
      <c r="D14" s="547"/>
      <c r="E14" s="548"/>
      <c r="F14" s="547"/>
      <c r="G14" s="547"/>
      <c r="H14" s="549"/>
      <c r="I14" s="550"/>
    </row>
    <row r="15" customFormat="false" ht="24" hidden="false" customHeight="false" outlineLevel="0" collapsed="false">
      <c r="A15" s="551" t="s">
        <v>396</v>
      </c>
      <c r="B15" s="552"/>
      <c r="C15" s="522" t="n">
        <v>0</v>
      </c>
      <c r="D15" s="553"/>
      <c r="E15" s="554"/>
      <c r="F15" s="553"/>
      <c r="G15" s="553" t="s">
        <v>0</v>
      </c>
      <c r="H15" s="552"/>
      <c r="I15" s="555"/>
    </row>
    <row r="16" customFormat="false" ht="21" hidden="false" customHeight="false" outlineLevel="0" collapsed="false">
      <c r="A16" s="556" t="s">
        <v>0</v>
      </c>
      <c r="B16" s="517"/>
      <c r="C16" s="518"/>
      <c r="D16" s="519"/>
      <c r="E16" s="518"/>
      <c r="F16" s="519"/>
      <c r="G16" s="519"/>
      <c r="H16" s="517"/>
      <c r="I16" s="520"/>
    </row>
    <row r="17" customFormat="false" ht="24" hidden="false" customHeight="false" outlineLevel="0" collapsed="false">
      <c r="A17" s="557" t="s">
        <v>397</v>
      </c>
      <c r="B17" s="558"/>
      <c r="C17" s="559" t="s">
        <v>0</v>
      </c>
      <c r="D17" s="560"/>
      <c r="E17" s="561"/>
      <c r="F17" s="560"/>
      <c r="G17" s="560"/>
      <c r="H17" s="558"/>
      <c r="I17" s="562"/>
    </row>
    <row r="18" customFormat="false" ht="21" hidden="false" customHeight="false" outlineLevel="0" collapsed="false">
      <c r="A18" s="563" t="s">
        <v>398</v>
      </c>
      <c r="B18" s="517"/>
      <c r="C18" s="518" t="s">
        <v>0</v>
      </c>
      <c r="D18" s="519"/>
      <c r="E18" s="518"/>
      <c r="F18" s="519"/>
      <c r="G18" s="367" t="s">
        <v>399</v>
      </c>
      <c r="H18" s="517"/>
      <c r="I18" s="564"/>
    </row>
    <row r="19" customFormat="false" ht="24" hidden="false" customHeight="false" outlineLevel="0" collapsed="false">
      <c r="A19" s="565" t="s">
        <v>347</v>
      </c>
      <c r="B19" s="566"/>
      <c r="C19" s="567" t="n">
        <f aca="false">C7+C12</f>
        <v>25.429</v>
      </c>
      <c r="D19" s="568"/>
      <c r="E19" s="569"/>
      <c r="F19" s="568"/>
      <c r="G19" s="568" t="s">
        <v>0</v>
      </c>
      <c r="H19" s="566"/>
      <c r="I19" s="570"/>
    </row>
    <row r="20" customFormat="false" ht="20.25" hidden="false" customHeight="false" outlineLevel="0" collapsed="false">
      <c r="A20" s="571" t="s">
        <v>400</v>
      </c>
      <c r="B20" s="572"/>
      <c r="C20" s="573" t="n">
        <f aca="false">NSG_Requirements!C7/1000</f>
        <v>0</v>
      </c>
      <c r="D20" s="574"/>
      <c r="E20" s="573" t="n">
        <f aca="false">NSG_Requirements!C7/1000</f>
        <v>0</v>
      </c>
      <c r="F20" s="574"/>
      <c r="G20" s="573" t="n">
        <f aca="false">NSG_Requirements!C7/1000</f>
        <v>0</v>
      </c>
      <c r="H20" s="572"/>
      <c r="I20" s="575" t="n">
        <f aca="false">NSG_Requirements!C7/1000</f>
        <v>0</v>
      </c>
    </row>
    <row r="21" customFormat="false" ht="20.25" hidden="false" customHeight="false" outlineLevel="0" collapsed="false">
      <c r="A21" s="576" t="s">
        <v>401</v>
      </c>
      <c r="B21" s="577"/>
      <c r="C21" s="573" t="n">
        <f aca="false">NSG_Requirements!R7/1000</f>
        <v>0</v>
      </c>
      <c r="D21" s="578"/>
      <c r="E21" s="573" t="n">
        <f aca="false">NSG_Requirements!R7/1000</f>
        <v>0</v>
      </c>
      <c r="F21" s="578"/>
      <c r="G21" s="573" t="n">
        <f aca="false">NSG_Requirements!R7/1000</f>
        <v>0</v>
      </c>
      <c r="H21" s="577"/>
      <c r="I21" s="579" t="n">
        <f aca="false">NSG_Requirements!R7/1000</f>
        <v>0</v>
      </c>
    </row>
    <row r="22" customFormat="false" ht="20.25" hidden="false" customHeight="false" outlineLevel="0" collapsed="false">
      <c r="A22" s="576" t="s">
        <v>402</v>
      </c>
      <c r="B22" s="580"/>
      <c r="C22" s="573" t="n">
        <f aca="false">NSG_Supplies!J7/1000</f>
        <v>0</v>
      </c>
      <c r="D22" s="581"/>
      <c r="E22" s="573" t="n">
        <f aca="false">NSG_Supplies!J7/1000</f>
        <v>0</v>
      </c>
      <c r="F22" s="581"/>
      <c r="G22" s="573" t="n">
        <f aca="false">NSG_Supplies!J7/1000</f>
        <v>0</v>
      </c>
      <c r="H22" s="580"/>
      <c r="I22" s="582" t="n">
        <f aca="false">NSG_Supplies!J7/1000</f>
        <v>0</v>
      </c>
    </row>
    <row r="23" customFormat="false" ht="20.25" hidden="false" customHeight="false" outlineLevel="0" collapsed="false">
      <c r="A23" s="571" t="s">
        <v>351</v>
      </c>
      <c r="B23" s="580"/>
      <c r="C23" s="573" t="n">
        <f aca="false">NSG_Requirements!H7/1000</f>
        <v>3.031</v>
      </c>
      <c r="D23" s="581"/>
      <c r="E23" s="573" t="s">
        <v>0</v>
      </c>
      <c r="F23" s="581"/>
      <c r="G23" s="573" t="s">
        <v>0</v>
      </c>
      <c r="H23" s="580"/>
      <c r="I23" s="573" t="s">
        <v>0</v>
      </c>
    </row>
    <row r="24" customFormat="false" ht="20.25" hidden="false" customHeight="false" outlineLevel="0" collapsed="false">
      <c r="A24" s="571" t="s">
        <v>354</v>
      </c>
      <c r="B24" s="577"/>
      <c r="C24" s="573" t="n">
        <f aca="false">-NSG_Supplies!F7/1000</f>
        <v>-0</v>
      </c>
      <c r="D24" s="578"/>
      <c r="E24" s="573" t="s">
        <v>0</v>
      </c>
      <c r="F24" s="578"/>
      <c r="G24" s="573" t="s">
        <v>0</v>
      </c>
      <c r="H24" s="577"/>
      <c r="I24" s="573" t="s">
        <v>0</v>
      </c>
    </row>
    <row r="25" customFormat="false" ht="20.25" hidden="false" customHeight="false" outlineLevel="0" collapsed="false">
      <c r="A25" s="571" t="s">
        <v>357</v>
      </c>
      <c r="B25" s="580"/>
      <c r="C25" s="573" t="n">
        <f aca="false">-NSG_Supplies!Q7/1000</f>
        <v>-27.899</v>
      </c>
      <c r="D25" s="581"/>
      <c r="E25" s="573" t="n">
        <f aca="false">-NSG_Supplies!Q7/1000</f>
        <v>-27.899</v>
      </c>
      <c r="F25" s="581"/>
      <c r="G25" s="573" t="n">
        <f aca="false">-NSG_Supplies!Q7/1000</f>
        <v>-27.899</v>
      </c>
      <c r="H25" s="580"/>
      <c r="I25" s="582" t="n">
        <f aca="false">-NSG_Supplies!Q7/1000</f>
        <v>-27.899</v>
      </c>
    </row>
    <row r="26" customFormat="false" ht="20.25" hidden="false" customHeight="false" outlineLevel="0" collapsed="false">
      <c r="A26" s="571" t="s">
        <v>403</v>
      </c>
      <c r="B26" s="580"/>
      <c r="C26" s="573" t="n">
        <v>0</v>
      </c>
      <c r="D26" s="581"/>
      <c r="E26" s="573" t="n">
        <v>0</v>
      </c>
      <c r="F26" s="581"/>
      <c r="G26" s="573" t="n">
        <v>0</v>
      </c>
      <c r="H26" s="580"/>
      <c r="I26" s="582" t="n">
        <v>0</v>
      </c>
    </row>
    <row r="27" customFormat="false" ht="21" hidden="false" customHeight="false" outlineLevel="0" collapsed="false">
      <c r="A27" s="583" t="s">
        <v>404</v>
      </c>
      <c r="B27" s="584"/>
      <c r="C27" s="573" t="n">
        <f aca="false">-NSG_Supplies!G7/1000+NSG_Requirements!L7/1000</f>
        <v>0</v>
      </c>
      <c r="D27" s="578"/>
      <c r="E27" s="573" t="n">
        <f aca="false">-NSG_Supplies!G7/1000+NSG_Requirements!L7/1000</f>
        <v>0</v>
      </c>
      <c r="F27" s="578"/>
      <c r="G27" s="573" t="n">
        <f aca="false">-NSG_Supplies!G7/1000+NSG_Requirements!L7/1000</f>
        <v>0</v>
      </c>
      <c r="H27" s="584"/>
      <c r="I27" s="585" t="n">
        <f aca="false">-NSG_Supplies!G7/1000+NSG_Requirements!L7/1000</f>
        <v>0</v>
      </c>
    </row>
    <row r="28" customFormat="false" ht="24" hidden="false" customHeight="false" outlineLevel="0" collapsed="false">
      <c r="A28" s="586"/>
      <c r="B28" s="587"/>
      <c r="C28" s="588" t="s">
        <v>394</v>
      </c>
      <c r="D28" s="587"/>
      <c r="E28" s="589"/>
      <c r="F28" s="587"/>
      <c r="G28" s="590" t="s">
        <v>0</v>
      </c>
      <c r="H28" s="587"/>
      <c r="I28" s="591"/>
    </row>
    <row r="29" customFormat="false" ht="20.25" hidden="false" customHeight="false" outlineLevel="0" collapsed="false">
      <c r="A29" s="592" t="s">
        <v>405</v>
      </c>
      <c r="B29" s="593" t="n">
        <f aca="false">NSG_Requirements!O7/1000</f>
        <v>0</v>
      </c>
      <c r="C29" s="594" t="s">
        <v>0</v>
      </c>
      <c r="D29" s="595"/>
      <c r="E29" s="596"/>
      <c r="F29" s="597" t="s">
        <v>406</v>
      </c>
      <c r="G29" s="598"/>
      <c r="H29" s="598"/>
      <c r="I29" s="599"/>
    </row>
    <row r="30" customFormat="false" ht="20.25" hidden="false" customHeight="false" outlineLevel="0" collapsed="false">
      <c r="A30" s="600" t="s">
        <v>407</v>
      </c>
      <c r="B30" s="601" t="n">
        <f aca="false">NSG_Supplies!K7/1000+PGL_Requirements!V7/1000</f>
        <v>0</v>
      </c>
      <c r="C30" s="581"/>
      <c r="D30" s="602"/>
      <c r="E30" s="603"/>
      <c r="F30" s="604"/>
      <c r="G30" s="578"/>
      <c r="H30" s="578"/>
      <c r="I30" s="599"/>
    </row>
    <row r="31" customFormat="false" ht="20.25" hidden="false" customHeight="false" outlineLevel="0" collapsed="false">
      <c r="A31" s="600" t="s">
        <v>408</v>
      </c>
      <c r="B31" s="601" t="n">
        <f aca="false">NSG_Supplies!L7/1000</f>
        <v>0</v>
      </c>
      <c r="C31" s="578"/>
      <c r="D31" s="605"/>
      <c r="E31" s="606"/>
      <c r="F31" s="604"/>
      <c r="G31" s="578"/>
      <c r="H31" s="578"/>
      <c r="I31" s="599"/>
    </row>
    <row r="32" customFormat="false" ht="20.25" hidden="false" customHeight="false" outlineLevel="0" collapsed="false">
      <c r="A32" s="592" t="s">
        <v>409</v>
      </c>
      <c r="B32" s="607" t="n">
        <f aca="false">(NSG_Requirements!S7+NSG_Requirements!T7+NSG_Requirements!U7)/1000</f>
        <v>0</v>
      </c>
      <c r="C32" s="581"/>
      <c r="D32" s="602"/>
      <c r="E32" s="603"/>
      <c r="F32" s="604"/>
      <c r="G32" s="578"/>
      <c r="H32" s="578"/>
      <c r="I32" s="599"/>
    </row>
    <row r="33" customFormat="false" ht="20.25" hidden="false" customHeight="false" outlineLevel="0" collapsed="false">
      <c r="A33" s="592" t="s">
        <v>410</v>
      </c>
      <c r="B33" s="601" t="n">
        <f aca="false">NSG_Requirements!D7/1000</f>
        <v>0</v>
      </c>
      <c r="C33" s="581"/>
      <c r="D33" s="602"/>
      <c r="E33" s="603"/>
      <c r="F33" s="604"/>
      <c r="G33" s="578"/>
      <c r="H33" s="578"/>
      <c r="I33" s="599"/>
    </row>
    <row r="34" customFormat="false" ht="20.25" hidden="false" customHeight="false" outlineLevel="0" collapsed="false">
      <c r="A34" s="600" t="s">
        <v>411</v>
      </c>
      <c r="B34" s="607" t="n">
        <f aca="false">NSG_Requirements!B7/1000</f>
        <v>0</v>
      </c>
      <c r="C34" s="581"/>
      <c r="D34" s="602"/>
      <c r="E34" s="603"/>
      <c r="F34" s="604"/>
      <c r="G34" s="578"/>
      <c r="H34" s="578"/>
      <c r="I34" s="599"/>
    </row>
    <row r="35" customFormat="false" ht="20.25" hidden="false" customHeight="false" outlineLevel="0" collapsed="false">
      <c r="A35" s="600" t="s">
        <v>412</v>
      </c>
      <c r="B35" s="607" t="n">
        <f aca="false">NSG_Supplies!B7/1000</f>
        <v>0</v>
      </c>
      <c r="C35" s="581"/>
      <c r="D35" s="602"/>
      <c r="E35" s="603"/>
      <c r="F35" s="604"/>
      <c r="G35" s="578"/>
      <c r="H35" s="578"/>
      <c r="I35" s="599"/>
    </row>
    <row r="36" customFormat="false" ht="21" hidden="false" customHeight="false" outlineLevel="0" collapsed="false">
      <c r="A36" s="592" t="s">
        <v>177</v>
      </c>
      <c r="B36" s="601" t="n">
        <f aca="false">NSG_Supplies!O7/1000</f>
        <v>0</v>
      </c>
      <c r="C36" s="608"/>
      <c r="D36" s="609"/>
      <c r="E36" s="610"/>
      <c r="F36" s="604"/>
      <c r="G36" s="578"/>
      <c r="H36" s="578"/>
      <c r="I36" s="599"/>
    </row>
    <row r="37" customFormat="false" ht="21" hidden="false" customHeight="false" outlineLevel="0" collapsed="false">
      <c r="A37" s="611" t="s">
        <v>413</v>
      </c>
      <c r="B37" s="612" t="n">
        <f aca="false">-B29+B30+B31-B32-B33-B34+B35+B36</f>
        <v>0</v>
      </c>
      <c r="C37" s="604"/>
      <c r="D37" s="613"/>
      <c r="E37" s="614"/>
      <c r="F37" s="604"/>
      <c r="G37" s="578"/>
      <c r="H37" s="578"/>
      <c r="I37" s="599"/>
    </row>
    <row r="38" customFormat="false" ht="24" hidden="false" customHeight="false" outlineLevel="0" collapsed="false">
      <c r="A38" s="586"/>
      <c r="B38" s="587"/>
      <c r="C38" s="588" t="s">
        <v>414</v>
      </c>
      <c r="D38" s="587"/>
      <c r="E38" s="589"/>
      <c r="F38" s="604"/>
      <c r="G38" s="578"/>
      <c r="H38" s="578"/>
      <c r="I38" s="599"/>
    </row>
    <row r="39" customFormat="false" ht="20.25" hidden="false" customHeight="false" outlineLevel="0" collapsed="false">
      <c r="A39" s="571" t="s">
        <v>415</v>
      </c>
      <c r="B39" s="615" t="n">
        <v>0</v>
      </c>
      <c r="C39" s="604"/>
      <c r="D39" s="616"/>
      <c r="E39" s="617"/>
      <c r="F39" s="604"/>
      <c r="G39" s="578"/>
      <c r="H39" s="578"/>
      <c r="I39" s="599"/>
    </row>
    <row r="40" customFormat="false" ht="20.25" hidden="false" customHeight="false" outlineLevel="0" collapsed="false">
      <c r="A40" s="571" t="s">
        <v>416</v>
      </c>
      <c r="B40" s="618" t="n">
        <f aca="false">NSG_Requirements!J7/1000</f>
        <v>4.644</v>
      </c>
      <c r="C40" s="581"/>
      <c r="D40" s="602"/>
      <c r="E40" s="603"/>
      <c r="F40" s="604"/>
      <c r="G40" s="578"/>
      <c r="H40" s="578"/>
      <c r="I40" s="599"/>
    </row>
    <row r="41" customFormat="false" ht="20.25" hidden="false" customHeight="false" outlineLevel="0" collapsed="false">
      <c r="A41" s="571" t="s">
        <v>417</v>
      </c>
      <c r="B41" s="619" t="n">
        <f aca="false">NSG_Supplies!E7/1000</f>
        <v>0</v>
      </c>
      <c r="C41" s="604"/>
      <c r="D41" s="620"/>
      <c r="E41" s="621"/>
      <c r="F41" s="604"/>
      <c r="G41" s="578"/>
      <c r="H41" s="578"/>
      <c r="I41" s="599"/>
    </row>
    <row r="42" customFormat="false" ht="20.25" hidden="false" customHeight="false" outlineLevel="0" collapsed="false">
      <c r="A42" s="571" t="s">
        <v>418</v>
      </c>
      <c r="B42" s="618" t="n">
        <v>0</v>
      </c>
      <c r="C42" s="581"/>
      <c r="D42" s="602"/>
      <c r="E42" s="603"/>
      <c r="F42" s="604"/>
      <c r="G42" s="578"/>
      <c r="H42" s="578"/>
      <c r="I42" s="599"/>
    </row>
    <row r="43" customFormat="false" ht="20.25" hidden="false" customHeight="false" outlineLevel="0" collapsed="false">
      <c r="A43" s="571" t="s">
        <v>419</v>
      </c>
      <c r="B43" s="618" t="n">
        <v>0</v>
      </c>
      <c r="C43" s="581"/>
      <c r="D43" s="602"/>
      <c r="E43" s="603"/>
      <c r="F43" s="604"/>
      <c r="G43" s="578"/>
      <c r="H43" s="578"/>
      <c r="I43" s="599"/>
    </row>
    <row r="44" customFormat="false" ht="21" hidden="false" customHeight="false" outlineLevel="0" collapsed="false">
      <c r="A44" s="302" t="s">
        <v>420</v>
      </c>
      <c r="B44" s="619" t="n">
        <f aca="false">NSG_Supplies!P7/1000</f>
        <v>15.215</v>
      </c>
      <c r="C44" s="604"/>
      <c r="D44" s="620"/>
      <c r="E44" s="621"/>
      <c r="F44" s="604"/>
      <c r="G44" s="578"/>
      <c r="H44" s="578"/>
      <c r="I44" s="599"/>
    </row>
    <row r="45" customFormat="false" ht="21" hidden="false" customHeight="false" outlineLevel="0" collapsed="false">
      <c r="A45" s="611" t="s">
        <v>413</v>
      </c>
      <c r="B45" s="622" t="n">
        <f aca="false">B44+B41-B40</f>
        <v>10.571</v>
      </c>
      <c r="C45" s="623"/>
      <c r="D45" s="624"/>
      <c r="E45" s="625"/>
      <c r="F45" s="604"/>
      <c r="G45" s="578"/>
      <c r="H45" s="578"/>
      <c r="I45" s="599"/>
    </row>
    <row r="46" customFormat="false" ht="24" hidden="false" customHeight="false" outlineLevel="0" collapsed="false">
      <c r="A46" s="586"/>
      <c r="B46" s="587"/>
      <c r="C46" s="588" t="s">
        <v>90</v>
      </c>
      <c r="D46" s="587"/>
      <c r="E46" s="589"/>
      <c r="F46" s="604"/>
      <c r="G46" s="578"/>
      <c r="H46" s="578"/>
      <c r="I46" s="599"/>
    </row>
    <row r="47" customFormat="false" ht="20.25" hidden="false" customHeight="false" outlineLevel="0" collapsed="false">
      <c r="A47" s="571" t="s">
        <v>421</v>
      </c>
      <c r="B47" s="626" t="n">
        <f aca="false">(NSG_Requirements!V7+NSG_Requirements!W7+NSG_Requirements!X7)/1000</f>
        <v>0</v>
      </c>
      <c r="C47" s="627"/>
      <c r="D47" s="602"/>
      <c r="E47" s="603"/>
      <c r="F47" s="604"/>
      <c r="G47" s="578"/>
      <c r="H47" s="578"/>
      <c r="I47" s="599"/>
    </row>
    <row r="48" customFormat="false" ht="20.25" hidden="false" customHeight="false" outlineLevel="0" collapsed="false">
      <c r="A48" s="571" t="s">
        <v>422</v>
      </c>
      <c r="B48" s="628" t="n">
        <f aca="false">NSG_Requirements!M7/1000</f>
        <v>0</v>
      </c>
      <c r="C48" s="629"/>
      <c r="D48" s="629"/>
      <c r="E48" s="630"/>
      <c r="F48" s="604"/>
      <c r="G48" s="578"/>
      <c r="H48" s="578"/>
      <c r="I48" s="599"/>
    </row>
    <row r="49" customFormat="false" ht="20.25" hidden="false" customHeight="false" outlineLevel="0" collapsed="false">
      <c r="A49" s="571" t="s">
        <v>410</v>
      </c>
      <c r="B49" s="628" t="n">
        <f aca="false">NSG_Requirements!E7/1000</f>
        <v>0</v>
      </c>
      <c r="C49" s="631"/>
      <c r="D49" s="620"/>
      <c r="E49" s="621"/>
      <c r="F49" s="604"/>
      <c r="G49" s="578"/>
      <c r="H49" s="578"/>
      <c r="I49" s="599"/>
    </row>
    <row r="50" customFormat="false" ht="21" hidden="false" customHeight="false" outlineLevel="0" collapsed="false">
      <c r="A50" s="571" t="s">
        <v>177</v>
      </c>
      <c r="B50" s="632" t="n">
        <f aca="false">NSG_Supplies!N7/1000</f>
        <v>0</v>
      </c>
      <c r="C50" s="627"/>
      <c r="D50" s="602"/>
      <c r="E50" s="603"/>
      <c r="F50" s="604"/>
      <c r="G50" s="578"/>
      <c r="H50" s="578"/>
      <c r="I50" s="599"/>
    </row>
    <row r="51" customFormat="false" ht="24" hidden="false" customHeight="false" outlineLevel="0" collapsed="false">
      <c r="A51" s="586"/>
      <c r="B51" s="587"/>
      <c r="C51" s="588" t="s">
        <v>423</v>
      </c>
      <c r="D51" s="587"/>
      <c r="E51" s="589"/>
      <c r="F51" s="604"/>
      <c r="G51" s="578"/>
      <c r="H51" s="578"/>
      <c r="I51" s="599"/>
    </row>
    <row r="52" customFormat="false" ht="20.25" hidden="false" customHeight="false" outlineLevel="0" collapsed="false">
      <c r="A52" s="633" t="s">
        <v>424</v>
      </c>
      <c r="B52" s="634"/>
      <c r="C52" s="604"/>
      <c r="D52" s="616"/>
      <c r="E52" s="617"/>
      <c r="F52" s="604"/>
      <c r="G52" s="578"/>
      <c r="H52" s="578"/>
      <c r="I52" s="599"/>
    </row>
    <row r="53" customFormat="false" ht="21" hidden="false" customHeight="false" outlineLevel="0" collapsed="false">
      <c r="A53" s="635" t="s">
        <v>425</v>
      </c>
      <c r="B53" s="636"/>
      <c r="C53" s="637"/>
      <c r="D53" s="638"/>
      <c r="E53" s="639"/>
      <c r="F53" s="640"/>
      <c r="G53" s="641"/>
      <c r="H53" s="642"/>
      <c r="I53" s="643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4" width="24.77"/>
    <col collapsed="false" customWidth="true" hidden="false" outlineLevel="0" max="8" min="2" style="644" width="12.77"/>
    <col collapsed="false" customWidth="true" hidden="false" outlineLevel="0" max="9" min="9" style="644" width="14.11"/>
    <col collapsed="false" customWidth="false" hidden="false" outlineLevel="0" max="11" min="10" style="644" width="8.88"/>
    <col collapsed="false" customWidth="true" hidden="false" outlineLevel="0" max="12" min="12" style="644" width="24.77"/>
    <col collapsed="false" customWidth="true" hidden="false" outlineLevel="0" max="20" min="13" style="644" width="12.77"/>
    <col collapsed="false" customWidth="false" hidden="false" outlineLevel="0" max="257" min="21" style="644" width="8.88"/>
  </cols>
  <sheetData>
    <row r="1" customFormat="false" ht="17.1" hidden="false" customHeight="true" outlineLevel="0" collapsed="false">
      <c r="A1" s="645" t="s">
        <v>0</v>
      </c>
      <c r="B1" s="646"/>
      <c r="C1" s="646"/>
      <c r="D1" s="646"/>
      <c r="E1" s="647" t="s">
        <v>287</v>
      </c>
      <c r="F1" s="648" t="n">
        <f aca="false">Weather_Input!A5</f>
        <v>37061</v>
      </c>
      <c r="G1" s="649" t="s">
        <v>0</v>
      </c>
      <c r="H1" s="646"/>
      <c r="I1" s="650"/>
    </row>
    <row r="2" customFormat="false" ht="17.1" hidden="false" customHeight="true" outlineLevel="0" collapsed="false">
      <c r="A2" s="651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4"/>
    </row>
    <row r="3" customFormat="false" ht="17.1" hidden="false" customHeight="true" outlineLevel="0" collapsed="false">
      <c r="A3" s="651"/>
      <c r="B3" s="652" t="s">
        <v>426</v>
      </c>
      <c r="C3" s="653" t="n">
        <v>44</v>
      </c>
      <c r="D3" s="237"/>
      <c r="E3" s="237"/>
      <c r="F3" s="653" t="s">
        <v>427</v>
      </c>
      <c r="G3" s="653"/>
      <c r="H3" s="237" t="s">
        <v>428</v>
      </c>
      <c r="I3" s="374"/>
    </row>
    <row r="4" customFormat="false" ht="17.1" hidden="false" customHeight="true" outlineLevel="0" collapsed="false">
      <c r="A4" s="654" t="s">
        <v>429</v>
      </c>
      <c r="B4" s="654" t="s">
        <v>429</v>
      </c>
      <c r="C4" s="373" t="s">
        <v>292</v>
      </c>
      <c r="D4" s="373" t="s">
        <v>18</v>
      </c>
      <c r="E4" s="373" t="s">
        <v>292</v>
      </c>
      <c r="F4" s="373" t="s">
        <v>18</v>
      </c>
      <c r="G4" s="373" t="s">
        <v>292</v>
      </c>
      <c r="H4" s="373" t="s">
        <v>18</v>
      </c>
      <c r="I4" s="251" t="s">
        <v>292</v>
      </c>
    </row>
    <row r="5" customFormat="false" ht="17.1" hidden="false" customHeight="true" outlineLevel="0" collapsed="false">
      <c r="A5" s="654" t="s">
        <v>430</v>
      </c>
      <c r="B5" s="373" t="n">
        <f aca="false">Weather_Input!B5</f>
        <v>83</v>
      </c>
      <c r="C5" s="373" t="n">
        <f aca="false">Weather_Input!C5</f>
        <v>65</v>
      </c>
      <c r="D5" s="373"/>
      <c r="E5" s="373"/>
      <c r="F5" s="373"/>
      <c r="G5" s="373"/>
      <c r="H5" s="373"/>
      <c r="I5" s="251"/>
    </row>
    <row r="6" customFormat="false" ht="17.1" hidden="false" customHeight="true" outlineLevel="0" collapsed="false">
      <c r="A6" s="654" t="s">
        <v>431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1" t="s">
        <v>432</v>
      </c>
      <c r="B7" s="655"/>
      <c r="C7" s="656"/>
      <c r="D7" s="237"/>
      <c r="E7" s="655"/>
      <c r="F7" s="656"/>
      <c r="G7" s="656"/>
      <c r="H7" s="656"/>
      <c r="I7" s="374"/>
    </row>
    <row r="8" customFormat="false" ht="17.1" hidden="false" customHeight="true" outlineLevel="0" collapsed="false">
      <c r="A8" s="657" t="s">
        <v>433</v>
      </c>
      <c r="B8" s="658" t="n">
        <f aca="false">PGL_Deliveries!C5/1000</f>
        <v>215</v>
      </c>
      <c r="C8" s="659" t="n">
        <f aca="false">NSG_Deliveries!C5/1000</f>
        <v>36</v>
      </c>
      <c r="D8" s="658" t="s">
        <v>0</v>
      </c>
      <c r="E8" s="660"/>
      <c r="F8" s="661"/>
      <c r="G8" s="661"/>
      <c r="H8" s="661"/>
      <c r="I8" s="650"/>
    </row>
    <row r="9" customFormat="false" ht="17.1" hidden="false" customHeight="true" outlineLevel="0" collapsed="false">
      <c r="A9" s="662"/>
      <c r="B9" s="663" t="s">
        <v>66</v>
      </c>
      <c r="C9" s="663" t="s">
        <v>130</v>
      </c>
      <c r="D9" s="664"/>
      <c r="E9" s="664"/>
      <c r="F9" s="664"/>
      <c r="G9" s="664"/>
      <c r="H9" s="664"/>
      <c r="I9" s="665"/>
    </row>
    <row r="10" customFormat="false" ht="17.1" hidden="false" customHeight="true" outlineLevel="0" collapsed="false">
      <c r="A10" s="666" t="s">
        <v>89</v>
      </c>
      <c r="B10" s="308" t="e">
        <f aca="false">B62</f>
        <v>#REF!</v>
      </c>
      <c r="C10" s="249"/>
      <c r="D10" s="373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1" t="s">
        <v>434</v>
      </c>
      <c r="B11" s="308" t="n">
        <f aca="false">+B54</f>
        <v>122.53</v>
      </c>
      <c r="C11" s="667" t="s">
        <v>0</v>
      </c>
      <c r="D11" s="373"/>
      <c r="E11" s="667" t="str">
        <f aca="false">+C11</f>
        <v> </v>
      </c>
      <c r="F11" s="249"/>
      <c r="G11" s="667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1" t="s">
        <v>435</v>
      </c>
      <c r="B12" s="308" t="n">
        <f aca="false">PGL_Supplies!J7/1000</f>
        <v>0</v>
      </c>
      <c r="C12" s="667"/>
      <c r="D12" s="373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1" t="s">
        <v>98</v>
      </c>
      <c r="B13" s="308" t="n">
        <f aca="false">PGL_Supplies!H7/1000</f>
        <v>24.85</v>
      </c>
      <c r="C13" s="249"/>
      <c r="D13" s="668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1" t="s">
        <v>436</v>
      </c>
      <c r="B14" s="322" t="n">
        <f aca="false">+B72</f>
        <v>-41.707</v>
      </c>
      <c r="C14" s="249"/>
      <c r="D14" s="373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1" t="s">
        <v>70</v>
      </c>
      <c r="B15" s="308" t="n">
        <f aca="false">+B46</f>
        <v>1.463</v>
      </c>
      <c r="C15" s="249" t="s">
        <v>0</v>
      </c>
      <c r="D15" s="373" t="s">
        <v>0</v>
      </c>
      <c r="E15" s="249"/>
      <c r="F15" s="668"/>
      <c r="G15" s="249"/>
      <c r="H15" s="249"/>
      <c r="I15" s="251"/>
    </row>
    <row r="16" customFormat="false" ht="17.1" hidden="false" customHeight="true" outlineLevel="0" collapsed="false">
      <c r="A16" s="651" t="s">
        <v>437</v>
      </c>
      <c r="B16" s="308" t="n">
        <f aca="false">PGL_Requirements!F7/1000</f>
        <v>0</v>
      </c>
      <c r="C16" s="249"/>
      <c r="D16" s="373"/>
      <c r="E16" s="249"/>
      <c r="F16" s="669" t="s">
        <v>0</v>
      </c>
      <c r="G16" s="249"/>
      <c r="H16" s="249"/>
      <c r="I16" s="251"/>
    </row>
    <row r="17" customFormat="false" ht="17.1" hidden="false" customHeight="true" outlineLevel="0" collapsed="false">
      <c r="A17" s="651" t="s">
        <v>438</v>
      </c>
      <c r="B17" s="308" t="n">
        <f aca="false">PGL_Supplies!B7/1000</f>
        <v>15.722</v>
      </c>
      <c r="C17" s="249"/>
      <c r="D17" s="237"/>
      <c r="E17" s="249"/>
      <c r="F17" s="249"/>
      <c r="G17" s="249"/>
      <c r="H17" s="249"/>
      <c r="I17" s="670"/>
    </row>
    <row r="18" customFormat="false" ht="17.1" hidden="false" customHeight="true" outlineLevel="0" collapsed="false">
      <c r="A18" s="671" t="s">
        <v>439</v>
      </c>
      <c r="B18" s="672" t="e">
        <f aca="false">-B10-B11-B12-B13-B14-B15+B16-B17</f>
        <v>#REF!</v>
      </c>
      <c r="C18" s="673" t="n">
        <f aca="false">-I63</f>
        <v>-0</v>
      </c>
      <c r="D18" s="674" t="s">
        <v>0</v>
      </c>
      <c r="E18" s="673" t="n">
        <f aca="false">-I63</f>
        <v>-0</v>
      </c>
      <c r="F18" s="674" t="s">
        <v>0</v>
      </c>
      <c r="G18" s="673" t="n">
        <f aca="false">-I63</f>
        <v>-0</v>
      </c>
      <c r="H18" s="674" t="s">
        <v>0</v>
      </c>
      <c r="I18" s="675"/>
    </row>
    <row r="19" customFormat="false" ht="17.1" hidden="false" customHeight="true" outlineLevel="0" collapsed="false">
      <c r="A19" s="676" t="s">
        <v>79</v>
      </c>
      <c r="B19" s="297" t="n">
        <f aca="false">-PGL_Supplies!I7/1000</f>
        <v>-0</v>
      </c>
      <c r="C19" s="677" t="n">
        <f aca="false">-NSG_Supplies!T7/1000</f>
        <v>-0</v>
      </c>
      <c r="D19" s="646"/>
      <c r="E19" s="660"/>
      <c r="F19" s="646"/>
      <c r="G19" s="660"/>
      <c r="H19" s="661"/>
      <c r="I19" s="251"/>
    </row>
    <row r="20" customFormat="false" ht="17.1" hidden="false" customHeight="true" outlineLevel="0" collapsed="false">
      <c r="A20" s="676" t="s">
        <v>440</v>
      </c>
      <c r="B20" s="308" t="e">
        <f aca="false">B8+B18+B19</f>
        <v>#REF!</v>
      </c>
      <c r="C20" s="678" t="n">
        <f aca="false">C8+C18+C19</f>
        <v>36</v>
      </c>
      <c r="D20" s="373"/>
      <c r="E20" s="249"/>
      <c r="F20" s="373"/>
      <c r="G20" s="249"/>
      <c r="H20" s="250"/>
      <c r="I20" s="374"/>
    </row>
    <row r="21" customFormat="false" ht="17.1" hidden="false" customHeight="true" outlineLevel="0" collapsed="false">
      <c r="A21" s="676" t="s">
        <v>441</v>
      </c>
      <c r="B21" s="308" t="n">
        <v>0</v>
      </c>
      <c r="C21" s="249"/>
      <c r="D21" s="373"/>
      <c r="E21" s="249"/>
      <c r="F21" s="373"/>
      <c r="G21" s="249"/>
      <c r="H21" s="250"/>
      <c r="I21" s="379"/>
    </row>
    <row r="22" customFormat="false" ht="17.1" hidden="false" customHeight="true" outlineLevel="0" collapsed="false">
      <c r="A22" s="676" t="s">
        <v>442</v>
      </c>
      <c r="B22" s="308" t="n">
        <f aca="false">+B44</f>
        <v>1.96965</v>
      </c>
      <c r="C22" s="249"/>
      <c r="D22" s="373"/>
      <c r="E22" s="249"/>
      <c r="F22" s="384" t="s">
        <v>0</v>
      </c>
      <c r="G22" s="669"/>
      <c r="H22" s="679" t="s">
        <v>0</v>
      </c>
      <c r="I22" s="374"/>
    </row>
    <row r="23" customFormat="false" ht="17.1" hidden="false" customHeight="true" outlineLevel="0" collapsed="false">
      <c r="A23" s="680" t="s">
        <v>443</v>
      </c>
      <c r="B23" s="681" t="e">
        <f aca="false">B20+B21+B22</f>
        <v>#REF!</v>
      </c>
      <c r="C23" s="682" t="n">
        <f aca="false">C20</f>
        <v>36</v>
      </c>
      <c r="D23" s="373"/>
      <c r="E23" s="249"/>
      <c r="F23" s="683"/>
      <c r="G23" s="249"/>
      <c r="H23" s="684" t="s">
        <v>0</v>
      </c>
      <c r="I23" s="685" t="s">
        <v>0</v>
      </c>
    </row>
    <row r="24" customFormat="false" ht="17.1" hidden="false" customHeight="true" outlineLevel="0" collapsed="false">
      <c r="A24" s="686" t="s">
        <v>444</v>
      </c>
      <c r="B24" s="669" t="n">
        <f aca="false">-NSG_Requirements!$L$7/1000</f>
        <v>-0</v>
      </c>
      <c r="C24" s="669" t="n">
        <f aca="false">NSG_Requirements!$L$7/1000</f>
        <v>0</v>
      </c>
      <c r="D24" s="338" t="n">
        <f aca="false">B24</f>
        <v>-0</v>
      </c>
      <c r="E24" s="669" t="n">
        <f aca="false">C24</f>
        <v>0</v>
      </c>
      <c r="F24" s="338" t="n">
        <f aca="false">B24</f>
        <v>-0</v>
      </c>
      <c r="G24" s="669" t="n">
        <f aca="false">C24</f>
        <v>0</v>
      </c>
      <c r="H24" s="687" t="n">
        <f aca="false">B24</f>
        <v>-0</v>
      </c>
      <c r="I24" s="688" t="n">
        <f aca="false">C24</f>
        <v>0</v>
      </c>
    </row>
    <row r="25" customFormat="false" ht="17.1" hidden="false" customHeight="true" outlineLevel="0" collapsed="false">
      <c r="A25" s="662"/>
      <c r="B25" s="664"/>
      <c r="C25" s="664" t="s">
        <v>0</v>
      </c>
      <c r="D25" s="664"/>
      <c r="E25" s="664"/>
      <c r="F25" s="664"/>
      <c r="G25" s="664"/>
      <c r="H25" s="664"/>
      <c r="I25" s="665"/>
    </row>
    <row r="26" customFormat="false" ht="17.25" hidden="false" customHeight="true" outlineLevel="0" collapsed="false">
      <c r="A26" s="689" t="s">
        <v>445</v>
      </c>
      <c r="B26" s="690" t="n">
        <f aca="false">PGL_Requirements!K7/1000</f>
        <v>0</v>
      </c>
      <c r="C26" s="690" t="n">
        <f aca="false">NSG_Requirements!C7/1000</f>
        <v>0</v>
      </c>
      <c r="D26" s="690" t="n">
        <f aca="false">B26</f>
        <v>0</v>
      </c>
      <c r="E26" s="690" t="n">
        <f aca="false">+C26</f>
        <v>0</v>
      </c>
      <c r="F26" s="690" t="n">
        <f aca="false">B26</f>
        <v>0</v>
      </c>
      <c r="G26" s="690" t="n">
        <f aca="false">+C26</f>
        <v>0</v>
      </c>
      <c r="H26" s="691" t="n">
        <f aca="false">B26</f>
        <v>0</v>
      </c>
      <c r="I26" s="692" t="n">
        <f aca="false">+C26</f>
        <v>0</v>
      </c>
    </row>
    <row r="27" customFormat="false" ht="17.25" hidden="false" customHeight="true" outlineLevel="0" collapsed="false">
      <c r="A27" s="689" t="s">
        <v>446</v>
      </c>
      <c r="B27" s="690" t="n">
        <f aca="false">PGL_Requirements!Q7/1000</f>
        <v>0.6</v>
      </c>
      <c r="C27" s="690" t="n">
        <f aca="false">NSG_Requirements!P7/1000</f>
        <v>0</v>
      </c>
      <c r="D27" s="690" t="n">
        <f aca="false">PGL_Requirements!Q7/1000</f>
        <v>0.6</v>
      </c>
      <c r="E27" s="690" t="n">
        <f aca="false">NSG_Requirements!P7/1000</f>
        <v>0</v>
      </c>
      <c r="F27" s="690" t="n">
        <f aca="false">PGL_Requirements!Q7/1000</f>
        <v>0.6</v>
      </c>
      <c r="G27" s="690" t="n">
        <f aca="false">NSG_Requirements!P7/1000</f>
        <v>0</v>
      </c>
      <c r="H27" s="691" t="n">
        <f aca="false">+B27</f>
        <v>0.6</v>
      </c>
      <c r="I27" s="692" t="n">
        <f aca="false">+C27</f>
        <v>0</v>
      </c>
    </row>
    <row r="28" customFormat="false" ht="17.1" hidden="false" customHeight="true" outlineLevel="0" collapsed="false">
      <c r="A28" s="693" t="s">
        <v>447</v>
      </c>
      <c r="B28" s="694" t="n">
        <v>0</v>
      </c>
      <c r="C28" s="694" t="n">
        <v>0</v>
      </c>
      <c r="D28" s="694" t="n">
        <v>0</v>
      </c>
      <c r="E28" s="694" t="n">
        <v>0</v>
      </c>
      <c r="F28" s="694" t="n">
        <v>0</v>
      </c>
      <c r="G28" s="694" t="n">
        <f aca="false">C28</f>
        <v>0</v>
      </c>
      <c r="H28" s="695" t="n">
        <f aca="false">B28</f>
        <v>0</v>
      </c>
      <c r="I28" s="696" t="n">
        <f aca="false">C28</f>
        <v>0</v>
      </c>
    </row>
    <row r="29" customFormat="false" ht="17.1" hidden="false" customHeight="true" outlineLevel="0" collapsed="false">
      <c r="A29" s="693" t="s">
        <v>448</v>
      </c>
      <c r="B29" s="697" t="n">
        <f aca="false">-PGL_Supplies!M7/1000</f>
        <v>-0</v>
      </c>
      <c r="C29" s="697" t="n">
        <f aca="false">-NSG_Supplies!H7/1000</f>
        <v>-0</v>
      </c>
      <c r="D29" s="694" t="n">
        <f aca="false">-PGL_Supplies!M7/1000</f>
        <v>-0</v>
      </c>
      <c r="E29" s="694" t="n">
        <f aca="false">-NSG_Supplies!H7/1000</f>
        <v>-0</v>
      </c>
      <c r="F29" s="694" t="n">
        <f aca="false">-PGL_Supplies!M7/1000</f>
        <v>-0</v>
      </c>
      <c r="G29" s="694" t="n">
        <f aca="false">-NSG_Supplies!H7/1000</f>
        <v>-0</v>
      </c>
      <c r="H29" s="695" t="n">
        <f aca="false">-PGL_Supplies!M7/1000</f>
        <v>-0</v>
      </c>
      <c r="I29" s="696" t="n">
        <f aca="false">-NSG_Supplies!H7/1000</f>
        <v>-0</v>
      </c>
    </row>
    <row r="30" customFormat="false" ht="17.1" hidden="false" customHeight="true" outlineLevel="0" collapsed="false">
      <c r="A30" s="693" t="s">
        <v>449</v>
      </c>
      <c r="B30" s="694" t="n">
        <f aca="false">-PGL_Supplies!N7/1000</f>
        <v>-0</v>
      </c>
      <c r="C30" s="694" t="n">
        <f aca="false">-NSG_Supplies!I7/1000</f>
        <v>-0</v>
      </c>
      <c r="D30" s="694" t="n">
        <f aca="false">-PGL_Supplies!N7/1000</f>
        <v>-0</v>
      </c>
      <c r="E30" s="694" t="n">
        <f aca="false">-NSG_Supplies!I7/1000</f>
        <v>-0</v>
      </c>
      <c r="F30" s="694" t="n">
        <f aca="false">-PGL_Supplies!N7/1000</f>
        <v>-0</v>
      </c>
      <c r="G30" s="694" t="n">
        <f aca="false">-NSG_Supplies!I7/1000</f>
        <v>-0</v>
      </c>
      <c r="H30" s="695" t="n">
        <f aca="false">-PGL_Supplies!N7/1000</f>
        <v>-0</v>
      </c>
      <c r="I30" s="696" t="n">
        <f aca="false">-NSG_Supplies!I7/1000</f>
        <v>-0</v>
      </c>
    </row>
    <row r="31" customFormat="false" ht="17.1" hidden="false" customHeight="true" outlineLevel="0" collapsed="false">
      <c r="A31" s="698" t="s">
        <v>450</v>
      </c>
      <c r="B31" s="699" t="e">
        <f aca="false">(#REF!+PGL_Requirements!$Y$7+PGL_Requirements!$Z$7)/1000+(NSG_Requirements!$Y$7+NSG_Requirements!$Z$7+NSG_Requirements!$AA$7)/1000</f>
        <v>#REF!</v>
      </c>
      <c r="C31" s="699" t="e">
        <f aca="false">-(#REF!+PGL_Requirements!$Y$7+PGL_Requirements!$Z$7)/1000+(NSG_Requirements!$Y$7+NSG_Requirements!$Z$7+NSG_Requirements!$AA$7)/1000</f>
        <v>#REF!</v>
      </c>
      <c r="D31" s="690" t="e">
        <f aca="false">+B31</f>
        <v>#REF!</v>
      </c>
      <c r="E31" s="694" t="e">
        <f aca="false">+C31</f>
        <v>#REF!</v>
      </c>
      <c r="F31" s="690" t="e">
        <f aca="false">+B31</f>
        <v>#REF!</v>
      </c>
      <c r="G31" s="694" t="e">
        <f aca="false">+E31</f>
        <v>#REF!</v>
      </c>
      <c r="H31" s="691" t="e">
        <f aca="false">+B31</f>
        <v>#REF!</v>
      </c>
      <c r="I31" s="692" t="e">
        <f aca="false">+C31</f>
        <v>#REF!</v>
      </c>
    </row>
    <row r="32" customFormat="false" ht="17.1" hidden="false" customHeight="true" outlineLevel="0" collapsed="false">
      <c r="A32" s="693" t="s">
        <v>357</v>
      </c>
      <c r="B32" s="694" t="n">
        <f aca="false">-PGL_Supplies!AB7/1000</f>
        <v>-31.556</v>
      </c>
      <c r="C32" s="694" t="n">
        <f aca="false">-NSG_Supplies!Q7/1000</f>
        <v>-27.899</v>
      </c>
      <c r="D32" s="694" t="n">
        <f aca="false">B32</f>
        <v>-31.556</v>
      </c>
      <c r="E32" s="694" t="n">
        <f aca="false">C32</f>
        <v>-27.899</v>
      </c>
      <c r="F32" s="694" t="n">
        <f aca="false">B32</f>
        <v>-31.556</v>
      </c>
      <c r="G32" s="694" t="n">
        <f aca="false">C32</f>
        <v>-27.899</v>
      </c>
      <c r="H32" s="695" t="n">
        <f aca="false">B32</f>
        <v>-31.556</v>
      </c>
      <c r="I32" s="696" t="n">
        <f aca="false">C32</f>
        <v>-27.899</v>
      </c>
    </row>
    <row r="33" customFormat="false" ht="17.1" hidden="false" customHeight="true" outlineLevel="0" collapsed="false">
      <c r="A33" s="693" t="s">
        <v>451</v>
      </c>
      <c r="B33" s="694" t="n">
        <f aca="false">-PGL_Supplies!W7/1000</f>
        <v>-0</v>
      </c>
      <c r="C33" s="694" t="n">
        <f aca="false">-NSG_Supplies!R7/1000</f>
        <v>-16.025</v>
      </c>
      <c r="D33" s="694" t="n">
        <f aca="false">B33</f>
        <v>-0</v>
      </c>
      <c r="E33" s="694" t="n">
        <f aca="false">C33</f>
        <v>-16.025</v>
      </c>
      <c r="F33" s="694" t="n">
        <f aca="false">B33</f>
        <v>-0</v>
      </c>
      <c r="G33" s="694" t="n">
        <f aca="false">C33</f>
        <v>-16.025</v>
      </c>
      <c r="H33" s="695" t="n">
        <f aca="false">B33</f>
        <v>-0</v>
      </c>
      <c r="I33" s="696" t="n">
        <f aca="false">C33</f>
        <v>-16.025</v>
      </c>
    </row>
    <row r="34" customFormat="false" ht="17.1" hidden="false" customHeight="true" outlineLevel="0" collapsed="false">
      <c r="A34" s="689" t="s">
        <v>452</v>
      </c>
      <c r="B34" s="690" t="n">
        <f aca="false">PGL_Requirements!R7/1000</f>
        <v>0</v>
      </c>
      <c r="C34" s="690" t="s">
        <v>0</v>
      </c>
      <c r="D34" s="690" t="n">
        <f aca="false">+B34</f>
        <v>0</v>
      </c>
      <c r="E34" s="244"/>
      <c r="F34" s="690" t="n">
        <f aca="false">+D34</f>
        <v>0</v>
      </c>
      <c r="G34" s="244"/>
      <c r="H34" s="691" t="n">
        <f aca="false">+B34</f>
        <v>0</v>
      </c>
      <c r="I34" s="692" t="str">
        <f aca="false">+C34</f>
        <v> </v>
      </c>
    </row>
    <row r="35" customFormat="false" ht="17.1" hidden="false" customHeight="true" outlineLevel="0" collapsed="false">
      <c r="A35" s="700" t="s">
        <v>453</v>
      </c>
      <c r="B35" s="690" t="n">
        <f aca="false">PGL_Requirements!N7/1000</f>
        <v>0</v>
      </c>
      <c r="C35" s="690" t="n">
        <f aca="false">NSG_Requirements!H7/1000</f>
        <v>3.031</v>
      </c>
      <c r="D35" s="244"/>
      <c r="E35" s="244"/>
      <c r="F35" s="244"/>
      <c r="G35" s="244"/>
      <c r="H35" s="701"/>
      <c r="I35" s="702"/>
    </row>
    <row r="36" customFormat="false" ht="17.1" hidden="false" customHeight="true" outlineLevel="0" collapsed="false">
      <c r="A36" s="700" t="s">
        <v>454</v>
      </c>
      <c r="B36" s="694" t="n">
        <f aca="false">-PGL_Supplies!K7/1000</f>
        <v>-18</v>
      </c>
      <c r="C36" s="694" t="n">
        <f aca="false">-NSG_Supplies!F7/1000</f>
        <v>-0</v>
      </c>
      <c r="D36" s="244"/>
      <c r="E36" s="244"/>
      <c r="F36" s="244"/>
      <c r="G36" s="244"/>
      <c r="H36" s="701"/>
      <c r="I36" s="702"/>
    </row>
    <row r="37" customFormat="false" ht="17.1" hidden="false" customHeight="true" outlineLevel="0" collapsed="false">
      <c r="A37" s="693" t="s">
        <v>455</v>
      </c>
      <c r="B37" s="690" t="n">
        <f aca="false">PGL_Requirements!L7/1000</f>
        <v>0</v>
      </c>
      <c r="C37" s="703" t="s">
        <v>0</v>
      </c>
      <c r="D37" s="690" t="n">
        <f aca="false">PGL_Requirements!L7/1000</f>
        <v>0</v>
      </c>
      <c r="E37" s="244"/>
      <c r="F37" s="690" t="n">
        <f aca="false">PGL_Requirements!L7/1000</f>
        <v>0</v>
      </c>
      <c r="G37" s="690" t="s">
        <v>0</v>
      </c>
      <c r="H37" s="701"/>
      <c r="I37" s="704"/>
    </row>
    <row r="38" customFormat="false" ht="17.1" hidden="false" customHeight="true" outlineLevel="0" collapsed="false">
      <c r="A38" s="705" t="s">
        <v>456</v>
      </c>
      <c r="B38" s="690" t="e">
        <f aca="false">#REF!/1000</f>
        <v>#REF!</v>
      </c>
      <c r="C38" s="694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4"/>
    </row>
    <row r="39" customFormat="false" ht="17.1" hidden="false" customHeight="true" outlineLevel="0" collapsed="false">
      <c r="A39" s="287" t="s">
        <v>0</v>
      </c>
      <c r="B39" s="706" t="s">
        <v>457</v>
      </c>
      <c r="C39" s="707"/>
      <c r="D39" s="708"/>
      <c r="E39" s="709"/>
      <c r="F39" s="431" t="s">
        <v>360</v>
      </c>
      <c r="G39" s="431"/>
      <c r="H39" s="431"/>
      <c r="I39" s="431"/>
    </row>
    <row r="40" customFormat="false" ht="17.1" hidden="false" customHeight="true" outlineLevel="0" collapsed="false">
      <c r="A40" s="229" t="s">
        <v>103</v>
      </c>
      <c r="B40" s="694" t="n">
        <f aca="false">PGL_Requirements!O7/1000</f>
        <v>131.31</v>
      </c>
      <c r="C40" s="694" t="s">
        <v>0</v>
      </c>
      <c r="D40" s="710"/>
      <c r="E40" s="704"/>
      <c r="F40" s="711" t="s">
        <v>458</v>
      </c>
      <c r="G40" s="244"/>
      <c r="H40" s="712"/>
      <c r="I40" s="713"/>
    </row>
    <row r="41" customFormat="false" ht="17.1" hidden="false" customHeight="true" outlineLevel="0" collapsed="false">
      <c r="A41" s="229" t="s">
        <v>459</v>
      </c>
      <c r="B41" s="230" t="n">
        <f aca="false">PGL_Supplies!L7/1000</f>
        <v>0</v>
      </c>
      <c r="C41" s="694" t="s">
        <v>0</v>
      </c>
      <c r="D41" s="244"/>
      <c r="E41" s="704"/>
      <c r="F41" s="714" t="s">
        <v>460</v>
      </c>
      <c r="G41" s="244"/>
      <c r="H41" s="701"/>
      <c r="I41" s="713"/>
    </row>
    <row r="42" customFormat="false" ht="17.1" hidden="false" customHeight="true" outlineLevel="0" collapsed="false">
      <c r="A42" s="229" t="s">
        <v>461</v>
      </c>
      <c r="B42" s="694" t="n">
        <f aca="false">PGL_Requirements!B7/1000</f>
        <v>0</v>
      </c>
      <c r="C42" s="694" t="s">
        <v>0</v>
      </c>
      <c r="D42" s="244"/>
      <c r="E42" s="704"/>
      <c r="F42" s="714" t="s">
        <v>462</v>
      </c>
      <c r="G42" s="244"/>
      <c r="H42" s="701"/>
      <c r="I42" s="713"/>
    </row>
    <row r="43" customFormat="false" ht="17.1" hidden="false" customHeight="true" outlineLevel="0" collapsed="false">
      <c r="A43" s="229" t="s">
        <v>463</v>
      </c>
      <c r="B43" s="694" t="n">
        <f aca="false">PGL_Supplies!G7/1000</f>
        <v>1.463</v>
      </c>
      <c r="C43" s="244"/>
      <c r="D43" s="244"/>
      <c r="E43" s="704"/>
      <c r="F43" s="714" t="s">
        <v>464</v>
      </c>
      <c r="G43" s="244"/>
      <c r="H43" s="701"/>
      <c r="I43" s="713"/>
    </row>
    <row r="44" customFormat="false" ht="17.1" hidden="false" customHeight="true" outlineLevel="0" collapsed="false">
      <c r="A44" s="229" t="s">
        <v>442</v>
      </c>
      <c r="B44" s="715" t="n">
        <f aca="false">+B48+B47+B45</f>
        <v>1.96965</v>
      </c>
      <c r="C44" s="716"/>
      <c r="D44" s="244"/>
      <c r="E44" s="704"/>
      <c r="F44" s="714" t="s">
        <v>465</v>
      </c>
      <c r="G44" s="244"/>
      <c r="H44" s="701"/>
      <c r="I44" s="713"/>
    </row>
    <row r="45" customFormat="false" ht="17.1" hidden="false" customHeight="true" outlineLevel="0" collapsed="false">
      <c r="A45" s="229" t="s">
        <v>105</v>
      </c>
      <c r="B45" s="694" t="n">
        <f aca="false">PGL_Requirements!P7/1000</f>
        <v>1.96965</v>
      </c>
      <c r="C45" s="244"/>
      <c r="D45" s="244"/>
      <c r="E45" s="704"/>
      <c r="F45" s="717" t="s">
        <v>466</v>
      </c>
      <c r="G45" s="244"/>
      <c r="H45" s="701"/>
      <c r="I45" s="713"/>
    </row>
    <row r="46" customFormat="false" ht="17.1" hidden="false" customHeight="true" outlineLevel="0" collapsed="false">
      <c r="A46" s="693" t="s">
        <v>467</v>
      </c>
      <c r="B46" s="694" t="n">
        <f aca="false">+B47+B43+B41</f>
        <v>1.463</v>
      </c>
      <c r="C46" s="244"/>
      <c r="D46" s="244"/>
      <c r="E46" s="704"/>
      <c r="F46" s="714" t="s">
        <v>468</v>
      </c>
      <c r="G46" s="244"/>
      <c r="H46" s="701"/>
      <c r="I46" s="713"/>
    </row>
    <row r="47" customFormat="false" ht="17.1" hidden="false" customHeight="true" outlineLevel="0" collapsed="false">
      <c r="A47" s="229" t="s">
        <v>334</v>
      </c>
      <c r="B47" s="718" t="n">
        <v>0</v>
      </c>
      <c r="C47" s="244"/>
      <c r="D47" s="244"/>
      <c r="E47" s="704"/>
      <c r="F47" s="714" t="s">
        <v>469</v>
      </c>
      <c r="G47" s="244"/>
      <c r="H47" s="701"/>
      <c r="I47" s="713"/>
    </row>
    <row r="48" customFormat="false" ht="17.1" hidden="false" customHeight="true" outlineLevel="0" collapsed="false">
      <c r="A48" s="229" t="s">
        <v>333</v>
      </c>
      <c r="B48" s="719" t="n">
        <v>0</v>
      </c>
      <c r="C48" s="720"/>
      <c r="D48" s="720"/>
      <c r="E48" s="721"/>
      <c r="F48" s="714" t="s">
        <v>470</v>
      </c>
      <c r="G48" s="244"/>
      <c r="H48" s="701"/>
      <c r="I48" s="713"/>
    </row>
    <row r="49" customFormat="false" ht="17.1" hidden="false" customHeight="true" outlineLevel="0" collapsed="false">
      <c r="A49" s="722" t="s">
        <v>0</v>
      </c>
      <c r="B49" s="723" t="s">
        <v>471</v>
      </c>
      <c r="C49" s="723"/>
      <c r="D49" s="723"/>
      <c r="E49" s="724" t="s">
        <v>0</v>
      </c>
      <c r="F49" s="725" t="s">
        <v>472</v>
      </c>
      <c r="G49" s="266"/>
      <c r="H49" s="726"/>
      <c r="I49" s="713"/>
    </row>
    <row r="50" customFormat="false" ht="17.1" hidden="false" customHeight="true" outlineLevel="0" collapsed="false">
      <c r="A50" s="229" t="s">
        <v>473</v>
      </c>
      <c r="B50" s="230" t="n">
        <f aca="false">PGL_Supplies!U7/1000+PGL_Supplies!C7/1000</f>
        <v>122.53</v>
      </c>
      <c r="C50" s="244"/>
      <c r="D50" s="244"/>
      <c r="E50" s="244"/>
      <c r="F50" s="693" t="s">
        <v>474</v>
      </c>
      <c r="G50" s="727"/>
      <c r="H50" s="380"/>
      <c r="I50" s="713"/>
    </row>
    <row r="51" customFormat="false" ht="17.1" hidden="false" customHeight="true" outlineLevel="0" collapsed="false">
      <c r="A51" s="229" t="s">
        <v>475</v>
      </c>
      <c r="B51" s="230" t="n">
        <f aca="false">PGL_Supplies!Z7/1000</f>
        <v>0</v>
      </c>
      <c r="C51" s="716"/>
      <c r="D51" s="244"/>
      <c r="E51" s="244"/>
      <c r="F51" s="728" t="s">
        <v>476</v>
      </c>
      <c r="G51" s="727"/>
      <c r="H51" s="701"/>
      <c r="I51" s="713"/>
    </row>
    <row r="52" customFormat="false" ht="17.1" hidden="false" customHeight="true" outlineLevel="0" collapsed="false">
      <c r="A52" s="229" t="s">
        <v>477</v>
      </c>
      <c r="B52" s="230" t="n">
        <f aca="false">NSG_Supplies!N7/1000+PGL_Supplies!P7/1000</f>
        <v>0</v>
      </c>
      <c r="C52" s="244"/>
      <c r="D52" s="244"/>
      <c r="E52" s="244"/>
      <c r="F52" s="729" t="s">
        <v>478</v>
      </c>
      <c r="G52" s="730"/>
      <c r="H52" s="731"/>
      <c r="I52" s="713"/>
    </row>
    <row r="53" customFormat="false" ht="17.1" hidden="false" customHeight="true" outlineLevel="0" collapsed="false">
      <c r="A53" s="333" t="s">
        <v>479</v>
      </c>
      <c r="B53" s="230" t="n">
        <f aca="false">PGL_Requirements!I7/1000+NSG_Requirements!E7/1000</f>
        <v>0</v>
      </c>
      <c r="C53" s="244"/>
      <c r="D53" s="244"/>
      <c r="E53" s="244"/>
      <c r="F53" s="725" t="s">
        <v>386</v>
      </c>
      <c r="G53" s="732"/>
      <c r="H53" s="716"/>
      <c r="I53" s="713"/>
    </row>
    <row r="54" customFormat="false" ht="17.1" hidden="false" customHeight="true" outlineLevel="0" collapsed="false">
      <c r="A54" s="693" t="s">
        <v>480</v>
      </c>
      <c r="B54" s="733" t="n">
        <f aca="false">SUM(B50+B51+B52-B53)</f>
        <v>122.53</v>
      </c>
      <c r="C54" s="230"/>
      <c r="D54" s="244"/>
      <c r="E54" s="244"/>
      <c r="F54" s="734" t="s">
        <v>481</v>
      </c>
      <c r="G54" s="734"/>
      <c r="H54" s="734"/>
      <c r="I54" s="734"/>
    </row>
    <row r="55" customFormat="false" ht="17.1" hidden="false" customHeight="true" outlineLevel="0" collapsed="false">
      <c r="A55" s="722" t="s">
        <v>0</v>
      </c>
      <c r="B55" s="735" t="s">
        <v>89</v>
      </c>
      <c r="C55" s="735"/>
      <c r="D55" s="735"/>
      <c r="E55" s="735"/>
      <c r="F55" s="323" t="s">
        <v>482</v>
      </c>
      <c r="G55" s="244"/>
      <c r="H55" s="736"/>
      <c r="I55" s="696" t="n">
        <f aca="false">NSG_Supplies!O7/1000</f>
        <v>0</v>
      </c>
    </row>
    <row r="56" customFormat="false" ht="17.1" hidden="false" customHeight="true" outlineLevel="0" collapsed="false">
      <c r="A56" s="229" t="s">
        <v>451</v>
      </c>
      <c r="B56" s="230" t="n">
        <f aca="false">PGL_Supplies!T7/1000</f>
        <v>0</v>
      </c>
      <c r="C56" s="244"/>
      <c r="D56" s="244"/>
      <c r="E56" s="244"/>
      <c r="F56" s="323" t="s">
        <v>483</v>
      </c>
      <c r="G56" s="244"/>
      <c r="H56" s="737" t="n">
        <f aca="false">NSG_Requirements!B7/1000</f>
        <v>0</v>
      </c>
      <c r="I56" s="696" t="n">
        <f aca="false">NSG_Supplies!B7/1000</f>
        <v>0</v>
      </c>
    </row>
    <row r="57" customFormat="false" ht="17.1" hidden="false" customHeight="true" outlineLevel="0" collapsed="false">
      <c r="A57" s="229" t="s">
        <v>484</v>
      </c>
      <c r="B57" s="230" t="e">
        <f aca="false">PGL_Supplies!Y7/1000+#REF!/1000-#REF!/1000</f>
        <v>#REF!</v>
      </c>
      <c r="C57" s="244"/>
      <c r="D57" s="244"/>
      <c r="E57" s="244"/>
      <c r="F57" s="323" t="s">
        <v>485</v>
      </c>
      <c r="G57" s="244"/>
      <c r="H57" s="737" t="n">
        <f aca="false">NSG_Requirements!S7/1000</f>
        <v>0</v>
      </c>
      <c r="I57" s="738"/>
    </row>
    <row r="58" customFormat="false" ht="17.1" hidden="false" customHeight="true" outlineLevel="0" collapsed="false">
      <c r="A58" s="229" t="s">
        <v>486</v>
      </c>
      <c r="B58" s="230" t="n">
        <f aca="false">PGL_Requirements!T7/1000</f>
        <v>0</v>
      </c>
      <c r="C58" s="244"/>
      <c r="D58" s="244"/>
      <c r="E58" s="244"/>
      <c r="F58" s="323" t="s">
        <v>487</v>
      </c>
      <c r="G58" s="244"/>
      <c r="H58" s="739"/>
      <c r="I58" s="740" t="n">
        <f aca="false">PGL_Requirements!V7/1000</f>
        <v>0</v>
      </c>
    </row>
    <row r="59" customFormat="false" ht="17.1" hidden="false" customHeight="true" outlineLevel="0" collapsed="false">
      <c r="A59" s="229" t="s">
        <v>488</v>
      </c>
      <c r="B59" s="230" t="n">
        <f aca="false">PGL_Supplies!Q7/1000</f>
        <v>0</v>
      </c>
      <c r="C59" s="244"/>
      <c r="D59" s="244"/>
      <c r="E59" s="244"/>
      <c r="F59" s="741" t="s">
        <v>479</v>
      </c>
      <c r="G59" s="244"/>
      <c r="H59" s="742" t="n">
        <f aca="false">NSG_Requirements!D7/1000</f>
        <v>0</v>
      </c>
      <c r="I59" s="743"/>
    </row>
    <row r="60" customFormat="false" ht="17.1" hidden="false" customHeight="true" outlineLevel="0" collapsed="false">
      <c r="A60" s="333" t="s">
        <v>479</v>
      </c>
      <c r="B60" s="230" t="n">
        <f aca="false">PGL_Requirements!H7/1000</f>
        <v>0</v>
      </c>
      <c r="C60" s="244"/>
      <c r="D60" s="244"/>
      <c r="E60" s="244"/>
      <c r="F60" s="744" t="s">
        <v>489</v>
      </c>
      <c r="G60" s="727"/>
      <c r="H60" s="742" t="n">
        <f aca="false">NSG_Requirements!O7/1000</f>
        <v>0</v>
      </c>
      <c r="I60" s="696" t="n">
        <f aca="false">+NSG_Supplies!K7/1000</f>
        <v>0</v>
      </c>
    </row>
    <row r="61" customFormat="false" ht="17.1" hidden="false" customHeight="true" outlineLevel="0" collapsed="false">
      <c r="A61" s="229" t="s">
        <v>490</v>
      </c>
      <c r="B61" s="745" t="n">
        <f aca="false">(NSG_Requirements!$S$7+NSG_Requirements!$T$7+NSG_Requirements!$U$7+NSG_Requirements!$N$7)/1000</f>
        <v>0</v>
      </c>
      <c r="C61" s="244"/>
      <c r="D61" s="244"/>
      <c r="E61" s="244"/>
      <c r="F61" s="746" t="s">
        <v>491</v>
      </c>
      <c r="G61" s="720"/>
      <c r="H61" s="747"/>
      <c r="I61" s="748" t="n">
        <f aca="false">NSG_Supplies!L7/1000</f>
        <v>0</v>
      </c>
    </row>
    <row r="62" customFormat="false" ht="17.1" hidden="false" customHeight="true" outlineLevel="0" collapsed="false">
      <c r="A62" s="693" t="s">
        <v>480</v>
      </c>
      <c r="B62" s="733" t="e">
        <f aca="false">B56+B57-B58+B59-B60+B61</f>
        <v>#REF!</v>
      </c>
      <c r="C62" s="749"/>
      <c r="D62" s="749"/>
      <c r="E62" s="749"/>
      <c r="F62" s="750" t="s">
        <v>492</v>
      </c>
      <c r="G62" s="244"/>
      <c r="H62" s="739"/>
      <c r="I62" s="751" t="n">
        <v>0</v>
      </c>
    </row>
    <row r="63" customFormat="false" ht="17.1" hidden="false" customHeight="true" outlineLevel="0" collapsed="false">
      <c r="A63" s="722" t="s">
        <v>0</v>
      </c>
      <c r="B63" s="723"/>
      <c r="C63" s="723" t="s">
        <v>493</v>
      </c>
      <c r="D63" s="723"/>
      <c r="E63" s="752" t="s">
        <v>0</v>
      </c>
      <c r="F63" s="725" t="s">
        <v>494</v>
      </c>
      <c r="G63" s="244"/>
      <c r="H63" s="739"/>
      <c r="I63" s="692" t="n">
        <f aca="false">I58+I60+I56-H56</f>
        <v>0</v>
      </c>
    </row>
    <row r="64" customFormat="false" ht="17.1" hidden="false" customHeight="true" outlineLevel="0" collapsed="false">
      <c r="A64" s="229" t="s">
        <v>451</v>
      </c>
      <c r="B64" s="230" t="n">
        <f aca="false">PGL_Supplies!X7/1000</f>
        <v>89.603</v>
      </c>
      <c r="C64" s="244"/>
      <c r="D64" s="244"/>
      <c r="E64" s="753"/>
      <c r="F64" s="734" t="s">
        <v>495</v>
      </c>
      <c r="G64" s="734"/>
      <c r="H64" s="734"/>
      <c r="I64" s="734"/>
    </row>
    <row r="65" customFormat="false" ht="17.1" hidden="false" customHeight="true" outlineLevel="0" collapsed="false">
      <c r="A65" s="229" t="s">
        <v>496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4"/>
      <c r="F65" s="755" t="s">
        <v>497</v>
      </c>
      <c r="G65" s="756"/>
      <c r="H65" s="757"/>
      <c r="I65" s="758" t="n">
        <f aca="false">NSG_Supplies!N7/1000</f>
        <v>0</v>
      </c>
    </row>
    <row r="66" customFormat="false" ht="17.1" hidden="false" customHeight="true" outlineLevel="0" collapsed="false">
      <c r="A66" s="229" t="s">
        <v>498</v>
      </c>
      <c r="B66" s="230" t="n">
        <f aca="false">PGL_Supplies!AD7/1000</f>
        <v>0</v>
      </c>
      <c r="C66" s="291" t="s">
        <v>0</v>
      </c>
      <c r="D66" s="244"/>
      <c r="E66" s="754"/>
      <c r="F66" s="756" t="s">
        <v>499</v>
      </c>
      <c r="G66" s="756"/>
      <c r="H66" s="759" t="n">
        <f aca="false">NSG_Requirements!M7/1000</f>
        <v>0</v>
      </c>
      <c r="I66" s="738"/>
    </row>
    <row r="67" customFormat="false" ht="17.1" hidden="false" customHeight="true" outlineLevel="0" collapsed="false">
      <c r="A67" s="229" t="s">
        <v>500</v>
      </c>
      <c r="B67" s="245" t="n">
        <f aca="false">PGL_Requirements!S7/1000</f>
        <v>0</v>
      </c>
      <c r="C67" s="760" t="s">
        <v>0</v>
      </c>
      <c r="D67" s="244"/>
      <c r="E67" s="754"/>
      <c r="F67" s="756" t="s">
        <v>501</v>
      </c>
      <c r="G67" s="756"/>
      <c r="H67" s="745" t="n">
        <f aca="false">(NSG_Requirements!$Y$7+NSG_Requirements!$Z$7+NSG_Requirements!$AA$7)/1000</f>
        <v>0</v>
      </c>
      <c r="I67" s="761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502</v>
      </c>
      <c r="B68" s="230" t="n">
        <f aca="false">PGL_Supplies!O7/1000</f>
        <v>0</v>
      </c>
      <c r="C68" s="291" t="s">
        <v>0</v>
      </c>
      <c r="D68" s="244"/>
      <c r="E68" s="754"/>
      <c r="F68" s="762"/>
      <c r="G68" s="762"/>
      <c r="H68" s="763"/>
      <c r="I68" s="764"/>
    </row>
    <row r="69" customFormat="false" ht="17.1" hidden="false" customHeight="true" outlineLevel="0" collapsed="false">
      <c r="A69" s="333" t="s">
        <v>479</v>
      </c>
      <c r="B69" s="245" t="n">
        <f aca="false">PGL_Requirements!M7/1000</f>
        <v>0</v>
      </c>
      <c r="C69" s="760" t="s">
        <v>0</v>
      </c>
      <c r="D69" s="244"/>
      <c r="E69" s="765"/>
      <c r="F69" s="766" t="s">
        <v>503</v>
      </c>
      <c r="G69" s="757" t="s">
        <v>0</v>
      </c>
      <c r="H69" s="710" t="s">
        <v>504</v>
      </c>
      <c r="I69" s="754"/>
    </row>
    <row r="70" customFormat="false" ht="17.1" hidden="false" customHeight="true" outlineLevel="0" collapsed="false">
      <c r="A70" s="229" t="s">
        <v>505</v>
      </c>
      <c r="B70" s="245" t="n">
        <f aca="false">PGL_Requirements!O7/1000</f>
        <v>131.31</v>
      </c>
      <c r="C70" s="760" t="s">
        <v>0</v>
      </c>
      <c r="D70" s="244"/>
      <c r="E70" s="754"/>
      <c r="F70" s="766" t="s">
        <v>506</v>
      </c>
      <c r="G70" s="757" t="s">
        <v>0</v>
      </c>
      <c r="H70" s="767" t="s">
        <v>507</v>
      </c>
      <c r="I70" s="768"/>
    </row>
    <row r="71" customFormat="false" ht="17.1" hidden="false" customHeight="true" outlineLevel="0" collapsed="false">
      <c r="A71" s="229" t="s">
        <v>508</v>
      </c>
      <c r="B71" s="245" t="n">
        <f aca="false">PGL_Requirements!E7/1000</f>
        <v>4</v>
      </c>
      <c r="C71" s="291" t="s">
        <v>0</v>
      </c>
      <c r="D71" s="244"/>
      <c r="E71" s="754"/>
      <c r="F71" s="756" t="s">
        <v>509</v>
      </c>
      <c r="G71" s="757" t="s">
        <v>0</v>
      </c>
      <c r="H71" s="769"/>
      <c r="I71" s="754" t="s">
        <v>0</v>
      </c>
    </row>
    <row r="72" customFormat="false" ht="17.1" hidden="false" customHeight="true" outlineLevel="0" collapsed="false">
      <c r="A72" s="770" t="s">
        <v>480</v>
      </c>
      <c r="B72" s="771" t="n">
        <f aca="false">+B65+B64+B66+B68-B67-B69-B70</f>
        <v>-41.707</v>
      </c>
      <c r="C72" s="771" t="s">
        <v>0</v>
      </c>
      <c r="D72" s="772"/>
      <c r="E72" s="773"/>
      <c r="F72" s="774"/>
      <c r="G72" s="775"/>
      <c r="H72" s="776"/>
      <c r="I72" s="777"/>
    </row>
    <row r="73" customFormat="false" ht="17.1" hidden="false" customHeight="true" outlineLevel="0" collapsed="false">
      <c r="A73" s="734" t="s">
        <v>510</v>
      </c>
      <c r="B73" s="734"/>
      <c r="C73" s="734"/>
      <c r="D73" s="716"/>
      <c r="E73" s="716"/>
      <c r="F73" s="778" t="s">
        <v>511</v>
      </c>
      <c r="G73" s="779" t="str">
        <f aca="false">CHOOSE(WEEKDAY(H73),"SUN","MON","TUE","WED","THU","FRI","SAT")</f>
        <v>TUE</v>
      </c>
      <c r="H73" s="780" t="n">
        <f aca="false">Weather_Input!A5</f>
        <v>37061</v>
      </c>
      <c r="I73" s="781"/>
    </row>
    <row r="74" customFormat="false" ht="17.1" hidden="false" customHeight="true" outlineLevel="0" collapsed="false">
      <c r="A74" s="755" t="s">
        <v>512</v>
      </c>
      <c r="B74" s="244" t="s">
        <v>0</v>
      </c>
      <c r="C74" s="704"/>
      <c r="D74" s="782"/>
      <c r="E74" s="716"/>
      <c r="F74" s="716"/>
      <c r="G74" s="716"/>
      <c r="H74" s="716"/>
      <c r="I74" s="781"/>
    </row>
    <row r="75" customFormat="false" ht="17.1" hidden="false" customHeight="true" outlineLevel="0" collapsed="false">
      <c r="A75" s="323" t="s">
        <v>513</v>
      </c>
      <c r="B75" s="244"/>
      <c r="C75" s="704"/>
      <c r="D75" s="783"/>
      <c r="E75" s="756"/>
      <c r="F75" s="756"/>
      <c r="G75" s="756"/>
      <c r="H75" s="716"/>
      <c r="I75" s="781"/>
    </row>
    <row r="76" customFormat="false" ht="17.1" hidden="false" customHeight="true" outlineLevel="0" collapsed="false">
      <c r="A76" s="784" t="s">
        <v>514</v>
      </c>
      <c r="B76" s="720"/>
      <c r="C76" s="721"/>
      <c r="D76" s="785" t="s">
        <v>515</v>
      </c>
      <c r="E76" s="786"/>
      <c r="F76" s="787" t="s">
        <v>516</v>
      </c>
      <c r="G76" s="788"/>
      <c r="H76" s="789" t="s">
        <v>387</v>
      </c>
      <c r="I76" s="790" t="s">
        <v>387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1" t="s">
        <v>517</v>
      </c>
      <c r="B90" s="224"/>
      <c r="C90" s="224"/>
      <c r="D90" s="224"/>
      <c r="E90" s="225" t="s">
        <v>287</v>
      </c>
      <c r="F90" s="792" t="n">
        <f aca="false">Weather_Input!L5</f>
        <v>1</v>
      </c>
      <c r="G90" s="793" t="s">
        <v>0</v>
      </c>
      <c r="H90" s="794"/>
      <c r="I90" s="228"/>
    </row>
    <row r="91" customFormat="false" ht="15.75" hidden="false" customHeight="false" outlineLevel="0" collapsed="false">
      <c r="A91" s="651"/>
      <c r="B91" s="795" t="s">
        <v>518</v>
      </c>
      <c r="C91" s="250" t="s">
        <v>0</v>
      </c>
      <c r="D91" s="796" t="s">
        <v>519</v>
      </c>
      <c r="E91" s="797"/>
      <c r="F91" s="798" t="s">
        <v>520</v>
      </c>
      <c r="G91" s="797"/>
      <c r="H91" s="798" t="s">
        <v>428</v>
      </c>
      <c r="I91" s="374"/>
    </row>
    <row r="92" customFormat="false" ht="15" hidden="false" customHeight="false" outlineLevel="0" collapsed="false">
      <c r="A92" s="676" t="s">
        <v>521</v>
      </c>
      <c r="B92" s="796" t="s">
        <v>291</v>
      </c>
      <c r="C92" s="237" t="s">
        <v>292</v>
      </c>
      <c r="D92" s="796" t="s">
        <v>18</v>
      </c>
      <c r="E92" s="237" t="s">
        <v>292</v>
      </c>
      <c r="F92" s="796" t="s">
        <v>18</v>
      </c>
      <c r="G92" s="237" t="s">
        <v>292</v>
      </c>
      <c r="H92" s="796" t="s">
        <v>18</v>
      </c>
      <c r="I92" s="374" t="s">
        <v>292</v>
      </c>
    </row>
    <row r="93" customFormat="false" ht="15.75" hidden="false" customHeight="false" outlineLevel="0" collapsed="false">
      <c r="A93" s="651" t="s">
        <v>0</v>
      </c>
      <c r="B93" s="249"/>
      <c r="C93" s="373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1" t="s">
        <v>300</v>
      </c>
      <c r="B94" s="799" t="s">
        <v>0</v>
      </c>
      <c r="C94" s="800" t="s">
        <v>0</v>
      </c>
      <c r="D94" s="801" t="s">
        <v>0</v>
      </c>
      <c r="E94" s="802"/>
      <c r="F94" s="803"/>
      <c r="G94" s="656"/>
      <c r="H94" s="803"/>
      <c r="I94" s="374"/>
    </row>
    <row r="95" customFormat="false" ht="16.5" hidden="false" customHeight="false" outlineLevel="0" collapsed="false">
      <c r="A95" s="804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76" t="s">
        <v>435</v>
      </c>
      <c r="B96" s="297" t="s">
        <v>0</v>
      </c>
      <c r="C96" s="805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76" t="s">
        <v>89</v>
      </c>
      <c r="B97" s="308" t="s">
        <v>0</v>
      </c>
      <c r="C97" s="805" t="e">
        <f aca="false">B133</f>
        <v>#REF!</v>
      </c>
      <c r="D97" s="274"/>
      <c r="E97" s="298" t="e">
        <f aca="false">+C97</f>
        <v>#REF!</v>
      </c>
      <c r="F97" s="274"/>
      <c r="G97" s="298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76" t="s">
        <v>78</v>
      </c>
      <c r="B98" s="308" t="s">
        <v>0</v>
      </c>
      <c r="C98" s="805" t="n">
        <f aca="false">B149</f>
        <v>1.463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76" t="s">
        <v>90</v>
      </c>
      <c r="B99" s="308" t="s">
        <v>0</v>
      </c>
      <c r="C99" s="805" t="n">
        <f aca="false">B141</f>
        <v>122.53</v>
      </c>
      <c r="D99" s="806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76" t="s">
        <v>352</v>
      </c>
      <c r="B100" s="322" t="s">
        <v>0</v>
      </c>
      <c r="C100" s="805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76" t="s">
        <v>319</v>
      </c>
      <c r="B101" s="308" t="s">
        <v>0</v>
      </c>
      <c r="C101" s="805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76" t="s">
        <v>44</v>
      </c>
      <c r="B102" s="308" t="s">
        <v>2</v>
      </c>
      <c r="C102" s="805" t="n">
        <f aca="false">B162</f>
        <v>89.603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76" t="s">
        <v>159</v>
      </c>
      <c r="B103" s="308" t="s">
        <v>0</v>
      </c>
      <c r="C103" s="805" t="n">
        <f aca="false">PGL_Requirements!F7/1000</f>
        <v>0</v>
      </c>
      <c r="D103" s="806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76" t="s">
        <v>187</v>
      </c>
      <c r="B104" s="807" t="s">
        <v>0</v>
      </c>
      <c r="C104" s="805" t="n">
        <f aca="false">PGL_Supplies!B7/1000</f>
        <v>15.722</v>
      </c>
      <c r="D104" s="796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08" t="s">
        <v>522</v>
      </c>
      <c r="B105" s="355" t="s">
        <v>0</v>
      </c>
      <c r="C105" s="356" t="s">
        <v>0</v>
      </c>
      <c r="D105" s="357" t="s">
        <v>0</v>
      </c>
      <c r="E105" s="809" t="s">
        <v>0</v>
      </c>
      <c r="F105" s="357" t="s">
        <v>0</v>
      </c>
      <c r="G105" s="809" t="s">
        <v>0</v>
      </c>
      <c r="H105" s="357" t="s">
        <v>0</v>
      </c>
      <c r="I105" s="358"/>
    </row>
    <row r="106" customFormat="false" ht="16.5" hidden="false" customHeight="false" outlineLevel="0" collapsed="false">
      <c r="A106" s="314" t="s">
        <v>45</v>
      </c>
      <c r="B106" s="365" t="n">
        <f aca="false">-PGL_Supplies!T7/1000</f>
        <v>-0</v>
      </c>
      <c r="C106" s="810" t="n">
        <f aca="false">-NSG_Supplies!AE7/1000</f>
        <v>-0</v>
      </c>
      <c r="D106" s="367"/>
      <c r="E106" s="811"/>
      <c r="F106" s="367"/>
      <c r="G106" s="811"/>
      <c r="H106" s="812"/>
      <c r="I106" s="813"/>
    </row>
    <row r="107" customFormat="false" ht="15" hidden="false" customHeight="false" outlineLevel="0" collapsed="false">
      <c r="A107" s="676" t="s">
        <v>523</v>
      </c>
      <c r="B107" s="308" t="e">
        <f aca="false">B94+B105+B106</f>
        <v>#VALUE!</v>
      </c>
      <c r="C107" s="678" t="e">
        <f aca="false">C94+C105+C106</f>
        <v>#VALUE!</v>
      </c>
      <c r="D107" s="373"/>
      <c r="E107" s="249"/>
      <c r="F107" s="373"/>
      <c r="G107" s="249"/>
      <c r="H107" s="250"/>
      <c r="I107" s="374"/>
    </row>
    <row r="108" customFormat="false" ht="15" hidden="false" customHeight="false" outlineLevel="0" collapsed="false">
      <c r="A108" s="676" t="s">
        <v>341</v>
      </c>
      <c r="B108" s="308" t="n">
        <v>0</v>
      </c>
      <c r="C108" s="249"/>
      <c r="D108" s="373"/>
      <c r="E108" s="249"/>
      <c r="F108" s="373"/>
      <c r="G108" s="249"/>
      <c r="H108" s="250"/>
      <c r="I108" s="379"/>
    </row>
    <row r="109" customFormat="false" ht="15" hidden="false" customHeight="false" outlineLevel="0" collapsed="false">
      <c r="A109" s="676" t="s">
        <v>289</v>
      </c>
      <c r="B109" s="308" t="e">
        <f aca="false">+B129</f>
        <v>#REF!</v>
      </c>
      <c r="C109" s="249"/>
      <c r="D109" s="373"/>
      <c r="E109" s="249"/>
      <c r="F109" s="384" t="s">
        <v>0</v>
      </c>
      <c r="G109" s="669"/>
      <c r="H109" s="679" t="s">
        <v>0</v>
      </c>
      <c r="I109" s="374"/>
    </row>
    <row r="110" customFormat="false" ht="15.75" hidden="false" customHeight="false" outlineLevel="0" collapsed="false">
      <c r="A110" s="814" t="s">
        <v>346</v>
      </c>
      <c r="B110" s="681" t="e">
        <f aca="false">B107+B108+B109</f>
        <v>#VALUE!</v>
      </c>
      <c r="C110" s="682" t="e">
        <f aca="false">C107</f>
        <v>#VALUE!</v>
      </c>
      <c r="D110" s="373"/>
      <c r="E110" s="249"/>
      <c r="F110" s="683"/>
      <c r="G110" s="249"/>
      <c r="H110" s="684" t="s">
        <v>0</v>
      </c>
      <c r="I110" s="685" t="s">
        <v>0</v>
      </c>
    </row>
    <row r="111" customFormat="false" ht="16.5" hidden="false" customHeight="false" outlineLevel="0" collapsed="false">
      <c r="A111" s="815" t="s">
        <v>347</v>
      </c>
      <c r="B111" s="669" t="n">
        <f aca="false">-NSG_Requirements!$L$7/1000</f>
        <v>-0</v>
      </c>
      <c r="C111" s="669" t="n">
        <f aca="false">NSG_Requirements!$L$7/1000</f>
        <v>0</v>
      </c>
      <c r="D111" s="338" t="n">
        <f aca="false">B111</f>
        <v>-0</v>
      </c>
      <c r="E111" s="669" t="n">
        <f aca="false">C111</f>
        <v>0</v>
      </c>
      <c r="F111" s="338" t="n">
        <f aca="false">B111</f>
        <v>-0</v>
      </c>
      <c r="G111" s="669" t="n">
        <f aca="false">C111</f>
        <v>0</v>
      </c>
      <c r="H111" s="687" t="n">
        <f aca="false">B111</f>
        <v>-0</v>
      </c>
      <c r="I111" s="688" t="n">
        <f aca="false">C111</f>
        <v>0</v>
      </c>
    </row>
    <row r="112" customFormat="false" ht="15" hidden="false" customHeight="false" outlineLevel="0" collapsed="false">
      <c r="A112" s="676" t="s">
        <v>524</v>
      </c>
      <c r="B112" s="669"/>
      <c r="C112" s="669"/>
      <c r="D112" s="338"/>
      <c r="E112" s="669"/>
      <c r="F112" s="338"/>
      <c r="G112" s="669"/>
      <c r="H112" s="408"/>
      <c r="I112" s="816"/>
    </row>
    <row r="113" customFormat="false" ht="15.75" hidden="false" customHeight="false" outlineLevel="0" collapsed="false">
      <c r="A113" s="229" t="s">
        <v>400</v>
      </c>
      <c r="B113" s="690" t="n">
        <f aca="false">PGL_Requirements!V7/1000</f>
        <v>0</v>
      </c>
      <c r="C113" s="690" t="n">
        <f aca="false">NSG_Requirements!Q7/1000</f>
        <v>0</v>
      </c>
      <c r="D113" s="690" t="n">
        <f aca="false">B113</f>
        <v>0</v>
      </c>
      <c r="E113" s="690" t="n">
        <f aca="false">+C113</f>
        <v>0</v>
      </c>
      <c r="F113" s="690" t="n">
        <f aca="false">B113</f>
        <v>0</v>
      </c>
      <c r="G113" s="690" t="n">
        <f aca="false">+C113</f>
        <v>0</v>
      </c>
      <c r="H113" s="691" t="n">
        <f aca="false">B113</f>
        <v>0</v>
      </c>
      <c r="I113" s="692" t="n">
        <f aca="false">+C113</f>
        <v>0</v>
      </c>
    </row>
    <row r="114" customFormat="false" ht="15.75" hidden="false" customHeight="false" outlineLevel="0" collapsed="false">
      <c r="A114" s="229" t="s">
        <v>525</v>
      </c>
      <c r="B114" s="690" t="n">
        <f aca="false">PGL_Requirements!AB7/1000</f>
        <v>0</v>
      </c>
      <c r="C114" s="690" t="n">
        <f aca="false">NSG_Requirements!AA7/1000</f>
        <v>0</v>
      </c>
      <c r="D114" s="690" t="n">
        <f aca="false">PGL_Requirements!AB7/1000</f>
        <v>0</v>
      </c>
      <c r="E114" s="690" t="n">
        <f aca="false">NSG_Requirements!AA7/1000</f>
        <v>0</v>
      </c>
      <c r="F114" s="690" t="n">
        <f aca="false">PGL_Requirements!AB7/1000</f>
        <v>0</v>
      </c>
      <c r="G114" s="690" t="n">
        <f aca="false">NSG_Requirements!AA7/1000</f>
        <v>0</v>
      </c>
      <c r="H114" s="691" t="n">
        <f aca="false">+B114</f>
        <v>0</v>
      </c>
      <c r="I114" s="692" t="n">
        <f aca="false">+C114</f>
        <v>0</v>
      </c>
    </row>
    <row r="115" customFormat="false" ht="15" hidden="false" customHeight="false" outlineLevel="0" collapsed="false">
      <c r="A115" s="229" t="s">
        <v>526</v>
      </c>
      <c r="B115" s="694" t="n">
        <v>0</v>
      </c>
      <c r="C115" s="694" t="n">
        <v>0</v>
      </c>
      <c r="D115" s="694" t="n">
        <v>0</v>
      </c>
      <c r="E115" s="694" t="n">
        <v>0</v>
      </c>
      <c r="F115" s="694" t="n">
        <v>0</v>
      </c>
      <c r="G115" s="694" t="n">
        <f aca="false">C115</f>
        <v>0</v>
      </c>
      <c r="H115" s="695" t="n">
        <f aca="false">B115</f>
        <v>0</v>
      </c>
      <c r="I115" s="696" t="n">
        <f aca="false">C115</f>
        <v>0</v>
      </c>
    </row>
    <row r="116" customFormat="false" ht="15" hidden="false" customHeight="false" outlineLevel="0" collapsed="false">
      <c r="A116" s="229" t="s">
        <v>401</v>
      </c>
      <c r="B116" s="697" t="n">
        <f aca="false">-PGL_Supplies!Y7/1000</f>
        <v>-0.2</v>
      </c>
      <c r="C116" s="697" t="n">
        <f aca="false">-NSG_Supplies!V7/1000</f>
        <v>-0</v>
      </c>
      <c r="D116" s="694" t="n">
        <f aca="false">-PGL_Supplies!Y7/1000</f>
        <v>-0.2</v>
      </c>
      <c r="E116" s="694" t="n">
        <f aca="false">-NSG_Supplies!V7/1000</f>
        <v>-0</v>
      </c>
      <c r="F116" s="694" t="n">
        <f aca="false">-PGL_Supplies!Y7/1000</f>
        <v>-0.2</v>
      </c>
      <c r="G116" s="694" t="n">
        <f aca="false">-NSG_Supplies!V7/1000</f>
        <v>-0</v>
      </c>
      <c r="H116" s="695" t="n">
        <f aca="false">-PGL_Supplies!Y7/1000</f>
        <v>-0.2</v>
      </c>
      <c r="I116" s="696" t="n">
        <f aca="false">-NSG_Supplies!V7/1000</f>
        <v>-0</v>
      </c>
    </row>
    <row r="117" customFormat="false" ht="15" hidden="false" customHeight="false" outlineLevel="0" collapsed="false">
      <c r="A117" s="229" t="s">
        <v>527</v>
      </c>
      <c r="B117" s="694" t="n">
        <f aca="false">-PGL_Supplies!Z7/1000</f>
        <v>-0</v>
      </c>
      <c r="C117" s="694" t="n">
        <f aca="false">-NSG_Supplies!W7/1000</f>
        <v>-0</v>
      </c>
      <c r="D117" s="694" t="n">
        <f aca="false">-PGL_Supplies!Z7/1000</f>
        <v>-0</v>
      </c>
      <c r="E117" s="694" t="n">
        <f aca="false">-NSG_Supplies!W7/1000</f>
        <v>-0</v>
      </c>
      <c r="F117" s="694" t="n">
        <f aca="false">-PGL_Supplies!Z7/1000</f>
        <v>-0</v>
      </c>
      <c r="G117" s="694" t="n">
        <f aca="false">-NSG_Supplies!W7/1000</f>
        <v>-0</v>
      </c>
      <c r="H117" s="695" t="n">
        <f aca="false">-PGL_Supplies!Z7/1000</f>
        <v>-0</v>
      </c>
      <c r="I117" s="696" t="n">
        <f aca="false">-NSG_Supplies!W7/1000</f>
        <v>-0</v>
      </c>
    </row>
    <row r="118" customFormat="false" ht="15.75" hidden="false" customHeight="false" outlineLevel="0" collapsed="false">
      <c r="A118" s="229" t="s">
        <v>351</v>
      </c>
      <c r="B118" s="699" t="e">
        <f aca="false">(#REF!+PGL_Requirements!$Y$7+PGL_Requirements!$Z$7)/1000+(NSG_Requirements!$V$7+NSG_Requirements!$W$7+NSG_Requirements!$X$7)/1000</f>
        <v>#REF!</v>
      </c>
      <c r="C118" s="699" t="e">
        <f aca="false">-(#REF!+PGL_Requirements!$Y$7+PGL_Requirements!$Z$7)/1000+(NSG_Requirements!$V$7+NSG_Requirements!$W$7+NSG_Requirements!$X$7)/1000</f>
        <v>#REF!</v>
      </c>
      <c r="D118" s="690" t="e">
        <f aca="false">+B118</f>
        <v>#REF!</v>
      </c>
      <c r="E118" s="694" t="e">
        <f aca="false">+C118</f>
        <v>#REF!</v>
      </c>
      <c r="F118" s="690" t="e">
        <f aca="false">+B118</f>
        <v>#REF!</v>
      </c>
      <c r="G118" s="694" t="e">
        <f aca="false">+E118</f>
        <v>#REF!</v>
      </c>
      <c r="H118" s="691" t="e">
        <f aca="false">+B118</f>
        <v>#REF!</v>
      </c>
      <c r="I118" s="692" t="e">
        <f aca="false">+C118</f>
        <v>#REF!</v>
      </c>
    </row>
    <row r="119" customFormat="false" ht="15" hidden="false" customHeight="false" outlineLevel="0" collapsed="false">
      <c r="A119" s="229" t="s">
        <v>354</v>
      </c>
      <c r="B119" s="694" t="n">
        <f aca="false">-PGL_Supplies!AM7/1000</f>
        <v>-0</v>
      </c>
      <c r="C119" s="694" t="n">
        <f aca="false">-NSG_Supplies!AC7/1000</f>
        <v>-0</v>
      </c>
      <c r="D119" s="694" t="n">
        <f aca="false">B119</f>
        <v>-0</v>
      </c>
      <c r="E119" s="694" t="n">
        <f aca="false">C119</f>
        <v>-0</v>
      </c>
      <c r="F119" s="694" t="n">
        <f aca="false">B119</f>
        <v>-0</v>
      </c>
      <c r="G119" s="694" t="n">
        <f aca="false">C119</f>
        <v>-0</v>
      </c>
      <c r="H119" s="695" t="n">
        <f aca="false">B119</f>
        <v>-0</v>
      </c>
      <c r="I119" s="696" t="n">
        <f aca="false">C119</f>
        <v>-0</v>
      </c>
    </row>
    <row r="120" customFormat="false" ht="15" hidden="false" customHeight="false" outlineLevel="0" collapsed="false">
      <c r="A120" s="229" t="s">
        <v>357</v>
      </c>
      <c r="B120" s="694" t="n">
        <f aca="false">-PGL_Supplies!AI7/1000</f>
        <v>-0</v>
      </c>
      <c r="C120" s="694" t="n">
        <f aca="false">-NSG_Supplies!AD7/1000</f>
        <v>-0</v>
      </c>
      <c r="D120" s="694" t="n">
        <f aca="false">B120</f>
        <v>-0</v>
      </c>
      <c r="E120" s="694" t="n">
        <f aca="false">C120</f>
        <v>-0</v>
      </c>
      <c r="F120" s="694" t="n">
        <f aca="false">B120</f>
        <v>-0</v>
      </c>
      <c r="G120" s="694" t="n">
        <f aca="false">C120</f>
        <v>-0</v>
      </c>
      <c r="H120" s="695" t="n">
        <f aca="false">B120</f>
        <v>-0</v>
      </c>
      <c r="I120" s="696" t="n">
        <f aca="false">C120</f>
        <v>-0</v>
      </c>
    </row>
    <row r="121" customFormat="false" ht="15.75" hidden="false" customHeight="false" outlineLevel="0" collapsed="false">
      <c r="A121" s="229" t="s">
        <v>403</v>
      </c>
      <c r="B121" s="690" t="n">
        <f aca="false">PGL_Requirements!AC7/1000</f>
        <v>0</v>
      </c>
      <c r="C121" s="690" t="s">
        <v>0</v>
      </c>
      <c r="D121" s="690" t="n">
        <f aca="false">+B121</f>
        <v>0</v>
      </c>
      <c r="E121" s="244"/>
      <c r="F121" s="690" t="n">
        <f aca="false">+D121</f>
        <v>0</v>
      </c>
      <c r="G121" s="244"/>
      <c r="H121" s="691" t="n">
        <f aca="false">+B121</f>
        <v>0</v>
      </c>
      <c r="I121" s="692" t="str">
        <f aca="false">+C121</f>
        <v> </v>
      </c>
    </row>
    <row r="122" customFormat="false" ht="15.75" hidden="false" customHeight="false" outlineLevel="0" collapsed="false">
      <c r="A122" s="229" t="s">
        <v>528</v>
      </c>
      <c r="B122" s="690" t="e">
        <f aca="false">#REF!/1000</f>
        <v>#REF!</v>
      </c>
      <c r="C122" s="690" t="n">
        <f aca="false">NSG_Requirements!U7/1000</f>
        <v>0</v>
      </c>
      <c r="D122" s="244"/>
      <c r="E122" s="244"/>
      <c r="F122" s="244"/>
      <c r="G122" s="244"/>
      <c r="H122" s="701"/>
      <c r="I122" s="702"/>
    </row>
    <row r="123" customFormat="false" ht="15" hidden="false" customHeight="false" outlineLevel="0" collapsed="false">
      <c r="A123" s="229" t="s">
        <v>529</v>
      </c>
      <c r="B123" s="694" t="n">
        <f aca="false">-PGL_Supplies!W7/1000</f>
        <v>-0</v>
      </c>
      <c r="C123" s="694" t="n">
        <f aca="false">-NSG_Supplies!R7/1000</f>
        <v>-16.025</v>
      </c>
      <c r="D123" s="244"/>
      <c r="E123" s="244"/>
      <c r="F123" s="244"/>
      <c r="G123" s="244"/>
      <c r="H123" s="701"/>
      <c r="I123" s="702"/>
    </row>
    <row r="124" customFormat="false" ht="16.5" hidden="false" customHeight="false" outlineLevel="0" collapsed="false">
      <c r="A124" s="287" t="s">
        <v>0</v>
      </c>
      <c r="B124" s="706" t="s">
        <v>0</v>
      </c>
      <c r="C124" s="735" t="s">
        <v>89</v>
      </c>
      <c r="D124" s="708"/>
      <c r="E124" s="709"/>
      <c r="F124" s="431" t="s">
        <v>360</v>
      </c>
      <c r="G124" s="431"/>
      <c r="H124" s="431"/>
      <c r="I124" s="431"/>
    </row>
    <row r="125" customFormat="false" ht="15" hidden="false" customHeight="false" outlineLevel="0" collapsed="false">
      <c r="A125" s="229" t="s">
        <v>405</v>
      </c>
      <c r="B125" s="694" t="n">
        <f aca="false">PGL_Requirements!T7/1000</f>
        <v>0</v>
      </c>
      <c r="F125" s="334" t="s">
        <v>0</v>
      </c>
      <c r="G125" s="817"/>
      <c r="H125" s="818"/>
      <c r="I125" s="713"/>
    </row>
    <row r="126" customFormat="false" ht="15" hidden="false" customHeight="false" outlineLevel="0" collapsed="false">
      <c r="A126" s="229" t="s">
        <v>530</v>
      </c>
      <c r="B126" s="230" t="n">
        <f aca="false">PGL_Supplies!Q7/1000</f>
        <v>0</v>
      </c>
      <c r="C126" s="694" t="s">
        <v>0</v>
      </c>
      <c r="D126" s="244"/>
      <c r="E126" s="704"/>
      <c r="F126" s="229" t="s">
        <v>362</v>
      </c>
      <c r="G126" s="819"/>
      <c r="H126" s="318"/>
      <c r="I126" s="713"/>
    </row>
    <row r="127" customFormat="false" ht="15" hidden="false" customHeight="false" outlineLevel="0" collapsed="false">
      <c r="A127" s="229" t="s">
        <v>531</v>
      </c>
      <c r="B127" s="694" t="n">
        <f aca="false">PGL_Requirements!N7/1000</f>
        <v>0</v>
      </c>
      <c r="C127" s="694" t="s">
        <v>0</v>
      </c>
      <c r="D127" s="244"/>
      <c r="E127" s="704"/>
      <c r="F127" s="229" t="s">
        <v>365</v>
      </c>
      <c r="G127" s="819"/>
      <c r="H127" s="701"/>
      <c r="I127" s="713"/>
    </row>
    <row r="128" customFormat="false" ht="15" hidden="false" customHeight="false" outlineLevel="0" collapsed="false">
      <c r="A128" s="229" t="s">
        <v>400</v>
      </c>
      <c r="B128" s="694" t="n">
        <f aca="false">PGL_Requirements!H7/1000</f>
        <v>0</v>
      </c>
      <c r="C128" s="694" t="s">
        <v>0</v>
      </c>
      <c r="D128" s="244"/>
      <c r="E128" s="704"/>
      <c r="F128" s="229" t="s">
        <v>368</v>
      </c>
      <c r="G128" s="819"/>
      <c r="H128" s="701"/>
      <c r="I128" s="713"/>
    </row>
    <row r="129" customFormat="false" ht="15" hidden="false" customHeight="false" outlineLevel="0" collapsed="false">
      <c r="A129" s="229" t="s">
        <v>532</v>
      </c>
      <c r="B129" s="694" t="e">
        <f aca="false">#REF!/1000</f>
        <v>#REF!</v>
      </c>
      <c r="C129" s="244"/>
      <c r="D129" s="244"/>
      <c r="E129" s="704"/>
      <c r="F129" s="229" t="s">
        <v>372</v>
      </c>
      <c r="G129" s="819"/>
      <c r="H129" s="701"/>
      <c r="I129" s="713"/>
    </row>
    <row r="130" customFormat="false" ht="15" hidden="false" customHeight="false" outlineLevel="0" collapsed="false">
      <c r="A130" s="229" t="s">
        <v>533</v>
      </c>
      <c r="B130" s="694" t="n">
        <f aca="false">PGL_Requirements!Z7/1000</f>
        <v>0</v>
      </c>
      <c r="C130" s="295"/>
      <c r="D130" s="244"/>
      <c r="E130" s="704"/>
      <c r="F130" s="229" t="s">
        <v>376</v>
      </c>
      <c r="G130" s="819"/>
      <c r="H130" s="701"/>
      <c r="I130" s="713"/>
    </row>
    <row r="131" customFormat="false" ht="15" hidden="false" customHeight="false" outlineLevel="0" collapsed="false">
      <c r="A131" s="8" t="s">
        <v>177</v>
      </c>
      <c r="B131" s="230" t="n">
        <f aca="false">PGL_Supplies!Y7/1000</f>
        <v>0.2</v>
      </c>
      <c r="C131" s="244"/>
      <c r="D131" s="244"/>
      <c r="E131" s="704"/>
      <c r="F131" s="333" t="s">
        <v>378</v>
      </c>
      <c r="G131" s="819"/>
      <c r="H131" s="701"/>
      <c r="I131" s="713"/>
    </row>
    <row r="132" customFormat="false" ht="15.75" hidden="false" customHeight="false" outlineLevel="0" collapsed="false">
      <c r="A132" s="229" t="s">
        <v>451</v>
      </c>
      <c r="B132" s="230" t="n">
        <f aca="false">PGL_Supplies!T7/1000</f>
        <v>0</v>
      </c>
      <c r="C132" s="266"/>
      <c r="D132" s="266"/>
      <c r="E132" s="820"/>
      <c r="F132" s="229" t="s">
        <v>381</v>
      </c>
      <c r="G132" s="819"/>
      <c r="H132" s="701"/>
      <c r="I132" s="713"/>
    </row>
    <row r="133" customFormat="false" ht="16.5" hidden="false" customHeight="false" outlineLevel="0" collapsed="false">
      <c r="A133" s="275" t="s">
        <v>301</v>
      </c>
      <c r="B133" s="269" t="e">
        <f aca="false">B126+B127+B130+B131+B132-B125-B128-B129</f>
        <v>#REF!</v>
      </c>
      <c r="C133" s="278"/>
      <c r="D133" s="278"/>
      <c r="E133" s="821"/>
      <c r="F133" s="229" t="s">
        <v>384</v>
      </c>
      <c r="G133" s="819"/>
      <c r="H133" s="701"/>
      <c r="I133" s="713"/>
    </row>
    <row r="134" customFormat="false" ht="15.75" hidden="false" customHeight="false" outlineLevel="0" collapsed="false">
      <c r="A134" s="312" t="s">
        <v>0</v>
      </c>
      <c r="B134" s="375" t="s">
        <v>0</v>
      </c>
      <c r="C134" s="822" t="s">
        <v>90</v>
      </c>
      <c r="D134" s="313"/>
      <c r="E134" s="313" t="s">
        <v>0</v>
      </c>
      <c r="F134" s="823" t="s">
        <v>534</v>
      </c>
      <c r="G134" s="824"/>
      <c r="H134" s="701"/>
      <c r="I134" s="713"/>
    </row>
    <row r="135" customFormat="false" ht="15" hidden="false" customHeight="false" outlineLevel="0" collapsed="false">
      <c r="A135" s="229" t="s">
        <v>400</v>
      </c>
      <c r="B135" s="825" t="n">
        <f aca="false">PGL_Requirements!I7</f>
        <v>0</v>
      </c>
      <c r="C135" s="231"/>
      <c r="D135" s="231"/>
      <c r="E135" s="231"/>
      <c r="F135" s="826" t="s">
        <v>353</v>
      </c>
      <c r="G135" s="824"/>
      <c r="H135" s="726"/>
      <c r="I135" s="713"/>
    </row>
    <row r="136" customFormat="false" ht="15" hidden="false" customHeight="false" outlineLevel="0" collapsed="false">
      <c r="A136" s="229" t="s">
        <v>535</v>
      </c>
      <c r="B136" s="230" t="n">
        <f aca="false">NSG_Supplies!N7/1011</f>
        <v>0</v>
      </c>
      <c r="C136" s="244"/>
      <c r="D136" s="244"/>
      <c r="E136" s="244"/>
      <c r="F136" s="229" t="s">
        <v>369</v>
      </c>
      <c r="G136" s="819"/>
      <c r="H136" s="380"/>
      <c r="I136" s="713"/>
    </row>
    <row r="137" customFormat="false" ht="15" hidden="false" customHeight="false" outlineLevel="0" collapsed="false">
      <c r="A137" s="229" t="s">
        <v>536</v>
      </c>
      <c r="B137" s="230" t="n">
        <f aca="false">PGL_Supplies!Z7/1000</f>
        <v>0</v>
      </c>
      <c r="C137" s="295"/>
      <c r="D137" s="244"/>
      <c r="E137" s="244"/>
      <c r="F137" s="229" t="s">
        <v>373</v>
      </c>
      <c r="G137" s="819"/>
      <c r="H137" s="701"/>
      <c r="I137" s="713"/>
    </row>
    <row r="138" customFormat="false" ht="15" hidden="false" customHeight="false" outlineLevel="0" collapsed="false">
      <c r="A138" s="229" t="s">
        <v>342</v>
      </c>
      <c r="B138" s="825" t="n">
        <f aca="false">PGL_Requirements!C7</f>
        <v>0</v>
      </c>
      <c r="C138" s="244"/>
      <c r="D138" s="244"/>
      <c r="E138" s="244"/>
      <c r="F138" s="229" t="s">
        <v>53</v>
      </c>
      <c r="G138" s="819"/>
      <c r="H138" s="380"/>
      <c r="I138" s="713"/>
    </row>
    <row r="139" customFormat="false" ht="15" hidden="false" customHeight="false" outlineLevel="0" collapsed="false">
      <c r="A139" s="229" t="s">
        <v>537</v>
      </c>
      <c r="B139" s="230" t="n">
        <f aca="false">PGL_Supplies!C7/1000</f>
        <v>0</v>
      </c>
      <c r="C139" s="244"/>
      <c r="D139" s="244"/>
      <c r="E139" s="244"/>
      <c r="F139" s="333" t="s">
        <v>379</v>
      </c>
      <c r="G139" s="827"/>
      <c r="H139" s="828"/>
      <c r="I139" s="713"/>
    </row>
    <row r="140" customFormat="false" ht="15.75" hidden="false" customHeight="false" outlineLevel="0" collapsed="false">
      <c r="A140" s="229" t="s">
        <v>451</v>
      </c>
      <c r="B140" s="230" t="n">
        <f aca="false">PGL_Supplies!U7/1000</f>
        <v>122.53</v>
      </c>
      <c r="C140" s="266"/>
      <c r="D140" s="266"/>
      <c r="E140" s="266"/>
      <c r="F140" s="333" t="s">
        <v>382</v>
      </c>
      <c r="G140" s="827"/>
      <c r="H140" s="360"/>
      <c r="I140" s="713"/>
    </row>
    <row r="141" customFormat="false" ht="16.5" hidden="false" customHeight="false" outlineLevel="0" collapsed="false">
      <c r="A141" s="275" t="s">
        <v>301</v>
      </c>
      <c r="B141" s="829" t="n">
        <f aca="false">-B135+B136+B137-B138+B139+B140</f>
        <v>122.53</v>
      </c>
      <c r="C141" s="335"/>
      <c r="D141" s="278"/>
      <c r="E141" s="311"/>
      <c r="F141" s="381" t="s">
        <v>386</v>
      </c>
      <c r="G141" s="830"/>
      <c r="H141" s="831"/>
      <c r="I141" s="713"/>
    </row>
    <row r="142" customFormat="false" ht="16.5" hidden="false" customHeight="false" outlineLevel="0" collapsed="false">
      <c r="A142" s="312" t="s">
        <v>0</v>
      </c>
      <c r="B142" s="289" t="s">
        <v>0</v>
      </c>
      <c r="C142" s="822" t="s">
        <v>78</v>
      </c>
      <c r="D142" s="313"/>
      <c r="E142" s="313"/>
      <c r="F142" s="832" t="s">
        <v>0</v>
      </c>
      <c r="G142" s="833" t="s">
        <v>538</v>
      </c>
      <c r="H142" s="834" t="s">
        <v>0</v>
      </c>
      <c r="I142" s="834"/>
    </row>
    <row r="143" customFormat="false" ht="15" hidden="false" customHeight="false" outlineLevel="0" collapsed="false">
      <c r="A143" s="229" t="s">
        <v>96</v>
      </c>
      <c r="B143" s="230" t="n">
        <f aca="false">PGL_Requirements!O7/1000</f>
        <v>131.31</v>
      </c>
      <c r="C143" s="244"/>
      <c r="D143" s="244"/>
      <c r="E143" s="244"/>
      <c r="F143" s="233" t="s">
        <v>289</v>
      </c>
      <c r="G143" s="835"/>
      <c r="H143" s="235" t="s">
        <v>0</v>
      </c>
      <c r="I143" s="740" t="n">
        <f aca="false">NSG_Supplies!AB7/1000</f>
        <v>0</v>
      </c>
    </row>
    <row r="144" customFormat="false" ht="15" hidden="false" customHeight="false" outlineLevel="0" collapsed="false">
      <c r="A144" s="229" t="s">
        <v>317</v>
      </c>
      <c r="B144" s="230" t="n">
        <f aca="false">PGL_Supplies!L7/1000</f>
        <v>0</v>
      </c>
      <c r="C144" s="244"/>
      <c r="D144" s="244"/>
      <c r="E144" s="244"/>
      <c r="F144" s="323" t="s">
        <v>294</v>
      </c>
      <c r="G144" s="244"/>
      <c r="H144" s="245" t="s">
        <v>0</v>
      </c>
      <c r="I144" s="740" t="n">
        <f aca="false">NSG_Supplies!N7/1000</f>
        <v>0</v>
      </c>
    </row>
    <row r="145" customFormat="false" ht="15.75" hidden="false" customHeight="false" outlineLevel="0" collapsed="false">
      <c r="A145" s="229" t="s">
        <v>320</v>
      </c>
      <c r="B145" s="230" t="n">
        <f aca="false">PGL_Requirements!B7/1000</f>
        <v>0</v>
      </c>
      <c r="C145" s="244"/>
      <c r="D145" s="244"/>
      <c r="E145" s="244"/>
      <c r="F145" s="255" t="s">
        <v>296</v>
      </c>
      <c r="G145" s="730"/>
      <c r="H145" s="257" t="s">
        <v>0</v>
      </c>
      <c r="I145" s="781"/>
    </row>
    <row r="146" customFormat="false" ht="15.75" hidden="false" customHeight="false" outlineLevel="0" collapsed="false">
      <c r="A146" s="229" t="s">
        <v>323</v>
      </c>
      <c r="B146" s="230" t="n">
        <f aca="false">PGL_Supplies!G7/1000</f>
        <v>1.463</v>
      </c>
      <c r="C146" s="244"/>
      <c r="D146" s="244"/>
      <c r="E146" s="244"/>
      <c r="F146" s="836" t="s">
        <v>299</v>
      </c>
      <c r="G146" s="278"/>
      <c r="H146" s="269" t="s">
        <v>0</v>
      </c>
      <c r="I146" s="837" t="e">
        <f aca="false">#REF!/1000</f>
        <v>#REF!</v>
      </c>
    </row>
    <row r="147" customFormat="false" ht="16.5" hidden="false" customHeight="false" outlineLevel="0" collapsed="false">
      <c r="A147" s="333" t="s">
        <v>346</v>
      </c>
      <c r="B147" s="230" t="s">
        <v>0</v>
      </c>
      <c r="C147" s="244"/>
      <c r="D147" s="244"/>
      <c r="E147" s="244"/>
      <c r="F147" s="734" t="s">
        <v>324</v>
      </c>
      <c r="G147" s="734"/>
      <c r="H147" s="734"/>
      <c r="I147" s="734"/>
    </row>
    <row r="148" customFormat="false" ht="15.75" hidden="false" customHeight="false" outlineLevel="0" collapsed="false">
      <c r="A148" s="229" t="s">
        <v>539</v>
      </c>
      <c r="B148" s="230" t="n">
        <f aca="false">PGL_Requirements!P7/1000</f>
        <v>1.96965</v>
      </c>
      <c r="C148" s="266"/>
      <c r="D148" s="266"/>
      <c r="E148" s="266"/>
      <c r="F148" s="334" t="s">
        <v>327</v>
      </c>
      <c r="G148" s="817"/>
      <c r="H148" s="838" t="s">
        <v>0</v>
      </c>
      <c r="I148" s="839" t="n">
        <f aca="false">+NSG_Supplies!Y7/1000</f>
        <v>0</v>
      </c>
    </row>
    <row r="149" customFormat="false" ht="16.5" hidden="false" customHeight="false" outlineLevel="0" collapsed="false">
      <c r="A149" s="275" t="s">
        <v>299</v>
      </c>
      <c r="B149" s="840" t="n">
        <f aca="false">B144+B146</f>
        <v>1.463</v>
      </c>
      <c r="C149" s="342"/>
      <c r="D149" s="342"/>
      <c r="E149" s="821"/>
      <c r="F149" s="229" t="s">
        <v>0</v>
      </c>
      <c r="G149" s="819"/>
      <c r="H149" s="841" t="s">
        <v>0</v>
      </c>
      <c r="I149" s="842" t="n">
        <f aca="false">NSG_Supplies!Z7/1000</f>
        <v>0</v>
      </c>
    </row>
    <row r="150" customFormat="false" ht="15.75" hidden="false" customHeight="false" outlineLevel="0" collapsed="false">
      <c r="A150" s="229" t="s">
        <v>333</v>
      </c>
      <c r="B150" s="843" t="n">
        <f aca="false">PGL_Deliveries!AE5</f>
        <v>0</v>
      </c>
      <c r="C150" s="351"/>
      <c r="D150" s="351"/>
      <c r="E150" s="844"/>
      <c r="F150" s="836" t="s">
        <v>299</v>
      </c>
      <c r="G150" s="278"/>
      <c r="H150" s="269" t="s">
        <v>0</v>
      </c>
      <c r="I150" s="837" t="e">
        <f aca="false">#REF!/1000</f>
        <v>#REF!</v>
      </c>
    </row>
    <row r="151" customFormat="false" ht="16.5" hidden="false" customHeight="false" outlineLevel="0" collapsed="false">
      <c r="A151" s="229" t="s">
        <v>334</v>
      </c>
      <c r="B151" s="843" t="n">
        <f aca="false">PGL_Deliveries!AG5</f>
        <v>0</v>
      </c>
      <c r="C151" s="749"/>
      <c r="D151" s="749"/>
      <c r="E151" s="749"/>
      <c r="F151" s="734" t="s">
        <v>352</v>
      </c>
      <c r="G151" s="734"/>
      <c r="H151" s="734"/>
      <c r="I151" s="734"/>
    </row>
    <row r="152" customFormat="false" ht="15.75" hidden="false" customHeight="false" outlineLevel="0" collapsed="false">
      <c r="A152" s="722" t="s">
        <v>0</v>
      </c>
      <c r="B152" s="723"/>
      <c r="C152" s="845" t="s">
        <v>44</v>
      </c>
      <c r="D152" s="724"/>
      <c r="E152" s="752" t="s">
        <v>0</v>
      </c>
      <c r="F152" s="334" t="s">
        <v>540</v>
      </c>
      <c r="G152" s="817"/>
      <c r="H152" s="320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541</v>
      </c>
      <c r="B153" s="245" t="n">
        <f aca="false">PGL_Requirements!M7/1000</f>
        <v>0</v>
      </c>
      <c r="C153" s="244"/>
      <c r="D153" s="244"/>
      <c r="E153" s="753"/>
      <c r="F153" s="846" t="s">
        <v>355</v>
      </c>
      <c r="G153" s="824"/>
      <c r="H153" s="324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303</v>
      </c>
      <c r="B154" s="230" t="n">
        <f aca="false">PGL_Supplies!AD7/1000</f>
        <v>0</v>
      </c>
      <c r="C154" s="291" t="s">
        <v>0</v>
      </c>
      <c r="D154" s="244"/>
      <c r="E154" s="754"/>
      <c r="F154" s="255" t="s">
        <v>358</v>
      </c>
      <c r="G154" s="819"/>
      <c r="H154" s="324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305</v>
      </c>
      <c r="B155" s="245" t="n">
        <f aca="false">PGL_Requirements!E7/1000</f>
        <v>4</v>
      </c>
      <c r="C155" s="291" t="s">
        <v>0</v>
      </c>
      <c r="D155" s="244"/>
      <c r="E155" s="754"/>
      <c r="F155" s="229" t="s">
        <v>177</v>
      </c>
      <c r="G155" s="847"/>
      <c r="H155" s="324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308</v>
      </c>
      <c r="B156" s="230" t="n">
        <f aca="false">PGL_Supplies!F7/1000</f>
        <v>0</v>
      </c>
      <c r="C156" s="760" t="s">
        <v>0</v>
      </c>
      <c r="D156" s="244"/>
      <c r="E156" s="754"/>
      <c r="F156" s="333" t="s">
        <v>451</v>
      </c>
      <c r="G156" s="847"/>
      <c r="H156" s="360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542</v>
      </c>
      <c r="B157" s="245" t="n">
        <f aca="false">PGL_Requirements!S7/1000</f>
        <v>0</v>
      </c>
      <c r="C157" s="291" t="s">
        <v>0</v>
      </c>
      <c r="D157" s="244"/>
      <c r="E157" s="754"/>
      <c r="F157" s="848" t="s">
        <v>543</v>
      </c>
      <c r="G157" s="849"/>
      <c r="H157" s="320"/>
      <c r="I157" s="850" t="n">
        <v>0</v>
      </c>
    </row>
    <row r="158" customFormat="false" ht="15.75" hidden="false" customHeight="false" outlineLevel="0" collapsed="false">
      <c r="A158" s="229" t="s">
        <v>544</v>
      </c>
      <c r="B158" s="230" t="n">
        <f aca="false">PGL_Supplies!O7/1000</f>
        <v>0</v>
      </c>
      <c r="C158" s="760" t="s">
        <v>0</v>
      </c>
      <c r="D158" s="244"/>
      <c r="E158" s="765"/>
      <c r="F158" s="851" t="s">
        <v>545</v>
      </c>
      <c r="G158" s="762"/>
      <c r="H158" s="852"/>
      <c r="I158" s="853" t="n">
        <v>0</v>
      </c>
    </row>
    <row r="159" customFormat="false" ht="16.5" hidden="false" customHeight="false" outlineLevel="0" collapsed="false">
      <c r="A159" s="229" t="s">
        <v>177</v>
      </c>
      <c r="B159" s="230" t="n">
        <f aca="false">PGL_Supplies!AC7/1000</f>
        <v>4</v>
      </c>
      <c r="C159" s="760" t="s">
        <v>0</v>
      </c>
      <c r="D159" s="244"/>
      <c r="E159" s="754"/>
      <c r="F159" s="854" t="s">
        <v>510</v>
      </c>
      <c r="G159" s="854"/>
      <c r="H159" s="854"/>
      <c r="I159" s="854"/>
    </row>
    <row r="160" customFormat="false" ht="15.75" hidden="false" customHeight="false" outlineLevel="0" collapsed="false">
      <c r="A160" s="229" t="s">
        <v>451</v>
      </c>
      <c r="B160" s="855" t="n">
        <f aca="false">PGL_Supplies!X7/1000</f>
        <v>89.603</v>
      </c>
      <c r="C160" s="305" t="s">
        <v>0</v>
      </c>
      <c r="D160" s="266"/>
      <c r="E160" s="856"/>
      <c r="F160" s="319" t="s">
        <v>315</v>
      </c>
      <c r="G160" s="835" t="s">
        <v>0</v>
      </c>
      <c r="H160" s="351"/>
      <c r="I160" s="857"/>
    </row>
    <row r="161" customFormat="false" ht="16.5" hidden="false" customHeight="false" outlineLevel="0" collapsed="false">
      <c r="A161" s="858" t="s">
        <v>546</v>
      </c>
      <c r="B161" s="232"/>
      <c r="C161" s="859" t="s">
        <v>0</v>
      </c>
      <c r="D161" s="860"/>
      <c r="E161" s="861"/>
      <c r="F161" s="862" t="s">
        <v>318</v>
      </c>
      <c r="G161" s="266"/>
      <c r="H161" s="469"/>
      <c r="I161" s="863" t="s">
        <v>0</v>
      </c>
    </row>
    <row r="162" customFormat="false" ht="16.5" hidden="false" customHeight="false" outlineLevel="0" collapsed="false">
      <c r="A162" s="770" t="s">
        <v>299</v>
      </c>
      <c r="B162" s="864" t="n">
        <f aca="false">B154+B156+B158+B159+B160-B153-B155-B157-B161</f>
        <v>89.603</v>
      </c>
      <c r="C162" s="771"/>
      <c r="D162" s="772"/>
      <c r="E162" s="865"/>
      <c r="F162" s="866" t="s">
        <v>514</v>
      </c>
      <c r="G162" s="278"/>
      <c r="H162" s="342"/>
      <c r="I162" s="867"/>
    </row>
    <row r="163" customFormat="false" ht="12.75" hidden="false" customHeight="false" outlineLevel="0" collapsed="false">
      <c r="A163" s="868"/>
      <c r="B163" s="869" t="s">
        <v>547</v>
      </c>
      <c r="C163" s="869"/>
      <c r="D163" s="869" t="s">
        <v>548</v>
      </c>
      <c r="E163" s="869"/>
      <c r="F163" s="869"/>
      <c r="G163" s="869"/>
      <c r="H163" s="870" t="s">
        <v>387</v>
      </c>
      <c r="I163" s="871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2" t="s">
        <v>549</v>
      </c>
      <c r="B2" s="872" t="s">
        <v>549</v>
      </c>
      <c r="C2" s="872" t="s">
        <v>549</v>
      </c>
      <c r="D2" s="872" t="s">
        <v>549</v>
      </c>
      <c r="E2" s="872" t="s">
        <v>549</v>
      </c>
      <c r="F2" s="872" t="s">
        <v>549</v>
      </c>
      <c r="G2" s="872" t="s">
        <v>549</v>
      </c>
      <c r="H2" s="872" t="s">
        <v>549</v>
      </c>
      <c r="I2" s="873" t="s">
        <v>549</v>
      </c>
      <c r="J2" s="873"/>
    </row>
    <row r="14" customFormat="false" ht="30" hidden="false" customHeight="false" outlineLevel="0" collapsed="false">
      <c r="A14" s="872" t="s">
        <v>550</v>
      </c>
      <c r="B14" s="872" t="s">
        <v>550</v>
      </c>
      <c r="C14" s="872" t="s">
        <v>550</v>
      </c>
      <c r="D14" s="872" t="s">
        <v>550</v>
      </c>
      <c r="E14" s="872" t="s">
        <v>550</v>
      </c>
      <c r="F14" s="872" t="s">
        <v>550</v>
      </c>
      <c r="G14" s="872" t="s">
        <v>550</v>
      </c>
      <c r="H14" s="872" t="s">
        <v>550</v>
      </c>
      <c r="I14" s="873" t="s">
        <v>550</v>
      </c>
      <c r="J14" s="873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3" t="s">
        <v>549</v>
      </c>
      <c r="B2" s="873"/>
      <c r="C2" s="873"/>
      <c r="D2" s="873"/>
      <c r="E2" s="873"/>
      <c r="F2" s="873"/>
      <c r="G2" s="873"/>
      <c r="H2" s="873"/>
      <c r="I2" s="873"/>
      <c r="J2" s="873"/>
    </row>
    <row r="5" customFormat="false" ht="15.75" hidden="false" customHeight="false" outlineLevel="0" collapsed="false">
      <c r="C5" s="874" t="s">
        <v>551</v>
      </c>
      <c r="D5" s="9" t="s">
        <v>552</v>
      </c>
      <c r="F5" s="874" t="s">
        <v>553</v>
      </c>
      <c r="G5" s="9" t="s">
        <v>554</v>
      </c>
    </row>
    <row r="6" customFormat="false" ht="15" hidden="false" customHeight="false" outlineLevel="0" collapsed="false">
      <c r="D6" s="9" t="s">
        <v>555</v>
      </c>
      <c r="G6" s="9" t="s">
        <v>556</v>
      </c>
    </row>
    <row r="7" customFormat="false" ht="15" hidden="false" customHeight="false" outlineLevel="0" collapsed="false">
      <c r="D7" s="9" t="s">
        <v>556</v>
      </c>
    </row>
    <row r="8" customFormat="false" ht="15" hidden="false" customHeight="false" outlineLevel="0" collapsed="false">
      <c r="G8" s="9" t="s">
        <v>557</v>
      </c>
    </row>
    <row r="9" customFormat="false" ht="15" hidden="false" customHeight="false" outlineLevel="0" collapsed="false">
      <c r="D9" s="9" t="s">
        <v>558</v>
      </c>
      <c r="G9" s="9" t="s">
        <v>559</v>
      </c>
    </row>
    <row r="10" customFormat="false" ht="15" hidden="false" customHeight="false" outlineLevel="0" collapsed="false">
      <c r="D10" s="9" t="s">
        <v>560</v>
      </c>
    </row>
    <row r="11" customFormat="false" ht="15.75" hidden="false" customHeight="false" outlineLevel="0" collapsed="false">
      <c r="D11" s="874" t="s">
        <v>561</v>
      </c>
    </row>
    <row r="12" customFormat="false" ht="15.75" hidden="false" customHeight="false" outlineLevel="0" collapsed="false">
      <c r="D12" s="874" t="s">
        <v>562</v>
      </c>
    </row>
    <row r="14" customFormat="false" ht="30" hidden="false" customHeight="false" outlineLevel="0" collapsed="false">
      <c r="A14" s="873" t="s">
        <v>550</v>
      </c>
      <c r="B14" s="873"/>
      <c r="C14" s="873"/>
      <c r="D14" s="873"/>
      <c r="E14" s="873"/>
      <c r="F14" s="873"/>
      <c r="G14" s="873"/>
      <c r="H14" s="873"/>
      <c r="I14" s="873"/>
      <c r="J14" s="873"/>
    </row>
    <row r="16" customFormat="false" ht="15" hidden="false" customHeight="false" outlineLevel="0" collapsed="false">
      <c r="B16" s="4" t="s">
        <v>563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564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5" t="s">
        <v>565</v>
      </c>
      <c r="C18" s="875"/>
      <c r="D18" s="875"/>
      <c r="E18" s="875"/>
      <c r="F18" s="875"/>
      <c r="G18" s="875"/>
      <c r="H18" s="875"/>
      <c r="I18" s="875"/>
    </row>
    <row r="19" customFormat="false" ht="15.75" hidden="false" customHeight="false" outlineLevel="0" collapsed="false"/>
    <row r="20" customFormat="false" ht="21" hidden="false" customHeight="false" outlineLevel="0" collapsed="false">
      <c r="B20" s="876" t="s">
        <v>566</v>
      </c>
      <c r="C20" s="876"/>
      <c r="D20" s="876"/>
      <c r="E20" s="876"/>
      <c r="F20" s="876"/>
      <c r="G20" s="876"/>
      <c r="H20" s="876"/>
      <c r="I20" s="876"/>
    </row>
    <row r="22" customFormat="false" ht="15" hidden="false" customHeight="false" outlineLevel="0" collapsed="false">
      <c r="B22" s="9" t="s">
        <v>567</v>
      </c>
      <c r="D22" s="877" t="n">
        <f aca="true">NOW()</f>
        <v>45927.0032241189</v>
      </c>
      <c r="F22" s="9" t="s">
        <v>568</v>
      </c>
      <c r="G22" s="878" t="n">
        <f aca="true">NOW()</f>
        <v>45927.0032241191</v>
      </c>
    </row>
    <row r="24" customFormat="false" ht="15" hidden="false" customHeight="false" outlineLevel="0" collapsed="false">
      <c r="B24" s="9" t="s">
        <v>569</v>
      </c>
      <c r="D24" s="879" t="s">
        <v>570</v>
      </c>
      <c r="E24" s="0" t="s">
        <v>0</v>
      </c>
      <c r="F24" s="9" t="s">
        <v>571</v>
      </c>
      <c r="G24" s="880" t="s">
        <v>572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1" t="s">
        <v>0</v>
      </c>
      <c r="C26" s="9" t="s">
        <v>573</v>
      </c>
    </row>
    <row r="27" customFormat="false" ht="15.75" hidden="false" customHeight="false" outlineLevel="0" collapsed="false">
      <c r="B27" s="881" t="s">
        <v>0</v>
      </c>
      <c r="C27" s="9" t="s">
        <v>574</v>
      </c>
    </row>
    <row r="28" customFormat="false" ht="15.75" hidden="false" customHeight="false" outlineLevel="0" collapsed="false">
      <c r="B28" s="881" t="s">
        <v>575</v>
      </c>
      <c r="C28" s="9" t="s">
        <v>576</v>
      </c>
    </row>
    <row r="29" customFormat="false" ht="15" hidden="false" customHeight="false" outlineLevel="0" collapsed="false">
      <c r="B29" s="0" t="s">
        <v>0</v>
      </c>
      <c r="C29" s="9" t="s">
        <v>577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578</v>
      </c>
      <c r="E32" s="882" t="n">
        <v>35915</v>
      </c>
    </row>
    <row r="34" customFormat="false" ht="15.75" hidden="false" customHeight="false" outlineLevel="0" collapsed="false">
      <c r="B34" s="9" t="s">
        <v>579</v>
      </c>
      <c r="E34" s="883" t="n">
        <v>0</v>
      </c>
      <c r="F34" s="0" t="s">
        <v>580</v>
      </c>
    </row>
    <row r="36" customFormat="false" ht="15.75" hidden="false" customHeight="false" outlineLevel="0" collapsed="false">
      <c r="B36" s="9" t="s">
        <v>581</v>
      </c>
      <c r="E36" s="883" t="n">
        <v>0</v>
      </c>
      <c r="F36" s="0" t="s">
        <v>580</v>
      </c>
    </row>
    <row r="38" customFormat="false" ht="15.75" hidden="false" customHeight="false" outlineLevel="0" collapsed="false">
      <c r="B38" s="0" t="s">
        <v>582</v>
      </c>
      <c r="E38" s="877" t="n">
        <f aca="false">+E32+1</f>
        <v>35916</v>
      </c>
      <c r="F38" s="883" t="n">
        <v>0</v>
      </c>
      <c r="G38" s="0" t="s">
        <v>580</v>
      </c>
    </row>
    <row r="39" customFormat="false" ht="15.75" hidden="false" customHeight="false" outlineLevel="0" collapsed="false">
      <c r="E39" s="877" t="n">
        <f aca="false">+E38+1</f>
        <v>35917</v>
      </c>
      <c r="F39" s="883" t="n">
        <v>0</v>
      </c>
      <c r="G39" s="0" t="s">
        <v>580</v>
      </c>
    </row>
    <row r="40" customFormat="false" ht="15.75" hidden="false" customHeight="false" outlineLevel="0" collapsed="false">
      <c r="E40" s="877" t="n">
        <f aca="false">+E39+1</f>
        <v>35918</v>
      </c>
      <c r="F40" s="883" t="n">
        <v>0</v>
      </c>
      <c r="G40" s="0" t="s">
        <v>580</v>
      </c>
    </row>
    <row r="41" customFormat="false" ht="15.75" hidden="false" customHeight="false" outlineLevel="0" collapsed="false">
      <c r="E41" s="877" t="n">
        <f aca="false">+E40+1</f>
        <v>35919</v>
      </c>
      <c r="F41" s="883" t="n">
        <v>0</v>
      </c>
      <c r="G41" s="0" t="s">
        <v>580</v>
      </c>
    </row>
    <row r="42" customFormat="false" ht="15.75" hidden="false" customHeight="false" outlineLevel="0" collapsed="false">
      <c r="E42" s="877" t="n">
        <f aca="false">+E41+1</f>
        <v>35920</v>
      </c>
      <c r="F42" s="883" t="n">
        <v>0</v>
      </c>
      <c r="G42" s="0" t="s">
        <v>580</v>
      </c>
    </row>
    <row r="44" customFormat="false" ht="15" hidden="false" customHeight="false" outlineLevel="0" collapsed="false">
      <c r="B44" s="9" t="s">
        <v>583</v>
      </c>
      <c r="D44" s="880"/>
      <c r="E44" s="880"/>
      <c r="F44" s="880"/>
      <c r="G44" s="880"/>
      <c r="H44" s="880"/>
    </row>
    <row r="45" customFormat="false" ht="15" hidden="false" customHeight="false" outlineLevel="0" collapsed="false">
      <c r="D45" s="880"/>
      <c r="E45" s="880"/>
      <c r="F45" s="880"/>
      <c r="G45" s="880"/>
      <c r="H45" s="880"/>
    </row>
    <row r="47" customFormat="false" ht="15" hidden="false" customHeight="false" outlineLevel="0" collapsed="false">
      <c r="B47" s="884" t="s">
        <v>406</v>
      </c>
      <c r="C47" s="884" t="s">
        <v>0</v>
      </c>
      <c r="D47" s="885"/>
    </row>
    <row r="48" customFormat="false" ht="15" hidden="false" customHeight="false" outlineLevel="0" collapsed="false">
      <c r="B48" s="886"/>
      <c r="C48" s="884" t="s">
        <v>0</v>
      </c>
      <c r="D48" s="885"/>
    </row>
    <row r="49" customFormat="false" ht="15" hidden="false" customHeight="false" outlineLevel="0" collapsed="false">
      <c r="B49" s="886"/>
      <c r="C49" s="884" t="s">
        <v>584</v>
      </c>
      <c r="D49" s="885"/>
    </row>
    <row r="50" customFormat="false" ht="15" hidden="false" customHeight="false" outlineLevel="0" collapsed="false">
      <c r="B50" s="886"/>
      <c r="C50" s="884" t="s">
        <v>585</v>
      </c>
    </row>
    <row r="51" customFormat="false" ht="15" hidden="false" customHeight="false" outlineLevel="0" collapsed="false">
      <c r="B51" s="886"/>
      <c r="C51" s="884" t="s">
        <v>586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87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88" width="13.65"/>
    <col collapsed="false" customWidth="true" hidden="false" outlineLevel="0" max="7" min="7" style="27" width="8.21"/>
    <col collapsed="false" customWidth="false" hidden="false" outlineLevel="0" max="8" min="8" style="889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0" t="s">
        <v>0</v>
      </c>
      <c r="B1" s="27"/>
      <c r="C1" s="13"/>
      <c r="D1" s="891" t="s">
        <v>0</v>
      </c>
      <c r="E1" s="13"/>
      <c r="F1" s="16"/>
      <c r="G1" s="13"/>
      <c r="H1" s="892"/>
      <c r="I1" s="13"/>
    </row>
    <row r="2" customFormat="false" ht="15" hidden="false" customHeight="false" outlineLevel="0" collapsed="false">
      <c r="A2" s="13"/>
      <c r="B2" s="893"/>
      <c r="C2" s="13"/>
      <c r="D2" s="13"/>
      <c r="E2" s="13"/>
      <c r="F2" s="16"/>
      <c r="G2" s="13"/>
      <c r="H2" s="892"/>
      <c r="I2" s="13"/>
    </row>
    <row r="3" customFormat="false" ht="15" hidden="false" customHeight="false" outlineLevel="0" collapsed="false">
      <c r="A3" s="894" t="s">
        <v>8</v>
      </c>
      <c r="B3" s="895" t="s">
        <v>0</v>
      </c>
      <c r="C3" s="13"/>
      <c r="D3" s="13"/>
      <c r="E3" s="13"/>
      <c r="F3" s="16"/>
      <c r="G3" s="13"/>
      <c r="H3" s="892"/>
      <c r="I3" s="13"/>
    </row>
    <row r="4" customFormat="false" ht="15" hidden="false" customHeight="false" outlineLevel="0" collapsed="false">
      <c r="A4" s="13"/>
      <c r="B4" s="895"/>
      <c r="C4" s="13"/>
      <c r="D4" s="896" t="s">
        <v>587</v>
      </c>
      <c r="E4" s="896"/>
      <c r="F4" s="896" t="s">
        <v>588</v>
      </c>
      <c r="G4" s="896"/>
      <c r="H4" s="897"/>
      <c r="I4" s="898" t="s">
        <v>589</v>
      </c>
    </row>
    <row r="5" customFormat="false" ht="15" hidden="false" customHeight="false" outlineLevel="0" collapsed="false">
      <c r="A5" s="893" t="str">
        <f aca="false">CHOOSE(WEEKDAY(B5),"Sunday","Monday","Tuesday","Wednesday","Thursday","Friday","Saturday")</f>
        <v>Tuesday</v>
      </c>
      <c r="B5" s="899" t="n">
        <f aca="false">Weather_Input!A5</f>
        <v>37061</v>
      </c>
      <c r="C5" s="13"/>
      <c r="D5" s="900" t="s">
        <v>590</v>
      </c>
      <c r="E5" s="901" t="n">
        <f aca="false">Weather_Input!B5</f>
        <v>83</v>
      </c>
      <c r="F5" s="902" t="s">
        <v>591</v>
      </c>
      <c r="G5" s="903" t="n">
        <f aca="false">Weather_Input!H5</f>
        <v>0</v>
      </c>
      <c r="H5" s="904" t="s">
        <v>592</v>
      </c>
      <c r="I5" s="905" t="n">
        <f aca="true">G5-(VLOOKUP(B5,DD_Normal_Data,CELL("Col",B6),FALSE()))</f>
        <v>-1</v>
      </c>
    </row>
    <row r="6" customFormat="false" ht="15" hidden="false" customHeight="false" outlineLevel="0" collapsed="false">
      <c r="A6" s="893"/>
      <c r="B6" s="899"/>
      <c r="C6" s="13"/>
      <c r="D6" s="900" t="s">
        <v>292</v>
      </c>
      <c r="E6" s="901" t="n">
        <f aca="false">Weather_Input!C5</f>
        <v>65</v>
      </c>
      <c r="F6" s="902" t="s">
        <v>593</v>
      </c>
      <c r="G6" s="903" t="n">
        <f aca="false">Weather_Input!F5</f>
        <v>77</v>
      </c>
      <c r="H6" s="904" t="s">
        <v>594</v>
      </c>
      <c r="I6" s="905" t="n">
        <f aca="true">G6-(VLOOKUP(B5,DD_Normal_Data,CELL("Col",C7),FALSE()))</f>
        <v>31</v>
      </c>
      <c r="J6" s="906"/>
      <c r="DE6" s="27" t="s">
        <v>11</v>
      </c>
    </row>
    <row r="7" customFormat="false" ht="15" hidden="false" customHeight="false" outlineLevel="0" collapsed="false">
      <c r="A7" s="893"/>
      <c r="B7" s="899"/>
      <c r="C7" s="13"/>
      <c r="D7" s="900" t="s">
        <v>595</v>
      </c>
      <c r="E7" s="901" t="n">
        <f aca="false">IF(Weather_Input!E5="N/A",(Weather_Input!C5+Weather_Input!B5)/2,Weather_Input!E5)</f>
        <v>71.2</v>
      </c>
      <c r="F7" s="902" t="s">
        <v>596</v>
      </c>
      <c r="G7" s="903" t="n">
        <f aca="false">Weather_Input!G5</f>
        <v>6689</v>
      </c>
      <c r="H7" s="904" t="s">
        <v>596</v>
      </c>
      <c r="I7" s="907" t="n">
        <f aca="true">G7-(VLOOKUP(B5,DD_Normal_Data,CELL("Col",D4),FALSE()))</f>
        <v>267</v>
      </c>
      <c r="J7" s="907"/>
    </row>
    <row r="8" customFormat="false" ht="15" hidden="false" customHeight="false" outlineLevel="0" collapsed="false">
      <c r="A8" s="893"/>
      <c r="B8" s="895"/>
      <c r="C8" s="13"/>
      <c r="D8" s="908" t="str">
        <f aca="false">IF(Weather_Input!I5=""," ",Weather_Input!I5)</f>
        <v> OVERNIGHT…MOSTLY CLOUDY. A 40% CHANCE OF RAIN.</v>
      </c>
      <c r="E8" s="909"/>
      <c r="F8" s="901"/>
      <c r="G8" s="903"/>
      <c r="H8" s="904"/>
      <c r="I8" s="905"/>
    </row>
    <row r="9" customFormat="false" ht="15" hidden="false" customHeight="false" outlineLevel="0" collapsed="false">
      <c r="A9" s="893"/>
      <c r="B9" s="899"/>
      <c r="C9" s="13"/>
      <c r="D9" s="908" t="str">
        <f aca="false">IF(Weather_Input!J5=""," ",Weather_Input!J5)</f>
        <v> </v>
      </c>
      <c r="E9" s="910"/>
      <c r="F9" s="903"/>
      <c r="G9" s="903"/>
      <c r="H9" s="904"/>
      <c r="I9" s="905"/>
    </row>
    <row r="10" customFormat="false" ht="15" hidden="false" customHeight="false" outlineLevel="0" collapsed="false">
      <c r="A10" s="893" t="str">
        <f aca="false">CHOOSE(WEEKDAY(B10),"Sunday","Monday","Tuesday","Wednesday","Thursday","Friday","Saturday")</f>
        <v>Wednesday</v>
      </c>
      <c r="B10" s="899" t="n">
        <f aca="false">Weather_Input!A6</f>
        <v>37062</v>
      </c>
      <c r="C10" s="13"/>
      <c r="D10" s="900" t="s">
        <v>590</v>
      </c>
      <c r="E10" s="901" t="n">
        <f aca="false">Weather_Input!B6</f>
        <v>78</v>
      </c>
      <c r="F10" s="902" t="s">
        <v>591</v>
      </c>
      <c r="G10" s="903" t="n">
        <f aca="false">IF(E12&lt;65,65-(Weather_Input!B6+Weather_Input!C6)/2,0)</f>
        <v>0</v>
      </c>
      <c r="H10" s="904" t="s">
        <v>592</v>
      </c>
      <c r="I10" s="905" t="n">
        <f aca="true">G10-(VLOOKUP(B10,DD_Normal_Data,CELL("Col",B11),FALSE()))</f>
        <v>0</v>
      </c>
    </row>
    <row r="11" customFormat="false" ht="15" hidden="false" customHeight="false" outlineLevel="0" collapsed="false">
      <c r="A11" s="893"/>
      <c r="B11" s="899"/>
      <c r="C11" s="13"/>
      <c r="D11" s="900" t="s">
        <v>292</v>
      </c>
      <c r="E11" s="901" t="n">
        <f aca="false">Weather_Input!C6</f>
        <v>59</v>
      </c>
      <c r="F11" s="902" t="s">
        <v>593</v>
      </c>
      <c r="G11" s="903" t="n">
        <f aca="false">IF(DAY(B10)=1,G10,G6+G10)</f>
        <v>77</v>
      </c>
      <c r="H11" s="904" t="s">
        <v>594</v>
      </c>
      <c r="I11" s="905" t="n">
        <f aca="true">G11-(VLOOKUP(B10,DD_Normal_Data,CELL("Col",C12),FALSE()))</f>
        <v>31</v>
      </c>
      <c r="DE11" s="27" t="s">
        <v>597</v>
      </c>
    </row>
    <row r="12" customFormat="false" ht="15" hidden="false" customHeight="false" outlineLevel="0" collapsed="false">
      <c r="A12" s="893"/>
      <c r="B12" s="895"/>
      <c r="C12" s="13"/>
      <c r="D12" s="900" t="s">
        <v>595</v>
      </c>
      <c r="E12" s="901" t="n">
        <f aca="false">(Weather_Input!C6+Weather_Input!B6)/2</f>
        <v>68.5</v>
      </c>
      <c r="F12" s="902" t="s">
        <v>596</v>
      </c>
      <c r="G12" s="903" t="n">
        <f aca="false">IF(AND(DAY(B10)=1,MONTH(B10)=8),G10,G7+G10)</f>
        <v>6689</v>
      </c>
      <c r="H12" s="904" t="s">
        <v>596</v>
      </c>
      <c r="I12" s="905" t="n">
        <f aca="true">G12-(VLOOKUP(B10,DD_Normal_Data,CELL("Col",D9),FALSE()))</f>
        <v>267</v>
      </c>
    </row>
    <row r="13" customFormat="false" ht="15" hidden="false" customHeight="false" outlineLevel="0" collapsed="false">
      <c r="A13" s="893"/>
      <c r="B13" s="899"/>
      <c r="C13" s="13"/>
      <c r="D13" s="908" t="str">
        <f aca="false">IF(Weather_Input!I6=""," ",Weather_Input!I6)</f>
        <v>MOSTLY CLOUDY THIS A.M…BECOMING PARTLY SUNNY BY P.M. N.E. WINDS 5/10 MPH</v>
      </c>
      <c r="E13" s="901"/>
      <c r="F13" s="901"/>
      <c r="G13" s="903"/>
      <c r="H13" s="904"/>
      <c r="I13" s="905"/>
    </row>
    <row r="14" customFormat="false" ht="15" hidden="false" customHeight="false" outlineLevel="0" collapsed="false">
      <c r="A14" s="893"/>
      <c r="B14" s="899"/>
      <c r="C14" s="13"/>
      <c r="D14" s="908" t="str">
        <f aca="false">IF(Weather_Input!J6=""," ",Weather_Input!J6)</f>
        <v>OVERNIGHT…PARTLY CLOUDY. LIGHT NORTH WINDS.</v>
      </c>
      <c r="E14" s="901"/>
      <c r="F14" s="903"/>
      <c r="G14" s="903"/>
      <c r="H14" s="904"/>
      <c r="I14" s="905"/>
    </row>
    <row r="15" customFormat="false" ht="15" hidden="false" customHeight="false" outlineLevel="0" collapsed="false">
      <c r="A15" s="893" t="str">
        <f aca="false">CHOOSE(WEEKDAY(B15),"Sunday","Monday","Tuesday","Wednesday","Thursday","Friday","Saturday")</f>
        <v>Thursday</v>
      </c>
      <c r="B15" s="899" t="n">
        <f aca="false">Weather_Input!A7</f>
        <v>37063</v>
      </c>
      <c r="C15" s="13"/>
      <c r="D15" s="900" t="s">
        <v>590</v>
      </c>
      <c r="E15" s="901" t="n">
        <f aca="false">Weather_Input!B7</f>
        <v>72</v>
      </c>
      <c r="F15" s="902" t="s">
        <v>591</v>
      </c>
      <c r="G15" s="903" t="n">
        <f aca="false">IF(E17&lt;65,65-(Weather_Input!B7+Weather_Input!C7)/2,0)</f>
        <v>2.5</v>
      </c>
      <c r="H15" s="904" t="s">
        <v>592</v>
      </c>
      <c r="I15" s="905" t="n">
        <f aca="true">G15-(VLOOKUP(B15,DD_Normal_Data,CELL("Col",B16),FALSE()))</f>
        <v>2.5</v>
      </c>
    </row>
    <row r="16" customFormat="false" ht="15" hidden="false" customHeight="false" outlineLevel="0" collapsed="false">
      <c r="A16" s="893"/>
      <c r="B16" s="895"/>
      <c r="C16" s="13"/>
      <c r="D16" s="900" t="s">
        <v>292</v>
      </c>
      <c r="E16" s="901" t="n">
        <f aca="false">Weather_Input!C7</f>
        <v>53</v>
      </c>
      <c r="F16" s="902" t="s">
        <v>593</v>
      </c>
      <c r="G16" s="903" t="n">
        <f aca="false">IF(DAY(B15)=1,G15,G11+G15)</f>
        <v>79.5</v>
      </c>
      <c r="H16" s="904" t="s">
        <v>594</v>
      </c>
      <c r="I16" s="905" t="n">
        <f aca="true">G16-(VLOOKUP(B15,DD_Normal_Data,CELL("Col",C17),FALSE()))</f>
        <v>33.5</v>
      </c>
      <c r="DE16" s="27" t="s">
        <v>30</v>
      </c>
    </row>
    <row r="17" customFormat="false" ht="15" hidden="false" customHeight="false" outlineLevel="0" collapsed="false">
      <c r="A17" s="893"/>
      <c r="B17" s="899"/>
      <c r="C17" s="13"/>
      <c r="D17" s="900" t="s">
        <v>595</v>
      </c>
      <c r="E17" s="901" t="n">
        <f aca="false">(Weather_Input!C7+Weather_Input!B7)/2</f>
        <v>62.5</v>
      </c>
      <c r="F17" s="902" t="s">
        <v>596</v>
      </c>
      <c r="G17" s="903" t="n">
        <f aca="false">IF(AND(DAY(B15)=1,MONTH(B15)=8),G15,G12+G15)</f>
        <v>6691.5</v>
      </c>
      <c r="H17" s="904" t="s">
        <v>596</v>
      </c>
      <c r="I17" s="905" t="n">
        <f aca="true">G17-(VLOOKUP(B15,DD_Normal_Data,CELL("Col",D14),FALSE()))</f>
        <v>269.5</v>
      </c>
    </row>
    <row r="18" customFormat="false" ht="15" hidden="false" customHeight="false" outlineLevel="0" collapsed="false">
      <c r="A18" s="893"/>
      <c r="B18" s="895"/>
      <c r="C18" s="13"/>
      <c r="D18" s="908" t="str">
        <f aca="false">IF(Weather_Input!I7=""," ",Weather_Input!I7)</f>
        <v>PARTLY CLOUDY WITH A 30% CHANCE OF P.M. SHOWERS…COOLER NEAR LAKE. OVE</v>
      </c>
      <c r="E18" s="901"/>
      <c r="F18" s="901"/>
      <c r="G18" s="903"/>
      <c r="H18" s="904"/>
      <c r="I18" s="905"/>
    </row>
    <row r="19" customFormat="false" ht="15" hidden="false" customHeight="false" outlineLevel="0" collapsed="false">
      <c r="A19" s="893"/>
      <c r="B19" s="899"/>
      <c r="C19" s="13"/>
      <c r="D19" s="908" t="str">
        <f aca="false">IF(Weather_Input!J7=""," ",Weather_Input!J7)</f>
        <v>RNIGHT…BECOMING FAIR.</v>
      </c>
      <c r="E19" s="901"/>
      <c r="F19" s="901"/>
      <c r="G19" s="903"/>
      <c r="H19" s="904"/>
      <c r="I19" s="905"/>
    </row>
    <row r="20" customFormat="false" ht="15" hidden="false" customHeight="false" outlineLevel="0" collapsed="false">
      <c r="A20" s="893" t="str">
        <f aca="false">CHOOSE(WEEKDAY(B20),"Sunday","Monday","Tuesday","Wednesday","Thursday","Friday","Saturday")</f>
        <v>Friday</v>
      </c>
      <c r="B20" s="899" t="n">
        <f aca="false">Weather_Input!A8</f>
        <v>37064</v>
      </c>
      <c r="C20" s="13"/>
      <c r="D20" s="900" t="s">
        <v>590</v>
      </c>
      <c r="E20" s="901" t="n">
        <f aca="false">Weather_Input!B8</f>
        <v>74</v>
      </c>
      <c r="F20" s="902" t="s">
        <v>591</v>
      </c>
      <c r="G20" s="903" t="n">
        <f aca="false">IF(E22&lt;65,65-(Weather_Input!B8+Weather_Input!C8)/2,0)</f>
        <v>2.5</v>
      </c>
      <c r="H20" s="904" t="s">
        <v>592</v>
      </c>
      <c r="I20" s="905" t="n">
        <f aca="true">G20-(VLOOKUP(B20,DD_Normal_Data,CELL("Col",B21),FALSE()))</f>
        <v>2.5</v>
      </c>
    </row>
    <row r="21" customFormat="false" ht="15" hidden="false" customHeight="false" outlineLevel="0" collapsed="false">
      <c r="A21" s="893"/>
      <c r="B21" s="899"/>
      <c r="C21" s="13"/>
      <c r="D21" s="900" t="s">
        <v>292</v>
      </c>
      <c r="E21" s="901" t="n">
        <f aca="false">Weather_Input!C8</f>
        <v>51</v>
      </c>
      <c r="F21" s="902" t="s">
        <v>593</v>
      </c>
      <c r="G21" s="903" t="n">
        <f aca="false">IF(DAY(B20)=1,G20,G16+G20)</f>
        <v>82</v>
      </c>
      <c r="H21" s="904" t="s">
        <v>594</v>
      </c>
      <c r="I21" s="905" t="n">
        <f aca="true">G21-(VLOOKUP(B20,DD_Normal_Data,CELL("Col",C22),FALSE()))</f>
        <v>36</v>
      </c>
      <c r="DE21" s="27" t="s">
        <v>598</v>
      </c>
    </row>
    <row r="22" customFormat="false" ht="15" hidden="false" customHeight="false" outlineLevel="0" collapsed="false">
      <c r="A22" s="893"/>
      <c r="B22" s="899"/>
      <c r="C22" s="13"/>
      <c r="D22" s="900" t="s">
        <v>595</v>
      </c>
      <c r="E22" s="901" t="n">
        <f aca="false">(Weather_Input!C8+Weather_Input!B8)/2</f>
        <v>62.5</v>
      </c>
      <c r="F22" s="902" t="s">
        <v>596</v>
      </c>
      <c r="G22" s="903" t="n">
        <f aca="false">IF(AND(DAY(B20)=1,MONTH(B20)=8),G20,G17+G20)</f>
        <v>6694</v>
      </c>
      <c r="H22" s="904" t="s">
        <v>596</v>
      </c>
      <c r="I22" s="905" t="n">
        <f aca="true">G22-(VLOOKUP(B20,DD_Normal_Data,CELL("Col",D19),FALSE()))</f>
        <v>272</v>
      </c>
    </row>
    <row r="23" customFormat="false" ht="15" hidden="false" customHeight="false" outlineLevel="0" collapsed="false">
      <c r="A23" s="893"/>
      <c r="B23" s="899"/>
      <c r="C23" s="13"/>
      <c r="D23" s="908" t="str">
        <f aca="false">IF(Weather_Input!I8=""," ",Weather_Input!I8)</f>
        <v>SUNNY…BUT COOLER NEAR THE LAKE.</v>
      </c>
      <c r="E23" s="903"/>
      <c r="F23" s="901"/>
      <c r="G23" s="903"/>
      <c r="H23" s="904"/>
      <c r="I23" s="905"/>
    </row>
    <row r="24" customFormat="false" ht="15" hidden="false" customHeight="false" outlineLevel="0" collapsed="false">
      <c r="A24" s="893"/>
      <c r="B24" s="895"/>
      <c r="C24" s="13"/>
      <c r="D24" s="908" t="str">
        <f aca="false">IF(Weather_Input!J8=""," ",Weather_Input!J8)</f>
        <v> </v>
      </c>
      <c r="E24" s="903"/>
      <c r="F24" s="901"/>
      <c r="G24" s="903"/>
      <c r="H24" s="904"/>
      <c r="I24" s="905"/>
    </row>
    <row r="25" customFormat="false" ht="15" hidden="false" customHeight="false" outlineLevel="0" collapsed="false">
      <c r="A25" s="893" t="str">
        <f aca="false">CHOOSE(WEEKDAY(B25),"Sunday","Monday","Tuesday","Wednesday","Thursday","Friday","Saturday")</f>
        <v>Saturday</v>
      </c>
      <c r="B25" s="899" t="n">
        <f aca="false">Weather_Input!A9</f>
        <v>37065</v>
      </c>
      <c r="C25" s="13"/>
      <c r="D25" s="900" t="s">
        <v>590</v>
      </c>
      <c r="E25" s="901" t="n">
        <f aca="false">Weather_Input!B9</f>
        <v>80</v>
      </c>
      <c r="F25" s="902" t="s">
        <v>591</v>
      </c>
      <c r="G25" s="903" t="n">
        <f aca="false">IF(E27&lt;65,65-(Weather_Input!B9+Weather_Input!C9)/2,0)</f>
        <v>0</v>
      </c>
      <c r="H25" s="904" t="s">
        <v>592</v>
      </c>
      <c r="I25" s="905" t="n">
        <f aca="true">G25-(VLOOKUP(B25,DD_Normal_Data,CELL("Col",B26),FALSE()))</f>
        <v>0</v>
      </c>
    </row>
    <row r="26" customFormat="false" ht="15" hidden="false" customHeight="false" outlineLevel="0" collapsed="false">
      <c r="A26" s="893"/>
      <c r="B26" s="899"/>
      <c r="C26" s="13"/>
      <c r="D26" s="900" t="s">
        <v>292</v>
      </c>
      <c r="E26" s="901" t="n">
        <f aca="false">Weather_Input!C9</f>
        <v>58</v>
      </c>
      <c r="F26" s="902" t="s">
        <v>593</v>
      </c>
      <c r="G26" s="903" t="n">
        <f aca="false">IF(DAY(B25)=1,G25,G21+G25)</f>
        <v>82</v>
      </c>
      <c r="H26" s="904" t="s">
        <v>594</v>
      </c>
      <c r="I26" s="905" t="n">
        <f aca="true">G26-(VLOOKUP(B25,DD_Normal_Data,CELL("Col",C27),FALSE()))</f>
        <v>36</v>
      </c>
      <c r="DE26" s="27" t="s">
        <v>599</v>
      </c>
    </row>
    <row r="27" customFormat="false" ht="15" hidden="false" customHeight="false" outlineLevel="0" collapsed="false">
      <c r="A27" s="893"/>
      <c r="B27" s="895"/>
      <c r="C27" s="13"/>
      <c r="D27" s="900" t="s">
        <v>595</v>
      </c>
      <c r="E27" s="901" t="n">
        <f aca="false">(Weather_Input!C9+Weather_Input!B9)/2</f>
        <v>69</v>
      </c>
      <c r="F27" s="902" t="s">
        <v>596</v>
      </c>
      <c r="G27" s="903" t="n">
        <f aca="false">IF(AND(DAY(B25)=1,MONTH(B25)=8),G25,G22+G25)</f>
        <v>6694</v>
      </c>
      <c r="H27" s="904" t="s">
        <v>596</v>
      </c>
      <c r="I27" s="905" t="n">
        <f aca="true">G27-(VLOOKUP(B25,DD_Normal_Data,CELL("Col",D24),FALSE()))</f>
        <v>272</v>
      </c>
    </row>
    <row r="28" customFormat="false" ht="15" hidden="false" customHeight="false" outlineLevel="0" collapsed="false">
      <c r="A28" s="893"/>
      <c r="B28" s="895"/>
      <c r="C28" s="13"/>
      <c r="D28" s="908" t="str">
        <f aca="false">IF(Weather_Input!I9=""," ",Weather_Input!I9)</f>
        <v>PARTLY CLOUDY…BUT COOLER NEAR THE LAKE.</v>
      </c>
      <c r="E28" s="903"/>
      <c r="F28" s="901"/>
      <c r="G28" s="903"/>
      <c r="H28" s="904"/>
      <c r="I28" s="905"/>
    </row>
    <row r="29" customFormat="false" ht="15" hidden="false" customHeight="false" outlineLevel="0" collapsed="false">
      <c r="A29" s="893"/>
      <c r="B29" s="895"/>
      <c r="C29" s="13"/>
      <c r="D29" s="908" t="str">
        <f aca="false">IF(Weather_Input!J9=""," ",Weather_Input!J9)</f>
        <v> </v>
      </c>
      <c r="E29" s="903"/>
      <c r="F29" s="903"/>
      <c r="G29" s="903"/>
      <c r="H29" s="904"/>
      <c r="I29" s="905"/>
    </row>
    <row r="30" customFormat="false" ht="15" hidden="false" customHeight="false" outlineLevel="0" collapsed="false">
      <c r="A30" s="893" t="str">
        <f aca="false">CHOOSE(WEEKDAY(B30),"Sunday","Monday","Tuesday","Wednesday","Thursday","Friday","Saturday")</f>
        <v>Sunday</v>
      </c>
      <c r="B30" s="899" t="n">
        <f aca="false">Weather_Input!A10</f>
        <v>37066</v>
      </c>
      <c r="C30" s="13"/>
      <c r="D30" s="900" t="s">
        <v>590</v>
      </c>
      <c r="E30" s="901" t="n">
        <f aca="false">Weather_Input!B10</f>
        <v>85</v>
      </c>
      <c r="F30" s="902" t="s">
        <v>591</v>
      </c>
      <c r="G30" s="903" t="n">
        <f aca="false">IF(E32&lt;65,65-(Weather_Input!B10+Weather_Input!C10)/2,0)</f>
        <v>0</v>
      </c>
      <c r="H30" s="904" t="s">
        <v>592</v>
      </c>
      <c r="I30" s="905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0" t="s">
        <v>292</v>
      </c>
      <c r="E31" s="901" t="n">
        <f aca="false">Weather_Input!C10</f>
        <v>62</v>
      </c>
      <c r="F31" s="902" t="s">
        <v>593</v>
      </c>
      <c r="G31" s="903" t="n">
        <f aca="false">IF(DAY(B30)=1,G30,G26+G30)</f>
        <v>82</v>
      </c>
      <c r="H31" s="904" t="s">
        <v>594</v>
      </c>
      <c r="I31" s="905" t="n">
        <f aca="true">G31-(VLOOKUP(B30,DD_Normal_Data,CELL("Col",C32),FALSE()))</f>
        <v>36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0" t="s">
        <v>595</v>
      </c>
      <c r="E32" s="901" t="n">
        <f aca="false">(Weather_Input!C10+Weather_Input!B10)/2</f>
        <v>73.5</v>
      </c>
      <c r="F32" s="902" t="s">
        <v>596</v>
      </c>
      <c r="G32" s="903" t="n">
        <f aca="false">IF(AND(DAY(B30)=1,MONTH(B30)=8),G30,G27+G30)</f>
        <v>6694</v>
      </c>
      <c r="H32" s="904" t="s">
        <v>596</v>
      </c>
      <c r="I32" s="905" t="n">
        <f aca="true">G32-(VLOOKUP(B30,DD_Normal_Data,CELL("Col",D29),FALSE()))</f>
        <v>272</v>
      </c>
    </row>
    <row r="33" customFormat="false" ht="15" hidden="false" customHeight="false" outlineLevel="0" collapsed="false">
      <c r="A33" s="13"/>
      <c r="B33" s="911"/>
      <c r="C33" s="13"/>
      <c r="D33" s="908" t="str">
        <f aca="false">IF(Weather_Input!I10=""," ",Weather_Input!I10)</f>
        <v>SUNNY.</v>
      </c>
      <c r="E33" s="13"/>
      <c r="F33" s="912"/>
      <c r="G33" s="13"/>
      <c r="H33" s="892"/>
      <c r="I33" s="13"/>
    </row>
    <row r="34" customFormat="false" ht="15.75" hidden="false" customHeight="false" outlineLevel="0" collapsed="false">
      <c r="A34" s="913"/>
      <c r="B34" s="914"/>
      <c r="C34" s="913"/>
      <c r="D34" s="915" t="str">
        <f aca="false">IF(Weather_Input!J10=""," ",Weather_Input!J10)</f>
        <v> </v>
      </c>
      <c r="E34" s="913"/>
      <c r="F34" s="916"/>
      <c r="G34" s="913"/>
      <c r="H34" s="917"/>
      <c r="I34" s="914"/>
    </row>
    <row r="35" customFormat="false" ht="15" hidden="false" customHeight="false" outlineLevel="0" collapsed="false">
      <c r="A35" s="894" t="s">
        <v>600</v>
      </c>
      <c r="B35" s="893" t="s">
        <v>271</v>
      </c>
      <c r="C35" s="13"/>
      <c r="D35" s="13"/>
      <c r="E35" s="13"/>
      <c r="F35" s="16"/>
      <c r="G35" s="918"/>
      <c r="H35" s="918"/>
      <c r="I35" s="13"/>
    </row>
    <row r="36" customFormat="false" ht="15" hidden="false" customHeight="false" outlineLevel="0" collapsed="false">
      <c r="A36" s="919" t="s">
        <v>66</v>
      </c>
      <c r="B36" s="920" t="n">
        <f aca="false">B5</f>
        <v>37061</v>
      </c>
      <c r="C36" s="920" t="n">
        <f aca="false">B10</f>
        <v>37062</v>
      </c>
      <c r="D36" s="920" t="n">
        <f aca="false">B15</f>
        <v>37063</v>
      </c>
      <c r="E36" s="920" t="n">
        <f aca="false">B20</f>
        <v>37064</v>
      </c>
      <c r="F36" s="920" t="n">
        <f aca="false">B25</f>
        <v>37065</v>
      </c>
      <c r="G36" s="920" t="n">
        <f aca="false">B30</f>
        <v>37066</v>
      </c>
      <c r="H36" s="27"/>
      <c r="I36" s="13"/>
    </row>
    <row r="37" customFormat="false" ht="15" hidden="false" customHeight="false" outlineLevel="0" collapsed="false">
      <c r="A37" s="13" t="s">
        <v>74</v>
      </c>
      <c r="B37" s="921" t="n">
        <f aca="true">(VLOOKUP(B36,PGL_Sendouts,(CELL("COL",PGL_Deliveries!C6))))/1000</f>
        <v>215</v>
      </c>
      <c r="C37" s="921" t="n">
        <f aca="true">(VLOOKUP(C36,PGL_Sendouts,(CELL("COL",PGL_Deliveries!C7))))/1000</f>
        <v>220</v>
      </c>
      <c r="D37" s="921" t="n">
        <f aca="true">(VLOOKUP(D36,PGL_Sendouts,(CELL("COL",PGL_Deliveries!C8))))/1000</f>
        <v>225</v>
      </c>
      <c r="E37" s="921" t="n">
        <f aca="true">(VLOOKUP(E36,PGL_Sendouts,(CELL("COL",PGL_Deliveries!C9))))/1000</f>
        <v>205</v>
      </c>
      <c r="F37" s="921" t="n">
        <f aca="true">(VLOOKUP(F36,PGL_Sendouts,(CELL("COL",PGL_Deliveries!C10))))/1000</f>
        <v>185</v>
      </c>
      <c r="G37" s="921" t="n">
        <f aca="true">(VLOOKUP(G36,PGL_Sendouts,(CELL("COL",PGL_Deliveries!C10))))/1000</f>
        <v>200</v>
      </c>
      <c r="H37" s="27"/>
      <c r="I37" s="13"/>
    </row>
    <row r="38" customFormat="false" ht="15" hidden="false" customHeight="false" outlineLevel="0" collapsed="false">
      <c r="A38" s="13" t="s">
        <v>601</v>
      </c>
      <c r="B38" s="921" t="n">
        <f aca="false">PGL_6_Day_Report!D25</f>
        <v>367.84615</v>
      </c>
      <c r="C38" s="921" t="n">
        <f aca="false">PGL_6_Day_Report!E25</f>
        <v>357.525</v>
      </c>
      <c r="D38" s="921" t="n">
        <f aca="false">PGL_6_Day_Report!F25</f>
        <v>366.525</v>
      </c>
      <c r="E38" s="921" t="n">
        <f aca="false">PGL_6_Day_Report!G25</f>
        <v>346.525</v>
      </c>
      <c r="F38" s="921" t="n">
        <f aca="false">PGL_6_Day_Report!H25</f>
        <v>326.525</v>
      </c>
      <c r="G38" s="921" t="n">
        <f aca="false">PGL_6_Day_Report!I25</f>
        <v>341.525</v>
      </c>
      <c r="H38" s="27"/>
      <c r="I38" s="13"/>
    </row>
    <row r="39" customFormat="false" ht="15" hidden="false" customHeight="false" outlineLevel="0" collapsed="false">
      <c r="A39" s="922" t="s">
        <v>177</v>
      </c>
      <c r="B39" s="921" t="n">
        <f aca="false">SUM(PGL_Supplies!Y7:AD7)/1000</f>
        <v>203.027</v>
      </c>
      <c r="C39" s="921" t="n">
        <f aca="false">SUM(PGL_Supplies!Y8:AD8)/1000</f>
        <v>216.434</v>
      </c>
      <c r="D39" s="921" t="n">
        <f aca="false">SUM(PGL_Supplies!Y9:AD9)/1000</f>
        <v>196.434</v>
      </c>
      <c r="E39" s="921" t="n">
        <f aca="false">SUM(PGL_Supplies!Y10:AD10)/1000</f>
        <v>196.434</v>
      </c>
      <c r="F39" s="921" t="n">
        <f aca="false">SUM(PGL_Supplies!Y11:AD11)/1000</f>
        <v>196.434</v>
      </c>
      <c r="G39" s="921" t="n">
        <f aca="false">SUM(PGL_Supplies!Y12:AD12)/1000</f>
        <v>196.434</v>
      </c>
      <c r="H39" s="27"/>
      <c r="I39" s="13"/>
    </row>
    <row r="40" customFormat="false" ht="15" hidden="false" customHeight="false" outlineLevel="0" collapsed="false">
      <c r="A40" s="922" t="s">
        <v>602</v>
      </c>
      <c r="B40" s="921" t="n">
        <f aca="false">(PGL_Supplies!M7+PGL_Supplies!N7+PGL_Supplies!O7+PGL_Supplies!Q7+PGL_Supplies!R7)/1000</f>
        <v>0</v>
      </c>
      <c r="C40" s="921" t="n">
        <f aca="false">(PGL_Supplies!M8+PGL_Supplies!N8+PGL_Supplies!O8+PGL_Supplies!Q8+PGL_Supplies!R8)/1000</f>
        <v>0</v>
      </c>
      <c r="D40" s="921" t="n">
        <f aca="false">(PGL_Supplies!M9+PGL_Supplies!N9+PGL_Supplies!O9+PGL_Supplies!Q9+PGL_Supplies!R9)/1000</f>
        <v>0</v>
      </c>
      <c r="E40" s="921" t="n">
        <f aca="false">(PGL_Supplies!M10+PGL_Supplies!N10+PGL_Supplies!O10+PGL_Supplies!Q10+PGL_Supplies!R10)/1000</f>
        <v>0</v>
      </c>
      <c r="F40" s="921" t="n">
        <f aca="false">(PGL_Supplies!M11+PGL_Supplies!N11+PGL_Supplies!O11+PGL_Supplies!Q11+PGL_Supplies!R11)/1000</f>
        <v>0</v>
      </c>
      <c r="G40" s="921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2" t="s">
        <v>603</v>
      </c>
      <c r="B41" s="921" t="n">
        <f aca="false">SUM(PGL_Requirements!Q7:T7)/1000</f>
        <v>0.6</v>
      </c>
      <c r="C41" s="921" t="n">
        <f aca="false">SUM(PGL_Requirements!Q7:T7)/1000</f>
        <v>0.6</v>
      </c>
      <c r="D41" s="921" t="n">
        <f aca="false">SUM(PGL_Requirements!Q7:T7)/1000</f>
        <v>0.6</v>
      </c>
      <c r="E41" s="921" t="n">
        <f aca="false">SUM(PGL_Requirements!Q7:T7)/1000</f>
        <v>0.6</v>
      </c>
      <c r="F41" s="921" t="n">
        <f aca="false">SUM(PGL_Requirements!Q7:T7)/1000</f>
        <v>0.6</v>
      </c>
      <c r="G41" s="921" t="n">
        <f aca="false">SUM(PGL_Requirements!Q7:T7)/1000</f>
        <v>0.6</v>
      </c>
      <c r="H41" s="27"/>
      <c r="I41" s="13"/>
    </row>
    <row r="42" customFormat="false" ht="15" hidden="false" customHeight="false" outlineLevel="0" collapsed="false">
      <c r="A42" s="13" t="s">
        <v>604</v>
      </c>
      <c r="B42" s="921" t="n">
        <f aca="false">PGL_Supplies!U7/1000</f>
        <v>122.53</v>
      </c>
      <c r="C42" s="921" t="n">
        <f aca="false">PGL_Supplies!U8/1000</f>
        <v>120.055</v>
      </c>
      <c r="D42" s="921" t="n">
        <f aca="false">PGL_Supplies!U9/1000</f>
        <v>120.055</v>
      </c>
      <c r="E42" s="921" t="n">
        <f aca="false">PGL_Supplies!U10/1000</f>
        <v>120.055</v>
      </c>
      <c r="F42" s="921" t="n">
        <f aca="false">PGL_Supplies!U11/1000</f>
        <v>120.055</v>
      </c>
      <c r="G42" s="921" t="n">
        <f aca="false">PGL_Supplies!U12/1000</f>
        <v>120.055</v>
      </c>
      <c r="H42" s="27"/>
      <c r="I42" s="13"/>
    </row>
    <row r="43" customFormat="false" ht="15" hidden="false" customHeight="false" outlineLevel="0" collapsed="false">
      <c r="B43" s="923"/>
      <c r="C43" s="923"/>
      <c r="D43" s="923"/>
      <c r="E43" s="924"/>
      <c r="F43" s="923"/>
      <c r="G43" s="923"/>
      <c r="H43" s="27"/>
      <c r="I43" s="13"/>
    </row>
    <row r="44" customFormat="false" ht="15" hidden="false" customHeight="false" outlineLevel="0" collapsed="false">
      <c r="A44" s="919" t="s">
        <v>130</v>
      </c>
      <c r="B44" s="920" t="n">
        <f aca="false">B36</f>
        <v>37061</v>
      </c>
      <c r="C44" s="920" t="n">
        <f aca="false">C36</f>
        <v>37062</v>
      </c>
      <c r="D44" s="920" t="n">
        <f aca="false">D36</f>
        <v>37063</v>
      </c>
      <c r="E44" s="920" t="n">
        <f aca="false">E36</f>
        <v>37064</v>
      </c>
      <c r="F44" s="920" t="n">
        <f aca="false">F36</f>
        <v>37065</v>
      </c>
      <c r="G44" s="920" t="n">
        <f aca="false">G36</f>
        <v>37066</v>
      </c>
      <c r="H44" s="27"/>
      <c r="I44" s="13"/>
    </row>
    <row r="45" customFormat="false" ht="15" hidden="false" customHeight="false" outlineLevel="0" collapsed="false">
      <c r="A45" s="13" t="s">
        <v>74</v>
      </c>
      <c r="B45" s="921" t="n">
        <f aca="false">NSG_6_Day_Report!D6</f>
        <v>36</v>
      </c>
      <c r="C45" s="921" t="n">
        <f aca="false">NSG_6_Day_Report!E6</f>
        <v>37</v>
      </c>
      <c r="D45" s="921" t="n">
        <f aca="false">NSG_6_Day_Report!F6</f>
        <v>38</v>
      </c>
      <c r="E45" s="921" t="n">
        <f aca="false">NSG_6_Day_Report!G6</f>
        <v>36</v>
      </c>
      <c r="F45" s="921" t="n">
        <f aca="false">NSG_6_Day_Report!H6</f>
        <v>33</v>
      </c>
      <c r="G45" s="921" t="n">
        <f aca="false">NSG_6_Day_Report!I6</f>
        <v>36</v>
      </c>
      <c r="H45" s="27"/>
      <c r="I45" s="13"/>
    </row>
    <row r="46" customFormat="false" ht="15" hidden="false" customHeight="false" outlineLevel="0" collapsed="false">
      <c r="A46" s="922" t="s">
        <v>601</v>
      </c>
      <c r="B46" s="921" t="n">
        <f aca="false">NSG_6_Day_Report!D11</f>
        <v>43.675</v>
      </c>
      <c r="C46" s="921" t="n">
        <f aca="false">NSG_6_Day_Report!E11</f>
        <v>43.76</v>
      </c>
      <c r="D46" s="921" t="n">
        <f aca="false">NSG_6_Day_Report!F11</f>
        <v>40</v>
      </c>
      <c r="E46" s="921" t="n">
        <f aca="false">NSG_6_Day_Report!G11</f>
        <v>38</v>
      </c>
      <c r="F46" s="921" t="n">
        <f aca="false">NSG_6_Day_Report!H11</f>
        <v>35</v>
      </c>
      <c r="G46" s="921" t="n">
        <f aca="false">NSG_6_Day_Report!I11</f>
        <v>38</v>
      </c>
      <c r="H46" s="27"/>
      <c r="I46" s="13"/>
    </row>
    <row r="47" customFormat="false" ht="15" hidden="false" customHeight="false" outlineLevel="0" collapsed="false">
      <c r="A47" s="922" t="s">
        <v>177</v>
      </c>
      <c r="B47" s="921" t="n">
        <f aca="false">SUM(NSG_Supplies!O7:Q7)/1000</f>
        <v>43.114</v>
      </c>
      <c r="C47" s="921" t="n">
        <f aca="false">SUM(NSG_Supplies!O8:Q8)/1000</f>
        <v>43.764</v>
      </c>
      <c r="D47" s="921" t="n">
        <f aca="false">SUM(NSG_Supplies!O9:Q9)/1000</f>
        <v>43.764</v>
      </c>
      <c r="E47" s="921" t="n">
        <f aca="false">SUM(NSG_Supplies!O10:Q10)/1000</f>
        <v>43.764</v>
      </c>
      <c r="F47" s="921" t="n">
        <f aca="false">SUM(NSG_Supplies!O11:Q11)/1000</f>
        <v>43.764</v>
      </c>
      <c r="G47" s="921" t="n">
        <f aca="false">SUM(NSG_Supplies!O12:Q12)/1000</f>
        <v>43.764</v>
      </c>
      <c r="H47" s="27"/>
      <c r="I47" s="13"/>
    </row>
    <row r="48" customFormat="false" ht="15" hidden="false" customHeight="false" outlineLevel="0" collapsed="false">
      <c r="A48" s="922" t="s">
        <v>602</v>
      </c>
      <c r="B48" s="921" t="n">
        <f aca="false">SUM(NSG_Supplies!H7:L7)/1000</f>
        <v>0</v>
      </c>
      <c r="C48" s="921" t="n">
        <f aca="false">SUM(NSG_Supplies!H8:L8)/1000</f>
        <v>0</v>
      </c>
      <c r="D48" s="921" t="n">
        <f aca="false">SUM(NSG_Supplies!H9:L9)/1000</f>
        <v>0</v>
      </c>
      <c r="E48" s="921" t="n">
        <f aca="false">SUM(NSG_Supplies!H10:L10)/1000</f>
        <v>0</v>
      </c>
      <c r="F48" s="921" t="n">
        <f aca="false">SUM(NSG_Supplies!H11:L11)/1000</f>
        <v>0</v>
      </c>
      <c r="G48" s="921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2" t="s">
        <v>603</v>
      </c>
      <c r="B49" s="921" t="n">
        <f aca="false">SUM(NSG_Requirements!L7:R7)/1000</f>
        <v>0</v>
      </c>
      <c r="C49" s="921" t="n">
        <f aca="false">SUM(NSG_Requirements!L8:R8)/1000</f>
        <v>0</v>
      </c>
      <c r="D49" s="921" t="n">
        <f aca="false">SUM(NSG_Requirements!L9:R9)/1000</f>
        <v>0</v>
      </c>
      <c r="E49" s="921" t="n">
        <f aca="false">SUM(NSG_Requirements!L10:R10)/1000</f>
        <v>0</v>
      </c>
      <c r="F49" s="921" t="n">
        <f aca="false">SUM(NSG_Requirements!L11:R11)/1000</f>
        <v>0</v>
      </c>
      <c r="G49" s="921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604</v>
      </c>
      <c r="B50" s="921" t="n">
        <f aca="false">NSG_Supplies!R7/1000</f>
        <v>16.025</v>
      </c>
      <c r="C50" s="921" t="n">
        <f aca="false">NSG_Supplies!R8/1000</f>
        <v>16.675</v>
      </c>
      <c r="D50" s="921" t="n">
        <f aca="false">NSG_Supplies!R9/1000</f>
        <v>16.675</v>
      </c>
      <c r="E50" s="921" t="n">
        <f aca="false">NSG_Supplies!R10/1000</f>
        <v>16.675</v>
      </c>
      <c r="F50" s="921" t="n">
        <f aca="false">NSG_Supplies!R11/1000</f>
        <v>16.675</v>
      </c>
      <c r="G50" s="921" t="n">
        <f aca="false">NSG_Supplies!R12/1000</f>
        <v>16.675</v>
      </c>
      <c r="H50" s="27"/>
      <c r="I50" s="13"/>
    </row>
    <row r="51" customFormat="false" ht="15" hidden="false" customHeight="false" outlineLevel="0" collapsed="false">
      <c r="B51" s="923"/>
      <c r="C51" s="923"/>
      <c r="D51" s="923"/>
      <c r="E51" s="924"/>
      <c r="F51" s="923"/>
      <c r="G51" s="923"/>
      <c r="H51" s="27"/>
      <c r="I51" s="13"/>
    </row>
    <row r="52" customFormat="false" ht="15" hidden="false" customHeight="false" outlineLevel="0" collapsed="false">
      <c r="A52" s="919" t="s">
        <v>605</v>
      </c>
      <c r="B52" s="920" t="n">
        <f aca="false">B36</f>
        <v>37061</v>
      </c>
      <c r="C52" s="920" t="n">
        <f aca="false">C36</f>
        <v>37062</v>
      </c>
      <c r="D52" s="920" t="n">
        <f aca="false">D36</f>
        <v>37063</v>
      </c>
      <c r="E52" s="920" t="n">
        <f aca="false">E36</f>
        <v>37064</v>
      </c>
      <c r="F52" s="920" t="n">
        <f aca="false">F36</f>
        <v>37065</v>
      </c>
      <c r="G52" s="920" t="n">
        <f aca="false">G36</f>
        <v>37066</v>
      </c>
      <c r="H52" s="27"/>
      <c r="I52" s="13"/>
    </row>
    <row r="53" customFormat="false" ht="15" hidden="false" customHeight="false" outlineLevel="0" collapsed="false">
      <c r="A53" s="925" t="s">
        <v>606</v>
      </c>
      <c r="B53" s="921" t="n">
        <f aca="false">PGL_Requirements!O7/1000</f>
        <v>131.31</v>
      </c>
      <c r="C53" s="921" t="n">
        <f aca="false">PGL_Requirements!O8/1000</f>
        <v>135</v>
      </c>
      <c r="D53" s="921" t="n">
        <f aca="false">PGL_Requirements!O9/1000</f>
        <v>135</v>
      </c>
      <c r="E53" s="921" t="n">
        <f aca="false">PGL_Requirements!O10/1000</f>
        <v>135</v>
      </c>
      <c r="F53" s="921" t="n">
        <f aca="false">PGL_Requirements!O11/1000</f>
        <v>135</v>
      </c>
      <c r="G53" s="921" t="n">
        <f aca="false">PGL_Requirements!O12/1000</f>
        <v>135</v>
      </c>
      <c r="H53" s="27"/>
      <c r="I53" s="13"/>
    </row>
    <row r="54" customFormat="false" ht="15" hidden="false" customHeight="false" outlineLevel="0" collapsed="false">
      <c r="A54" s="13" t="s">
        <v>607</v>
      </c>
      <c r="B54" s="921" t="n">
        <f aca="false">PGL_Supplies!L7/1000</f>
        <v>0</v>
      </c>
      <c r="C54" s="921" t="n">
        <f aca="false">PGL_Supplies!L8/1000</f>
        <v>0</v>
      </c>
      <c r="D54" s="921" t="n">
        <f aca="false">PGL_Supplies!L9/1000</f>
        <v>0</v>
      </c>
      <c r="E54" s="921" t="n">
        <f aca="false">PGL_Supplies!L10/1000</f>
        <v>0</v>
      </c>
      <c r="F54" s="921" t="n">
        <f aca="false">PGL_Supplies!L11/1000</f>
        <v>0</v>
      </c>
      <c r="G54" s="921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26" t="s">
        <v>608</v>
      </c>
    </row>
    <row r="57" customFormat="false" ht="15.75" hidden="false" customHeight="false" outlineLevel="0" collapsed="false">
      <c r="A57" s="890" t="s">
        <v>609</v>
      </c>
    </row>
    <row r="58" customFormat="false" ht="15.75" hidden="false" customHeight="false" outlineLevel="0" collapsed="false">
      <c r="A58" s="890" t="s">
        <v>610</v>
      </c>
      <c r="G58" s="927"/>
    </row>
    <row r="59" customFormat="false" ht="15.75" hidden="false" customHeight="false" outlineLevel="0" collapsed="false">
      <c r="A59" s="890" t="s">
        <v>611</v>
      </c>
    </row>
    <row r="60" customFormat="false" ht="15.75" hidden="false" customHeight="false" outlineLevel="0" collapsed="false">
      <c r="A60" s="890" t="s">
        <v>612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28" t="s">
        <v>0</v>
      </c>
      <c r="B1" s="928"/>
      <c r="C1" s="929" t="s">
        <v>0</v>
      </c>
      <c r="D1" s="929"/>
      <c r="E1" s="929"/>
      <c r="F1" s="929"/>
    </row>
    <row r="2" customFormat="false" ht="15.75" hidden="false" customHeight="false" outlineLevel="0" collapsed="false">
      <c r="A2" s="0" t="s">
        <v>0</v>
      </c>
      <c r="C2" s="930"/>
      <c r="D2" s="930"/>
      <c r="E2" s="930"/>
      <c r="F2" s="931"/>
    </row>
    <row r="3" customFormat="false" ht="15.75" hidden="false" customHeight="false" outlineLevel="0" collapsed="false">
      <c r="A3" s="932" t="s">
        <v>613</v>
      </c>
    </row>
    <row r="4" customFormat="false" ht="15" hidden="false" customHeight="false" outlineLevel="0" collapsed="false">
      <c r="A4" s="933"/>
      <c r="B4" s="934" t="str">
        <f aca="false">Six_Day_Summary!A10</f>
        <v>Wednesday</v>
      </c>
      <c r="C4" s="935" t="str">
        <f aca="false">Six_Day_Summary!A15</f>
        <v>Thursday</v>
      </c>
      <c r="D4" s="935" t="str">
        <f aca="false">Six_Day_Summary!A20</f>
        <v>Friday</v>
      </c>
      <c r="E4" s="935" t="str">
        <f aca="false">Six_Day_Summary!A25</f>
        <v>Saturday</v>
      </c>
      <c r="F4" s="936" t="str">
        <f aca="false">Six_Day_Summary!A30</f>
        <v>Sunday</v>
      </c>
      <c r="G4" s="937"/>
    </row>
    <row r="5" customFormat="false" ht="15" hidden="false" customHeight="false" outlineLevel="0" collapsed="false">
      <c r="A5" s="938" t="s">
        <v>614</v>
      </c>
      <c r="B5" s="939" t="n">
        <f aca="false">Weather_Input!A6</f>
        <v>37062</v>
      </c>
      <c r="C5" s="940" t="n">
        <f aca="false">Weather_Input!A7</f>
        <v>37063</v>
      </c>
      <c r="D5" s="940" t="n">
        <f aca="false">Weather_Input!A8</f>
        <v>37064</v>
      </c>
      <c r="E5" s="940" t="n">
        <f aca="false">Weather_Input!A9</f>
        <v>37065</v>
      </c>
      <c r="F5" s="941" t="n">
        <f aca="false">Weather_Input!A10</f>
        <v>37066</v>
      </c>
      <c r="G5" s="937"/>
    </row>
    <row r="6" customFormat="false" ht="15" hidden="false" customHeight="false" outlineLevel="0" collapsed="false">
      <c r="A6" s="937" t="s">
        <v>615</v>
      </c>
      <c r="B6" s="942" t="n">
        <f aca="false">PGL_Supplies!AB8/1000+PGL_Supplies!K8/1000-PGL_Requirements!N8/1000-PGL_Requirements!S8/1000+B8</f>
        <v>66.372</v>
      </c>
      <c r="C6" s="942" t="n">
        <f aca="false">PGL_Supplies!AB9/1000+PGL_Supplies!K9/1000-PGL_Requirements!N9/1000+C15-PGL_Requirements!S9/1000</f>
        <v>41.342</v>
      </c>
      <c r="D6" s="942" t="n">
        <f aca="false">PGL_Supplies!AB10/1000+PGL_Supplies!K10/1000-PGL_Requirements!N10/1000+D15-PGL_Requirements!S10/1000</f>
        <v>41.342</v>
      </c>
      <c r="E6" s="942" t="n">
        <f aca="false">PGL_Supplies!AB11/1000+PGL_Supplies!K11/1000-PGL_Requirements!N11/1000+E15-PGL_Requirements!S11/1000</f>
        <v>41.342</v>
      </c>
      <c r="F6" s="943" t="n">
        <f aca="false">PGL_Supplies!AB12/1000+PGL_Supplies!K12/1000-PGL_Requirements!N12/1000+F15-PGL_Requirements!S12/1000</f>
        <v>41.342</v>
      </c>
      <c r="G6" s="937"/>
      <c r="H6" s="0" t="s">
        <v>0</v>
      </c>
    </row>
    <row r="7" customFormat="false" ht="15" hidden="false" customHeight="false" outlineLevel="0" collapsed="false">
      <c r="A7" s="937" t="s">
        <v>616</v>
      </c>
      <c r="B7" s="942" t="n">
        <f aca="false">PGL_Supplies!M8/1000</f>
        <v>0</v>
      </c>
      <c r="C7" s="942" t="n">
        <f aca="false">PGL_Supplies!M9/1000</f>
        <v>0</v>
      </c>
      <c r="D7" s="942" t="n">
        <f aca="false">PGL_Supplies!M10/1000</f>
        <v>0</v>
      </c>
      <c r="E7" s="942" t="n">
        <f aca="false">PGL_Supplies!M11/1000</f>
        <v>0</v>
      </c>
      <c r="F7" s="944" t="n">
        <f aca="false">PGL_Supplies!M12/1000</f>
        <v>0</v>
      </c>
      <c r="G7" s="937"/>
    </row>
    <row r="8" customFormat="false" ht="15" hidden="false" customHeight="false" outlineLevel="0" collapsed="false">
      <c r="A8" s="937" t="s">
        <v>617</v>
      </c>
      <c r="B8" s="942" t="n">
        <f aca="false">PGL_Supplies!N8/1000</f>
        <v>0</v>
      </c>
      <c r="C8" s="942" t="n">
        <f aca="false">PGL_Supplies!N9/1000</f>
        <v>0</v>
      </c>
      <c r="D8" s="942" t="n">
        <f aca="false">PGL_Supplies!N10/1000</f>
        <v>0</v>
      </c>
      <c r="E8" s="942" t="n">
        <f aca="false">PGL_Supplies!N11/1000</f>
        <v>0</v>
      </c>
      <c r="F8" s="944" t="n">
        <f aca="false">PGL_Supplies!N12/1000</f>
        <v>0</v>
      </c>
      <c r="G8" s="937"/>
    </row>
    <row r="9" customFormat="false" ht="15" hidden="false" customHeight="false" outlineLevel="0" collapsed="false">
      <c r="A9" s="937" t="s">
        <v>618</v>
      </c>
      <c r="B9" s="942" t="n">
        <v>0</v>
      </c>
      <c r="C9" s="942" t="n">
        <v>0</v>
      </c>
      <c r="D9" s="942" t="n">
        <v>0</v>
      </c>
      <c r="E9" s="942" t="n">
        <v>0</v>
      </c>
      <c r="F9" s="944" t="n">
        <v>0</v>
      </c>
      <c r="G9" s="937"/>
    </row>
    <row r="10" customFormat="false" ht="15" hidden="false" customHeight="false" outlineLevel="0" collapsed="false">
      <c r="A10" s="945"/>
      <c r="B10" s="946"/>
      <c r="C10" s="946"/>
      <c r="D10" s="946"/>
      <c r="E10" s="946"/>
      <c r="F10" s="947"/>
      <c r="G10" s="937"/>
    </row>
    <row r="11" customFormat="false" ht="15" hidden="false" customHeight="false" outlineLevel="0" collapsed="false">
      <c r="A11" s="937" t="s">
        <v>619</v>
      </c>
      <c r="B11" s="942" t="n">
        <v>0</v>
      </c>
      <c r="C11" s="942" t="n">
        <v>0</v>
      </c>
      <c r="D11" s="942" t="n">
        <v>0</v>
      </c>
      <c r="E11" s="942" t="n">
        <v>0</v>
      </c>
      <c r="F11" s="944" t="n">
        <v>0</v>
      </c>
      <c r="G11" s="937"/>
      <c r="H11" s="40" t="s">
        <v>0</v>
      </c>
    </row>
    <row r="12" customFormat="false" ht="15" hidden="false" customHeight="false" outlineLevel="0" collapsed="false">
      <c r="A12" s="937" t="s">
        <v>620</v>
      </c>
      <c r="B12" s="942" t="n">
        <f aca="false">PGL_Requirements!R8/1000</f>
        <v>0</v>
      </c>
      <c r="C12" s="942" t="n">
        <f aca="false">PGL_Requirements!R9/1000</f>
        <v>0</v>
      </c>
      <c r="D12" s="942" t="n">
        <f aca="false">PGL_Requirements!R10/1000</f>
        <v>0</v>
      </c>
      <c r="E12" s="942" t="n">
        <f aca="false">PGL_Requirements!R11/1000</f>
        <v>0</v>
      </c>
      <c r="F12" s="944" t="n">
        <f aca="false">PGL_Requirements!R12/1000</f>
        <v>0</v>
      </c>
      <c r="G12" s="937"/>
    </row>
    <row r="13" customFormat="false" ht="15" hidden="false" customHeight="false" outlineLevel="0" collapsed="false">
      <c r="A13" s="937" t="s">
        <v>621</v>
      </c>
      <c r="B13" s="942" t="n">
        <v>0</v>
      </c>
      <c r="C13" s="942" t="n">
        <v>0</v>
      </c>
      <c r="D13" s="942" t="n">
        <v>0</v>
      </c>
      <c r="E13" s="942" t="n">
        <v>0</v>
      </c>
      <c r="F13" s="944" t="n">
        <v>0</v>
      </c>
      <c r="G13" s="937"/>
    </row>
    <row r="14" customFormat="false" ht="15" hidden="false" customHeight="false" outlineLevel="0" collapsed="false">
      <c r="A14" s="937" t="s">
        <v>442</v>
      </c>
      <c r="B14" s="942" t="n">
        <v>0</v>
      </c>
      <c r="C14" s="948"/>
      <c r="D14" s="948"/>
      <c r="E14" s="948"/>
      <c r="F14" s="944"/>
      <c r="G14" s="937"/>
    </row>
    <row r="15" customFormat="false" ht="15" hidden="false" customHeight="false" outlineLevel="0" collapsed="false">
      <c r="A15" s="937" t="s">
        <v>622</v>
      </c>
      <c r="B15" s="949" t="n">
        <v>0</v>
      </c>
      <c r="C15" s="949" t="n">
        <v>0</v>
      </c>
      <c r="D15" s="949" t="n">
        <v>0</v>
      </c>
      <c r="E15" s="949" t="n">
        <v>0</v>
      </c>
      <c r="F15" s="950" t="n">
        <v>0</v>
      </c>
      <c r="G15" s="40"/>
    </row>
    <row r="16" customFormat="false" ht="15" hidden="false" customHeight="false" outlineLevel="0" collapsed="false">
      <c r="A16" s="937" t="s">
        <v>623</v>
      </c>
      <c r="B16" s="949" t="n">
        <v>0</v>
      </c>
      <c r="C16" s="948"/>
      <c r="D16" s="948"/>
      <c r="E16" s="948"/>
      <c r="F16" s="944"/>
      <c r="G16" s="937"/>
    </row>
    <row r="17" customFormat="false" ht="15.75" hidden="false" customHeight="false" outlineLevel="0" collapsed="false">
      <c r="A17" s="951" t="s">
        <v>624</v>
      </c>
      <c r="B17" s="952" t="n">
        <v>0</v>
      </c>
      <c r="C17" s="953"/>
      <c r="D17" s="953"/>
      <c r="E17" s="953"/>
      <c r="F17" s="954"/>
      <c r="G17" s="937"/>
    </row>
    <row r="20" customFormat="false" ht="15.75" hidden="false" customHeight="false" outlineLevel="0" collapsed="false">
      <c r="A20" s="955" t="s">
        <v>625</v>
      </c>
      <c r="B20" s="880"/>
      <c r="C20" s="880"/>
      <c r="D20" s="880"/>
      <c r="E20" s="880"/>
      <c r="F20" s="880"/>
    </row>
    <row r="21" customFormat="false" ht="15" hidden="false" customHeight="false" outlineLevel="0" collapsed="false">
      <c r="A21" s="933"/>
      <c r="B21" s="956" t="str">
        <f aca="false">B4</f>
        <v>Wednesday</v>
      </c>
      <c r="C21" s="956" t="str">
        <f aca="false">C4</f>
        <v>Thursday</v>
      </c>
      <c r="D21" s="956" t="str">
        <f aca="false">D4</f>
        <v>Friday</v>
      </c>
      <c r="E21" s="956" t="str">
        <f aca="false">E4</f>
        <v>Saturday</v>
      </c>
      <c r="F21" s="957" t="str">
        <f aca="false">F4</f>
        <v>Sunday</v>
      </c>
      <c r="G21" s="937"/>
    </row>
    <row r="22" customFormat="false" ht="15" hidden="false" customHeight="false" outlineLevel="0" collapsed="false">
      <c r="A22" s="958" t="s">
        <v>614</v>
      </c>
      <c r="B22" s="959" t="n">
        <f aca="false">B5</f>
        <v>37062</v>
      </c>
      <c r="C22" s="959" t="n">
        <f aca="false">C5</f>
        <v>37063</v>
      </c>
      <c r="D22" s="959" t="n">
        <f aca="false">D5</f>
        <v>37064</v>
      </c>
      <c r="E22" s="959" t="n">
        <f aca="false">E5</f>
        <v>37065</v>
      </c>
      <c r="F22" s="960" t="n">
        <f aca="false">F5</f>
        <v>37066</v>
      </c>
      <c r="G22" s="937"/>
    </row>
    <row r="23" customFormat="false" ht="15" hidden="false" customHeight="false" outlineLevel="0" collapsed="false">
      <c r="A23" s="937" t="s">
        <v>615</v>
      </c>
      <c r="B23" s="948" t="n">
        <f aca="false">NSG_Supplies!Q8/1000+NSG_Supplies!F8/1000-NSG_Requirements!H8/1000</f>
        <v>26.549</v>
      </c>
      <c r="C23" s="948" t="n">
        <f aca="false">NSG_Supplies!Q9/1000+NSG_Supplies!F9/1000-NSG_Requirements!H9/1000</f>
        <v>26.549</v>
      </c>
      <c r="D23" s="948" t="n">
        <f aca="false">NSG_Supplies!Q10/1000+NSG_Supplies!F10/1000-NSG_Requirements!H10/1000</f>
        <v>26.549</v>
      </c>
      <c r="E23" s="948" t="n">
        <f aca="false">NSG_Supplies!Q12/1000+NSG_Supplies!F11/1000-NSG_Requirements!H11/1000</f>
        <v>26.549</v>
      </c>
      <c r="F23" s="943" t="n">
        <f aca="false">NSG_Supplies!Q12/1000+NSG_Supplies!F12/1000-NSG_Requirements!H12/1000</f>
        <v>26.549</v>
      </c>
      <c r="G23" s="937"/>
    </row>
    <row r="24" customFormat="false" ht="15" hidden="false" customHeight="false" outlineLevel="0" collapsed="false">
      <c r="A24" s="937" t="s">
        <v>626</v>
      </c>
      <c r="B24" s="948" t="n">
        <f aca="false">NSG_Supplies!G8/1000</f>
        <v>0</v>
      </c>
      <c r="C24" s="948" t="n">
        <f aca="false">NSG_Supplies!G9/1000</f>
        <v>0</v>
      </c>
      <c r="D24" s="948" t="n">
        <f aca="false">NSG_Supplies!G10/1000</f>
        <v>0</v>
      </c>
      <c r="E24" s="948" t="n">
        <f aca="false">NSG_Supplies!G11/1000</f>
        <v>0</v>
      </c>
      <c r="F24" s="944" t="n">
        <f aca="false">NSG_Supplies!G12/1000</f>
        <v>0</v>
      </c>
      <c r="G24" s="937"/>
    </row>
    <row r="25" customFormat="false" ht="15" hidden="false" customHeight="false" outlineLevel="0" collapsed="false">
      <c r="A25" s="937" t="s">
        <v>616</v>
      </c>
      <c r="B25" s="948" t="n">
        <f aca="false">NSG_Supplies!H8/1000</f>
        <v>0</v>
      </c>
      <c r="C25" s="948" t="n">
        <f aca="false">NSG_Supplies!H9/1000</f>
        <v>0</v>
      </c>
      <c r="D25" s="948" t="n">
        <f aca="false">NSG_Supplies!H10/1000</f>
        <v>0</v>
      </c>
      <c r="E25" s="948" t="n">
        <f aca="false">NSG_Supplies!H11/1000</f>
        <v>0</v>
      </c>
      <c r="F25" s="944" t="n">
        <f aca="false">NSG_Supplies!H12/1000</f>
        <v>0</v>
      </c>
      <c r="G25" s="937"/>
    </row>
    <row r="26" customFormat="false" ht="15" hidden="false" customHeight="false" outlineLevel="0" collapsed="false">
      <c r="A26" s="961" t="s">
        <v>617</v>
      </c>
      <c r="B26" s="948" t="n">
        <f aca="false">NSG_Supplies!I8/1000</f>
        <v>0</v>
      </c>
      <c r="C26" s="948" t="n">
        <f aca="false">NSG_Supplies!I9/1000</f>
        <v>0</v>
      </c>
      <c r="D26" s="948" t="n">
        <f aca="false">NSG_Supplies!I10/1000</f>
        <v>0</v>
      </c>
      <c r="E26" s="948" t="n">
        <f aca="false">NSG_Supplies!I11/1000</f>
        <v>0</v>
      </c>
      <c r="F26" s="944" t="n">
        <f aca="false">NSG_Supplies!I12/1000</f>
        <v>0</v>
      </c>
      <c r="G26" s="937"/>
    </row>
    <row r="27" customFormat="false" ht="15" hidden="false" customHeight="false" outlineLevel="0" collapsed="false">
      <c r="A27" s="937" t="s">
        <v>618</v>
      </c>
      <c r="B27" s="948" t="n">
        <f aca="false">NSG_Supplies!J8/1000</f>
        <v>0</v>
      </c>
      <c r="C27" s="948" t="n">
        <f aca="false">NSG_Supplies!J9/1000</f>
        <v>0</v>
      </c>
      <c r="D27" s="948" t="n">
        <f aca="false">NSG_Supplies!J10/1000</f>
        <v>0</v>
      </c>
      <c r="E27" s="948" t="n">
        <f aca="false">NSG_Supplies!J11/1000</f>
        <v>0</v>
      </c>
      <c r="F27" s="944" t="n">
        <f aca="false">NSG_Supplies!J12/1000</f>
        <v>0</v>
      </c>
      <c r="G27" s="937"/>
    </row>
    <row r="28" customFormat="false" ht="15" hidden="false" customHeight="false" outlineLevel="0" collapsed="false">
      <c r="A28" s="937" t="s">
        <v>627</v>
      </c>
      <c r="B28" s="948" t="s">
        <v>0</v>
      </c>
      <c r="C28" s="948"/>
      <c r="D28" s="948"/>
      <c r="E28" s="948"/>
      <c r="F28" s="944"/>
      <c r="G28" s="937"/>
    </row>
    <row r="29" customFormat="false" ht="15" hidden="false" customHeight="false" outlineLevel="0" collapsed="false">
      <c r="A29" s="945"/>
      <c r="B29" s="946"/>
      <c r="C29" s="946"/>
      <c r="D29" s="946"/>
      <c r="E29" s="946"/>
      <c r="F29" s="947"/>
      <c r="G29" s="937"/>
    </row>
    <row r="30" customFormat="false" ht="15" hidden="false" customHeight="false" outlineLevel="0" collapsed="false">
      <c r="A30" s="937" t="s">
        <v>619</v>
      </c>
      <c r="B30" s="948" t="n">
        <f aca="false">NSG_Requirements!P8/1000</f>
        <v>0</v>
      </c>
      <c r="C30" s="948" t="n">
        <f aca="false">NSG_Requirements!P9/1000</f>
        <v>0</v>
      </c>
      <c r="D30" s="948" t="n">
        <f aca="false">NSG_Requirements!P10/1000</f>
        <v>0</v>
      </c>
      <c r="E30" s="948" t="n">
        <f aca="false">NSG_Requirements!P11/1000</f>
        <v>0</v>
      </c>
      <c r="F30" s="944" t="n">
        <f aca="false">NSG_Supplies!J12/1000</f>
        <v>0</v>
      </c>
      <c r="G30" s="937"/>
    </row>
    <row r="31" customFormat="false" ht="15" hidden="false" customHeight="false" outlineLevel="0" collapsed="false">
      <c r="A31" s="937" t="s">
        <v>620</v>
      </c>
      <c r="B31" s="948" t="n">
        <f aca="false">NSG_Requirements!R8/1000</f>
        <v>0</v>
      </c>
      <c r="C31" s="948" t="n">
        <f aca="false">NSG_Requirements!R9/1000</f>
        <v>0</v>
      </c>
      <c r="D31" s="948" t="n">
        <f aca="false">NSG_Requirements!R10/1000</f>
        <v>0</v>
      </c>
      <c r="E31" s="948" t="n">
        <f aca="false">NSG_Requirements!R11/1000</f>
        <v>0</v>
      </c>
      <c r="F31" s="944" t="n">
        <f aca="false">NSG_Supplies!L12/1000</f>
        <v>0</v>
      </c>
      <c r="G31" s="937"/>
    </row>
    <row r="32" customFormat="false" ht="15" hidden="false" customHeight="false" outlineLevel="0" collapsed="false">
      <c r="A32" s="937" t="s">
        <v>621</v>
      </c>
      <c r="B32" s="948" t="n">
        <f aca="false">NSG_Requirements!Q8/1000</f>
        <v>0</v>
      </c>
      <c r="C32" s="948" t="n">
        <f aca="false">NSG_Requirements!Q9/1000</f>
        <v>0</v>
      </c>
      <c r="D32" s="948" t="n">
        <f aca="false">NSG_Requirements!Q10/1000</f>
        <v>0</v>
      </c>
      <c r="E32" s="948" t="n">
        <f aca="false">NSG_Requirements!Q11/1000</f>
        <v>0</v>
      </c>
      <c r="F32" s="944" t="n">
        <f aca="false">NSG_Requirements!Q12/1000</f>
        <v>0</v>
      </c>
      <c r="G32" s="937"/>
    </row>
    <row r="33" customFormat="false" ht="15.75" hidden="false" customHeight="false" outlineLevel="0" collapsed="false">
      <c r="A33" s="951" t="s">
        <v>628</v>
      </c>
      <c r="B33" s="953" t="n">
        <f aca="false">NSG_Requirements!L8/1000</f>
        <v>0</v>
      </c>
      <c r="C33" s="953" t="n">
        <f aca="false">NSG_Requirements!L9/1000</f>
        <v>0</v>
      </c>
      <c r="D33" s="953" t="n">
        <f aca="false">NSG_Requirements!L10/1000</f>
        <v>0</v>
      </c>
      <c r="E33" s="953" t="n">
        <f aca="false">NSG_Requirements!L11/1000</f>
        <v>0</v>
      </c>
      <c r="F33" s="954" t="n">
        <f aca="false">NSG_Requirements!L12/1000</f>
        <v>0</v>
      </c>
      <c r="G33" s="93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2" t="s">
        <v>629</v>
      </c>
      <c r="C1" s="963" t="n">
        <f aca="false">Weather_Input!A6</f>
        <v>37062</v>
      </c>
      <c r="D1" s="964" t="s">
        <v>630</v>
      </c>
      <c r="E1" s="965"/>
      <c r="F1" s="966"/>
      <c r="G1" s="433"/>
      <c r="H1" s="433"/>
      <c r="I1" s="382"/>
    </row>
    <row r="2" customFormat="false" ht="15.75" hidden="false" customHeight="true" outlineLevel="0" collapsed="false">
      <c r="A2" s="34"/>
      <c r="B2" s="967" t="s">
        <v>631</v>
      </c>
      <c r="E2" s="398"/>
      <c r="I2" s="398"/>
    </row>
    <row r="3" customFormat="false" ht="15.75" hidden="false" customHeight="true" outlineLevel="0" collapsed="false">
      <c r="B3" s="968" t="s">
        <v>177</v>
      </c>
      <c r="C3" s="969" t="n">
        <f aca="false">NSG_Supplies!P8/1000</f>
        <v>15.215</v>
      </c>
      <c r="E3" s="398"/>
      <c r="F3" s="970" t="s">
        <v>276</v>
      </c>
      <c r="G3" s="482"/>
      <c r="H3" s="971" t="s">
        <v>632</v>
      </c>
      <c r="I3" s="972" t="s">
        <v>633</v>
      </c>
    </row>
    <row r="4" customFormat="false" ht="15.75" hidden="false" customHeight="true" outlineLevel="0" collapsed="false">
      <c r="A4" s="0" t="s">
        <v>0</v>
      </c>
      <c r="B4" s="937" t="s">
        <v>634</v>
      </c>
      <c r="C4" s="397" t="n">
        <f aca="false">NSG_Supplies!E8/1000</f>
        <v>0</v>
      </c>
      <c r="D4" s="825" t="n">
        <f aca="false">NSG_Requirements!J8/1000</f>
        <v>4.76</v>
      </c>
      <c r="E4" s="973"/>
      <c r="F4" s="968" t="s">
        <v>635</v>
      </c>
      <c r="G4" s="95"/>
      <c r="H4" s="974" t="n">
        <f aca="false">PGL_Requirements!O8/1000</f>
        <v>135</v>
      </c>
      <c r="I4" s="975" t="n">
        <f aca="false">AVERAGE(H4/1.025)</f>
        <v>131.707317073171</v>
      </c>
      <c r="J4" s="0" t="s">
        <v>0</v>
      </c>
    </row>
    <row r="5" customFormat="false" ht="15.75" hidden="false" customHeight="true" outlineLevel="0" collapsed="false">
      <c r="B5" s="976" t="s">
        <v>636</v>
      </c>
      <c r="C5" s="977" t="n">
        <f aca="false">C3+C4-D4</f>
        <v>10.455</v>
      </c>
      <c r="D5" s="475"/>
      <c r="E5" s="978" t="n">
        <f aca="false">AVERAGE(C5/24)</f>
        <v>0.435625</v>
      </c>
      <c r="F5" s="979" t="s">
        <v>317</v>
      </c>
      <c r="G5" s="980" t="n">
        <f aca="false">PGL_Supplies!L8/1000</f>
        <v>0</v>
      </c>
      <c r="H5" s="981"/>
      <c r="I5" s="982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3" t="s">
        <v>637</v>
      </c>
      <c r="C6" s="984"/>
      <c r="D6" s="40"/>
      <c r="E6" s="985"/>
      <c r="F6" s="0" t="s">
        <v>638</v>
      </c>
      <c r="G6" s="984" t="n">
        <f aca="false">AVERAGE(H4/24)</f>
        <v>5.625</v>
      </c>
      <c r="H6" s="433"/>
      <c r="I6" s="382"/>
    </row>
    <row r="7" customFormat="false" ht="15.75" hidden="false" customHeight="true" outlineLevel="0" collapsed="false">
      <c r="B7" s="968" t="s">
        <v>639</v>
      </c>
      <c r="C7" s="974" t="n">
        <f aca="false">NSG_Supplies!K8/1000</f>
        <v>0</v>
      </c>
      <c r="D7" s="95"/>
      <c r="E7" s="986"/>
      <c r="F7" s="967" t="s">
        <v>640</v>
      </c>
      <c r="G7" s="987"/>
      <c r="H7" s="95"/>
      <c r="I7" s="398"/>
    </row>
    <row r="8" customFormat="false" ht="15.75" hidden="false" customHeight="true" outlineLevel="0" collapsed="false">
      <c r="B8" s="968" t="s">
        <v>641</v>
      </c>
      <c r="C8" s="974" t="n">
        <f aca="false">PGL_Requirements!V8/1000</f>
        <v>0</v>
      </c>
      <c r="D8" s="95"/>
      <c r="E8" s="986"/>
      <c r="F8" s="968" t="s">
        <v>642</v>
      </c>
      <c r="G8" s="974" t="n">
        <f aca="false">PGL_Supplies!S8/1000</f>
        <v>2</v>
      </c>
      <c r="H8" s="95"/>
      <c r="I8" s="398"/>
    </row>
    <row r="9" customFormat="false" ht="15.75" hidden="false" customHeight="true" outlineLevel="0" collapsed="false">
      <c r="B9" s="968" t="s">
        <v>643</v>
      </c>
      <c r="C9" s="974" t="n">
        <f aca="false">NSG_Requirements!B8/1000</f>
        <v>0</v>
      </c>
      <c r="D9" s="95"/>
      <c r="E9" s="986"/>
      <c r="F9" s="29" t="s">
        <v>644</v>
      </c>
      <c r="G9" s="974" t="n">
        <f aca="false">PGL_Supplies!T8/1000</f>
        <v>0</v>
      </c>
      <c r="I9" s="398"/>
    </row>
    <row r="10" customFormat="false" ht="15.75" hidden="false" customHeight="true" outlineLevel="0" collapsed="false">
      <c r="B10" s="976" t="s">
        <v>645</v>
      </c>
      <c r="C10" s="977" t="n">
        <f aca="false">C7+C8-C9</f>
        <v>0</v>
      </c>
      <c r="D10" s="475"/>
      <c r="E10" s="978" t="n">
        <f aca="false">AVERAGE(C10/24)</f>
        <v>0</v>
      </c>
      <c r="F10" s="968" t="s">
        <v>536</v>
      </c>
      <c r="G10" s="974" t="n">
        <f aca="false">PGL_Supplies!AA8/1000</f>
        <v>150.892</v>
      </c>
      <c r="H10" s="974" t="s">
        <v>0</v>
      </c>
      <c r="I10" s="398"/>
    </row>
    <row r="11" customFormat="false" ht="15.75" hidden="false" customHeight="true" outlineLevel="0" collapsed="false">
      <c r="A11" s="0" t="s">
        <v>0</v>
      </c>
      <c r="B11" s="988" t="s">
        <v>646</v>
      </c>
      <c r="C11" s="974" t="n">
        <f aca="false">PGL_Supplies!X8/1000</f>
        <v>99.063</v>
      </c>
      <c r="D11" s="482"/>
      <c r="E11" s="989"/>
      <c r="F11" s="990" t="s">
        <v>647</v>
      </c>
      <c r="G11" s="991" t="n">
        <f aca="false">G8+G10</f>
        <v>152.892</v>
      </c>
      <c r="H11" s="261"/>
      <c r="I11" s="364"/>
    </row>
    <row r="12" customFormat="false" ht="15.75" hidden="false" customHeight="true" outlineLevel="0" collapsed="false">
      <c r="B12" s="252" t="s">
        <v>648</v>
      </c>
      <c r="C12" s="974" t="n">
        <v>0</v>
      </c>
      <c r="D12" s="40"/>
      <c r="E12" s="398"/>
      <c r="F12" s="992" t="s">
        <v>649</v>
      </c>
      <c r="G12" s="974" t="n">
        <f aca="false">PGL_Supplies!D8/1000</f>
        <v>0</v>
      </c>
      <c r="H12" s="95"/>
      <c r="I12" s="986"/>
    </row>
    <row r="13" customFormat="false" ht="15.75" hidden="false" customHeight="true" outlineLevel="0" collapsed="false">
      <c r="B13" s="252" t="s">
        <v>650</v>
      </c>
      <c r="C13" s="40"/>
      <c r="D13" s="974" t="n">
        <f aca="false">PGL_Requirements!I8/1000</f>
        <v>0</v>
      </c>
      <c r="E13" s="398"/>
      <c r="F13" s="992" t="s">
        <v>651</v>
      </c>
      <c r="G13" s="95"/>
      <c r="H13" s="974" t="n">
        <f aca="false">PGL_Requirements!D8/1000</f>
        <v>0</v>
      </c>
      <c r="I13" s="398"/>
    </row>
    <row r="14" customFormat="false" ht="15.75" hidden="false" customHeight="true" outlineLevel="0" collapsed="false">
      <c r="B14" s="993" t="s">
        <v>652</v>
      </c>
      <c r="C14" s="977" t="n">
        <f aca="false">C11-C12</f>
        <v>99.063</v>
      </c>
      <c r="D14" s="475"/>
      <c r="E14" s="978" t="n">
        <f aca="false">AVERAGE(C14/24)</f>
        <v>4.127625</v>
      </c>
      <c r="F14" s="994" t="s">
        <v>653</v>
      </c>
      <c r="G14" s="977" t="n">
        <v>0</v>
      </c>
      <c r="H14" s="475"/>
      <c r="I14" s="978" t="n">
        <f aca="false">AVERAGE(G14/24)</f>
        <v>0</v>
      </c>
    </row>
    <row r="15" customFormat="false" ht="15.75" hidden="false" customHeight="true" outlineLevel="0" collapsed="false">
      <c r="B15" s="968" t="s">
        <v>654</v>
      </c>
      <c r="C15" s="974" t="n">
        <f aca="false">PGL_Supplies!Y8/1000</f>
        <v>0.2</v>
      </c>
      <c r="D15" s="95"/>
      <c r="E15" s="398"/>
      <c r="F15" s="994" t="s">
        <v>655</v>
      </c>
      <c r="G15" s="991" t="n">
        <f aca="false">SUM(G11)-G16-G17</f>
        <v>152.892</v>
      </c>
      <c r="H15" s="475" t="s">
        <v>0</v>
      </c>
      <c r="I15" s="978" t="n">
        <f aca="false">AVERAGE(G15/24)</f>
        <v>6.3705</v>
      </c>
    </row>
    <row r="16" customFormat="false" ht="15.75" hidden="false" customHeight="true" outlineLevel="0" collapsed="false">
      <c r="B16" s="968" t="s">
        <v>656</v>
      </c>
      <c r="C16" s="974" t="n">
        <f aca="false">PGL_Supplies!Q8/1000</f>
        <v>0</v>
      </c>
      <c r="D16" s="974" t="n">
        <f aca="false">PGL_Requirements!T8/1000</f>
        <v>0</v>
      </c>
      <c r="E16" s="398"/>
      <c r="F16" s="994" t="s">
        <v>657</v>
      </c>
      <c r="G16" s="977" t="n">
        <f aca="false">PGL_Requirements!G8/1000</f>
        <v>0</v>
      </c>
      <c r="H16" s="977" t="s">
        <v>0</v>
      </c>
      <c r="I16" s="978" t="n">
        <f aca="false">AVERAGE(G16/24)</f>
        <v>0</v>
      </c>
    </row>
    <row r="17" customFormat="false" ht="15.75" hidden="false" customHeight="true" outlineLevel="0" collapsed="false">
      <c r="B17" s="990" t="s">
        <v>647</v>
      </c>
      <c r="C17" s="991" t="n">
        <f aca="false">SUM(C15:C16)-SUM(D15:D16)</f>
        <v>0.2</v>
      </c>
      <c r="D17" s="261"/>
      <c r="E17" s="364"/>
      <c r="F17" s="995" t="s">
        <v>658</v>
      </c>
      <c r="G17" s="996" t="n">
        <v>0</v>
      </c>
      <c r="H17" s="997"/>
      <c r="I17" s="998" t="n">
        <f aca="false">AVERAGE(G17/24)</f>
        <v>0</v>
      </c>
    </row>
    <row r="18" customFormat="false" ht="15.75" hidden="false" customHeight="true" outlineLevel="0" collapsed="false">
      <c r="B18" s="968" t="s">
        <v>659</v>
      </c>
      <c r="C18" s="974" t="e">
        <f aca="false">#REF!/1000</f>
        <v>#REF!</v>
      </c>
      <c r="D18" s="95"/>
      <c r="E18" s="398"/>
      <c r="F18" s="999" t="s">
        <v>660</v>
      </c>
      <c r="G18" s="95" t="s">
        <v>0</v>
      </c>
      <c r="H18" s="95"/>
      <c r="I18" s="398"/>
    </row>
    <row r="19" customFormat="false" ht="15.75" hidden="false" customHeight="true" outlineLevel="0" collapsed="false">
      <c r="B19" s="968" t="s">
        <v>661</v>
      </c>
      <c r="C19" s="95"/>
      <c r="D19" s="974" t="e">
        <f aca="false">#REF!/1000</f>
        <v>#REF!</v>
      </c>
      <c r="E19" s="398"/>
      <c r="F19" s="979" t="s">
        <v>662</v>
      </c>
      <c r="G19" s="981"/>
      <c r="H19" s="980" t="n">
        <v>0</v>
      </c>
      <c r="I19" s="1000"/>
    </row>
    <row r="20" customFormat="false" ht="15.75" hidden="false" customHeight="true" outlineLevel="0" collapsed="false">
      <c r="B20" s="976" t="s">
        <v>663</v>
      </c>
      <c r="C20" s="977" t="e">
        <f aca="false">C17+C18-D19</f>
        <v>#REF!</v>
      </c>
      <c r="D20" s="1001" t="s">
        <v>0</v>
      </c>
      <c r="E20" s="978" t="e">
        <f aca="false">AVERAGE(C20/24)</f>
        <v>#REF!</v>
      </c>
      <c r="F20" s="1002" t="s">
        <v>436</v>
      </c>
      <c r="G20" s="95" t="n">
        <v>0</v>
      </c>
      <c r="H20" s="974" t="s">
        <v>0</v>
      </c>
      <c r="I20" s="398"/>
    </row>
    <row r="21" customFormat="false" ht="15.75" hidden="false" customHeight="true" outlineLevel="0" collapsed="false">
      <c r="B21" s="968" t="s">
        <v>664</v>
      </c>
      <c r="C21" s="974" t="n">
        <f aca="false">PGL_Supplies!Z8/1000</f>
        <v>0</v>
      </c>
      <c r="D21" s="974" t="s">
        <v>0</v>
      </c>
      <c r="E21" s="398"/>
      <c r="F21" s="968" t="s">
        <v>177</v>
      </c>
      <c r="G21" s="974" t="n">
        <f aca="false">PGL_Supplies!AC8/1000</f>
        <v>24</v>
      </c>
      <c r="H21" s="974" t="s">
        <v>0</v>
      </c>
      <c r="I21" s="398"/>
    </row>
    <row r="22" customFormat="false" ht="15.75" hidden="false" customHeight="true" outlineLevel="0" collapsed="false">
      <c r="B22" s="990" t="s">
        <v>647</v>
      </c>
      <c r="C22" s="991" t="n">
        <f aca="false">SUM(C21)-SUM(D21)</f>
        <v>0</v>
      </c>
      <c r="D22" s="261"/>
      <c r="E22" s="364"/>
      <c r="F22" s="990" t="s">
        <v>647</v>
      </c>
      <c r="G22" s="991" t="n">
        <f aca="false">G21</f>
        <v>24</v>
      </c>
      <c r="H22" s="261"/>
      <c r="I22" s="364"/>
    </row>
    <row r="23" customFormat="false" ht="15.75" hidden="false" customHeight="true" outlineLevel="0" collapsed="false">
      <c r="B23" s="968" t="s">
        <v>665</v>
      </c>
      <c r="C23" s="974" t="n">
        <f aca="false">PGL_Supplies!C8/1000</f>
        <v>0</v>
      </c>
      <c r="D23" s="95"/>
      <c r="E23" s="398"/>
      <c r="F23" s="968" t="s">
        <v>666</v>
      </c>
      <c r="G23" s="974" t="n">
        <f aca="false">PGL_Supplies!F8/1000</f>
        <v>0</v>
      </c>
      <c r="H23" s="95"/>
      <c r="I23" s="398"/>
    </row>
    <row r="24" customFormat="false" ht="15.75" hidden="false" customHeight="true" outlineLevel="0" collapsed="false">
      <c r="B24" s="968" t="s">
        <v>667</v>
      </c>
      <c r="C24" s="95" t="n">
        <v>0</v>
      </c>
      <c r="D24" s="974" t="n">
        <f aca="false">PGL_Requirements!C8/1000</f>
        <v>0</v>
      </c>
      <c r="E24" s="398"/>
      <c r="F24" s="968" t="s">
        <v>668</v>
      </c>
      <c r="G24" s="95"/>
      <c r="H24" s="974" t="n">
        <f aca="false">PGL_Requirements!E8/1000</f>
        <v>0</v>
      </c>
      <c r="I24" s="398"/>
    </row>
    <row r="25" customFormat="false" ht="15.75" hidden="false" customHeight="true" outlineLevel="0" collapsed="false">
      <c r="B25" s="976" t="s">
        <v>669</v>
      </c>
      <c r="C25" s="977" t="n">
        <f aca="false">C22+C23-D24</f>
        <v>0</v>
      </c>
      <c r="D25" s="475"/>
      <c r="E25" s="978" t="n">
        <f aca="false">AVERAGE(C25/24)</f>
        <v>0</v>
      </c>
      <c r="F25" s="381" t="s">
        <v>670</v>
      </c>
      <c r="G25" s="1003" t="n">
        <f aca="false">G22+G23-H24+G20</f>
        <v>24</v>
      </c>
      <c r="H25" s="433"/>
      <c r="I25" s="1004" t="n">
        <f aca="false">AVERAGE(G25/24)</f>
        <v>1</v>
      </c>
    </row>
    <row r="26" customFormat="false" ht="15.75" hidden="false" customHeight="true" outlineLevel="0" collapsed="false">
      <c r="B26" s="0" t="s">
        <v>671</v>
      </c>
    </row>
    <row r="27" customFormat="false" ht="15.75" hidden="false" customHeight="true" outlineLevel="0" collapsed="false">
      <c r="B27" s="0" t="s">
        <v>672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673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05" width="8.65"/>
    <col collapsed="false" customWidth="true" hidden="false" outlineLevel="0" max="2" min="2" style="1005" width="8.1"/>
    <col collapsed="false" customWidth="true" hidden="false" outlineLevel="0" max="3" min="3" style="1005" width="7.88"/>
    <col collapsed="false" customWidth="true" hidden="false" outlineLevel="0" max="4" min="4" style="1005" width="5.88"/>
    <col collapsed="false" customWidth="true" hidden="false" outlineLevel="0" max="5" min="5" style="1005" width="4.44"/>
    <col collapsed="false" customWidth="true" hidden="false" outlineLevel="0" max="6" min="6" style="1005" width="5.21"/>
    <col collapsed="false" customWidth="true" hidden="false" outlineLevel="0" max="7" min="7" style="1005" width="8.99"/>
    <col collapsed="false" customWidth="false" hidden="false" outlineLevel="0" max="11" min="8" style="1005" width="8.88"/>
    <col collapsed="false" customWidth="true" hidden="false" outlineLevel="0" max="12" min="12" style="1005" width="14.88"/>
    <col collapsed="false" customWidth="true" hidden="false" outlineLevel="0" max="13" min="13" style="1005" width="5.65"/>
    <col collapsed="false" customWidth="false" hidden="false" outlineLevel="0" max="257" min="14" style="1005" width="8.88"/>
  </cols>
  <sheetData>
    <row r="1" customFormat="false" ht="22.5" hidden="false" customHeight="false" outlineLevel="0" collapsed="false">
      <c r="A1" s="1006"/>
      <c r="B1" s="1007"/>
      <c r="C1" s="1008" t="s">
        <v>674</v>
      </c>
      <c r="D1" s="1009"/>
      <c r="E1" s="1009" t="s">
        <v>675</v>
      </c>
      <c r="F1" s="1009"/>
      <c r="G1" s="1010" t="s">
        <v>676</v>
      </c>
      <c r="H1" s="1011" t="n">
        <f aca="false">Weather_Input!A6</f>
        <v>37062</v>
      </c>
      <c r="I1" s="1012"/>
      <c r="J1" s="1013"/>
      <c r="K1" s="1013"/>
    </row>
    <row r="2" customFormat="false" ht="16.5" hidden="false" customHeight="true" outlineLevel="0" collapsed="false">
      <c r="A2" s="1014" t="s">
        <v>677</v>
      </c>
      <c r="C2" s="1015" t="n">
        <v>385</v>
      </c>
      <c r="F2" s="1016" t="n">
        <v>386</v>
      </c>
      <c r="H2" s="1013"/>
      <c r="I2" s="1012" t="s">
        <v>678</v>
      </c>
      <c r="J2" s="1017" t="n">
        <f aca="false">NSG_Supplies!P8/1000</f>
        <v>15.215</v>
      </c>
    </row>
    <row r="3" customFormat="false" ht="16.5" hidden="false" customHeight="true" outlineLevel="0" collapsed="false">
      <c r="A3" s="1018" t="n">
        <f aca="false">PGL_Supplies!I8/1000</f>
        <v>0</v>
      </c>
      <c r="C3" s="1005" t="s">
        <v>0</v>
      </c>
      <c r="G3" s="1012"/>
      <c r="H3" s="1013"/>
    </row>
    <row r="4" customFormat="false" ht="16.5" hidden="false" customHeight="true" outlineLevel="0" collapsed="false">
      <c r="A4" s="1019" t="s">
        <v>679</v>
      </c>
      <c r="G4" s="1020"/>
      <c r="H4" s="1013"/>
      <c r="I4" s="1012"/>
      <c r="J4" s="1012" t="s">
        <v>680</v>
      </c>
      <c r="K4" s="1017" t="n">
        <f aca="false">Billy_Sheet!C5</f>
        <v>10.455</v>
      </c>
      <c r="N4" s="1017"/>
    </row>
    <row r="5" customFormat="false" ht="16.5" hidden="false" customHeight="true" outlineLevel="0" collapsed="false">
      <c r="A5" s="1021" t="n">
        <f aca="false">PGL_Supplies!J7/1000</f>
        <v>0</v>
      </c>
      <c r="B5" s="1022"/>
      <c r="G5" s="1007"/>
      <c r="H5" s="1017"/>
      <c r="U5" s="1013"/>
      <c r="V5" s="1013"/>
    </row>
    <row r="6" customFormat="false" ht="16.5" hidden="false" customHeight="true" outlineLevel="0" collapsed="false">
      <c r="A6" s="1023" t="s">
        <v>681</v>
      </c>
      <c r="G6" s="1007"/>
      <c r="H6" s="1017"/>
      <c r="U6" s="1013"/>
      <c r="V6" s="1017"/>
    </row>
    <row r="7" customFormat="false" ht="18.75" hidden="false" customHeight="true" outlineLevel="0" collapsed="false">
      <c r="A7" s="1017" t="n">
        <f aca="false">Billy_Sheet!G14</f>
        <v>0</v>
      </c>
      <c r="G7" s="1007"/>
      <c r="H7" s="1024"/>
      <c r="U7" s="1013"/>
      <c r="V7" s="1024"/>
    </row>
    <row r="8" customFormat="false" ht="14.45" hidden="false" customHeight="true" outlineLevel="0" collapsed="false">
      <c r="A8" s="1012" t="s">
        <v>98</v>
      </c>
      <c r="G8" s="1007"/>
      <c r="H8" s="1012" t="s">
        <v>431</v>
      </c>
      <c r="I8" s="1012"/>
      <c r="K8" s="1012"/>
      <c r="L8" s="1012"/>
      <c r="N8" s="1012"/>
      <c r="O8" s="1012"/>
      <c r="U8" s="1013"/>
      <c r="V8" s="1017"/>
    </row>
    <row r="9" customFormat="false" ht="14.45" hidden="false" customHeight="true" outlineLevel="0" collapsed="false">
      <c r="A9" s="1017" t="n">
        <f aca="false">PGL_Supplies!H8/1000</f>
        <v>15</v>
      </c>
      <c r="H9" s="1017" t="n">
        <v>0</v>
      </c>
      <c r="I9" s="1025"/>
      <c r="K9" s="1012" t="s">
        <v>682</v>
      </c>
      <c r="L9" s="1017" t="n">
        <f aca="false">NSG_Deliveries!C6/1000</f>
        <v>37</v>
      </c>
      <c r="N9" s="1012"/>
      <c r="O9" s="1017"/>
      <c r="U9" s="1013"/>
      <c r="V9" s="1017"/>
    </row>
    <row r="10" customFormat="false" ht="18" hidden="false" customHeight="true" outlineLevel="0" collapsed="false">
      <c r="A10" s="1012" t="s">
        <v>89</v>
      </c>
      <c r="H10" s="1026" t="s">
        <v>683</v>
      </c>
      <c r="U10" s="1013"/>
      <c r="V10" s="1017"/>
    </row>
    <row r="11" customFormat="false" ht="14.45" hidden="false" customHeight="true" outlineLevel="0" collapsed="false">
      <c r="A11" s="1017" t="e">
        <f aca="false">Billy_Sheet!C20</f>
        <v>#REF!</v>
      </c>
      <c r="B11" s="1025"/>
      <c r="H11" s="1017" t="n">
        <f aca="false">NSG_Supplies!T8/1000</f>
        <v>0</v>
      </c>
      <c r="K11" s="1007" t="s">
        <v>684</v>
      </c>
      <c r="L11" s="1020" t="n">
        <f aca="false">SUM(K4+K17+K19+H11+H9-L9)</f>
        <v>0.00399999999999778</v>
      </c>
      <c r="N11" s="1007"/>
      <c r="O11" s="1020"/>
      <c r="U11" s="1013"/>
      <c r="V11" s="1027"/>
    </row>
    <row r="12" customFormat="false" ht="14.45" hidden="false" customHeight="true" outlineLevel="0" collapsed="false">
      <c r="A12" s="1012" t="s">
        <v>685</v>
      </c>
      <c r="H12" s="1017"/>
      <c r="U12" s="1013"/>
      <c r="V12" s="1017"/>
    </row>
    <row r="13" customFormat="false" ht="14.45" hidden="false" customHeight="true" outlineLevel="0" collapsed="false">
      <c r="A13" s="1021" t="n">
        <f aca="false">PGL_Supplies!X8/1000</f>
        <v>99.063</v>
      </c>
      <c r="H13" s="1017"/>
      <c r="U13" s="1013"/>
      <c r="V13" s="1017"/>
    </row>
    <row r="14" customFormat="false" ht="14.45" hidden="false" customHeight="true" outlineLevel="0" collapsed="false">
      <c r="H14" s="1017"/>
      <c r="U14" s="1013"/>
      <c r="V14" s="1017"/>
    </row>
    <row r="15" customFormat="false" ht="15.6" hidden="false" customHeight="true" outlineLevel="0" collapsed="false">
      <c r="B15" s="1005" t="s">
        <v>0</v>
      </c>
      <c r="C15" s="1028" t="n">
        <v>370</v>
      </c>
      <c r="F15" s="1028" t="n">
        <v>370</v>
      </c>
      <c r="H15" s="1020"/>
      <c r="U15" s="1029"/>
      <c r="V15" s="1020"/>
    </row>
    <row r="16" customFormat="false" ht="42.75" hidden="false" customHeight="true" outlineLevel="0" collapsed="false">
      <c r="A16" s="1030"/>
      <c r="B16" s="1020"/>
      <c r="C16" s="1031"/>
      <c r="D16" s="1032"/>
      <c r="E16" s="1032"/>
      <c r="F16" s="1031"/>
    </row>
    <row r="17" customFormat="false" ht="38.25" hidden="false" customHeight="true" outlineLevel="0" collapsed="false">
      <c r="B17" s="1032"/>
      <c r="C17" s="1032"/>
      <c r="D17" s="1033"/>
      <c r="E17" s="1032"/>
      <c r="F17" s="1032"/>
      <c r="G17" s="1032"/>
      <c r="J17" s="1012" t="s">
        <v>686</v>
      </c>
      <c r="K17" s="1017" t="n">
        <f aca="false">NSG_Supplies!K8/1000</f>
        <v>0</v>
      </c>
      <c r="N17" s="1017"/>
    </row>
    <row r="18" customFormat="false" ht="15" hidden="false" customHeight="true" outlineLevel="0" collapsed="false">
      <c r="A18" s="1034"/>
      <c r="C18" s="1028" t="n">
        <v>668</v>
      </c>
      <c r="D18" s="1032"/>
      <c r="E18" s="1032"/>
      <c r="F18" s="1016" t="n">
        <v>806</v>
      </c>
    </row>
    <row r="19" customFormat="false" ht="11.25" hidden="false" customHeight="false" outlineLevel="0" collapsed="false">
      <c r="A19" s="1023" t="s">
        <v>687</v>
      </c>
      <c r="C19" s="1005" t="s">
        <v>0</v>
      </c>
      <c r="J19" s="1012" t="s">
        <v>688</v>
      </c>
      <c r="K19" s="1017" t="n">
        <f aca="false">NSG_Supplies!Q8/1000+NSG_Supplies!F8/1000-NSG_Requirements!H8/1000</f>
        <v>26.549</v>
      </c>
      <c r="N19" s="1035"/>
    </row>
    <row r="20" customFormat="false" ht="17.25" hidden="false" customHeight="true" outlineLevel="0" collapsed="false">
      <c r="A20" s="1017" t="n">
        <f aca="false">Billy_Sheet!G15</f>
        <v>152.892</v>
      </c>
      <c r="G20" s="34"/>
      <c r="J20" s="1012"/>
    </row>
    <row r="21" customFormat="false" ht="11.25" hidden="false" customHeight="true" outlineLevel="0" collapsed="false">
      <c r="G21" s="1024"/>
      <c r="H21" s="1024"/>
      <c r="I21" s="1007"/>
      <c r="J21" s="1020"/>
    </row>
    <row r="22" customFormat="false" ht="11.25" hidden="false" customHeight="false" outlineLevel="0" collapsed="false">
      <c r="A22" s="1013" t="s">
        <v>434</v>
      </c>
      <c r="G22" s="1012"/>
      <c r="I22" s="1007"/>
      <c r="J22" s="1012"/>
      <c r="M22" s="1007"/>
      <c r="N22" s="1020"/>
    </row>
    <row r="23" customFormat="false" ht="11.25" hidden="false" customHeight="false" outlineLevel="0" collapsed="false">
      <c r="A23" s="1017" t="n">
        <f aca="false">Billy_Sheet!C25</f>
        <v>0</v>
      </c>
      <c r="G23" s="1012" t="s">
        <v>689</v>
      </c>
      <c r="H23" s="1013"/>
      <c r="I23" s="1007"/>
      <c r="J23" s="1020"/>
      <c r="M23" s="1012"/>
      <c r="N23" s="1020"/>
      <c r="Q23" s="1036"/>
    </row>
    <row r="24" customFormat="false" ht="9" hidden="false" customHeight="true" outlineLevel="0" collapsed="false">
      <c r="G24" s="1017" t="n">
        <f aca="false">PGL_Requirements!J7/1000</f>
        <v>6.444</v>
      </c>
      <c r="H24" s="1007"/>
      <c r="I24" s="1007"/>
      <c r="J24" s="1007"/>
    </row>
    <row r="25" customFormat="false" ht="10.5" hidden="false" customHeight="true" outlineLevel="0" collapsed="false">
      <c r="A25" s="1013" t="s">
        <v>436</v>
      </c>
      <c r="B25" s="1013"/>
      <c r="C25" s="1013"/>
      <c r="D25" s="1013"/>
      <c r="F25" s="1013"/>
      <c r="G25" s="1012" t="s">
        <v>690</v>
      </c>
      <c r="H25" s="1007"/>
      <c r="I25" s="1007"/>
      <c r="J25" s="1007"/>
    </row>
    <row r="26" customFormat="false" ht="14.25" hidden="false" customHeight="true" outlineLevel="0" collapsed="false">
      <c r="A26" s="1017" t="n">
        <f aca="false">Billy_Sheet!G25</f>
        <v>24</v>
      </c>
      <c r="B26" s="1013"/>
      <c r="C26" s="1007"/>
      <c r="D26" s="1007"/>
      <c r="F26" s="1007"/>
      <c r="G26" s="1037" t="n">
        <v>7.4</v>
      </c>
      <c r="H26" s="1007"/>
      <c r="I26" s="1007"/>
      <c r="J26" s="1007" t="s">
        <v>691</v>
      </c>
      <c r="K26" s="1038" t="n">
        <f aca="false">PGL_Deliveries!C6/1000</f>
        <v>220</v>
      </c>
      <c r="L26" s="1012" t="s">
        <v>682</v>
      </c>
      <c r="M26" s="1017" t="n">
        <f aca="false">NSG_Deliveries!C6/1000</f>
        <v>37</v>
      </c>
      <c r="N26" s="1017"/>
    </row>
    <row r="27" customFormat="false" ht="8.25" hidden="false" customHeight="true" outlineLevel="0" collapsed="false">
      <c r="A27" s="1007"/>
      <c r="B27" s="1039"/>
      <c r="C27" s="1007"/>
      <c r="D27" s="1007"/>
      <c r="F27" s="1007"/>
      <c r="G27" s="1007"/>
      <c r="H27" s="1040"/>
      <c r="I27" s="1007"/>
      <c r="J27" s="1040"/>
    </row>
    <row r="28" customFormat="false" ht="12.75" hidden="false" customHeight="true" outlineLevel="0" collapsed="false">
      <c r="A28" s="1009" t="s">
        <v>692</v>
      </c>
      <c r="B28" s="1017"/>
      <c r="C28" s="1013"/>
      <c r="D28" s="1007"/>
      <c r="F28" s="1012"/>
      <c r="G28" s="1029" t="s">
        <v>693</v>
      </c>
      <c r="H28" s="34"/>
      <c r="J28" s="1007" t="s">
        <v>694</v>
      </c>
      <c r="K28" s="1020" t="e">
        <f aca="false">SUM(A42)</f>
        <v>#REF!</v>
      </c>
      <c r="L28" s="1007" t="s">
        <v>695</v>
      </c>
      <c r="M28" s="1020" t="n">
        <f aca="false">SUM(J2+K17+K19+H11+H9-M26)</f>
        <v>4.764</v>
      </c>
      <c r="N28" s="1020"/>
    </row>
    <row r="29" customFormat="false" ht="11.25" hidden="false" customHeight="false" outlineLevel="0" collapsed="false">
      <c r="A29" s="1017" t="n">
        <f aca="false">PGL_Supplies!L8/1000</f>
        <v>0</v>
      </c>
      <c r="B29" s="1017"/>
      <c r="C29" s="1007"/>
      <c r="D29" s="1041"/>
      <c r="F29" s="1042" t="n">
        <f aca="false">PGL_Requirements!A7</f>
        <v>37061</v>
      </c>
      <c r="G29" s="1017" t="n">
        <f aca="false">PGL_Requirements!G7/1000</f>
        <v>17.045</v>
      </c>
      <c r="H29" s="1024"/>
      <c r="J29" s="1007" t="s">
        <v>696</v>
      </c>
      <c r="K29" s="1017" t="n">
        <f aca="false">PGL_Supplies!AB8/1000+PGL_Supplies!K8/1000-PGL_Requirements!N8/1000</f>
        <v>66.372</v>
      </c>
    </row>
    <row r="30" customFormat="false" ht="10.5" hidden="false" customHeight="true" outlineLevel="0" collapsed="false">
      <c r="A30" s="1043"/>
      <c r="B30" s="1017"/>
      <c r="C30" s="1007"/>
      <c r="D30" s="1017"/>
      <c r="F30" s="1042" t="n">
        <f aca="false">PGL_Requirements!A8</f>
        <v>37062</v>
      </c>
      <c r="G30" s="1017" t="n">
        <f aca="false">PGL_Requirements!G8/1000</f>
        <v>0</v>
      </c>
    </row>
    <row r="31" customFormat="false" ht="17.25" hidden="false" customHeight="true" outlineLevel="0" collapsed="false">
      <c r="A31" s="1009" t="s">
        <v>697</v>
      </c>
      <c r="B31" s="1044"/>
      <c r="C31" s="1045"/>
      <c r="D31" s="1020"/>
      <c r="G31" s="1029" t="s">
        <v>698</v>
      </c>
      <c r="H31" s="1020"/>
      <c r="J31" s="1007" t="s">
        <v>684</v>
      </c>
      <c r="K31" s="1020" t="e">
        <f aca="false">SUM(K28+K29-K26)</f>
        <v>#REF!</v>
      </c>
    </row>
    <row r="32" customFormat="false" ht="11.25" hidden="false" customHeight="false" outlineLevel="0" collapsed="false">
      <c r="A32" s="1017" t="n">
        <f aca="false">PGL_Supplies!G8/1000</f>
        <v>1</v>
      </c>
      <c r="G32" s="1017" t="n">
        <f aca="false">PGL_Requirements!O8/1000</f>
        <v>135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2" t="s">
        <v>699</v>
      </c>
      <c r="G34" s="1007" t="s">
        <v>700</v>
      </c>
    </row>
    <row r="35" customFormat="false" ht="11.25" hidden="false" customHeight="false" outlineLevel="0" collapsed="false">
      <c r="A35" s="1037" t="n">
        <v>0</v>
      </c>
      <c r="G35" s="1017" t="n">
        <f aca="false">PGL_Requirements!B8/1000</f>
        <v>0</v>
      </c>
    </row>
    <row r="36" customFormat="false" ht="11.25" hidden="false" customHeight="false" outlineLevel="0" collapsed="false">
      <c r="G36" s="1017"/>
    </row>
    <row r="37" customFormat="false" ht="11.25" hidden="false" customHeight="false" outlineLevel="0" collapsed="false">
      <c r="C37" s="1012" t="s">
        <v>701</v>
      </c>
      <c r="F37" s="1012" t="s">
        <v>702</v>
      </c>
      <c r="G37" s="1017"/>
    </row>
    <row r="38" customFormat="false" ht="11.25" hidden="false" customHeight="false" outlineLevel="0" collapsed="false">
      <c r="C38" s="1028" t="n">
        <v>668</v>
      </c>
      <c r="F38" s="1028" t="n">
        <v>754</v>
      </c>
    </row>
    <row r="39" customFormat="false" ht="11.25" hidden="false" customHeight="false" outlineLevel="0" collapsed="false">
      <c r="A39" s="1014" t="s">
        <v>703</v>
      </c>
      <c r="E39" s="1013" t="s">
        <v>704</v>
      </c>
      <c r="F39" s="1013"/>
    </row>
    <row r="40" customFormat="false" ht="11.25" hidden="false" customHeight="false" outlineLevel="0" collapsed="false">
      <c r="A40" s="1020" t="e">
        <f aca="false">SUM(A3:A35)</f>
        <v>#REF!</v>
      </c>
      <c r="B40" s="1027"/>
      <c r="C40" s="1046"/>
      <c r="D40" s="1027"/>
      <c r="E40" s="1027"/>
      <c r="F40" s="1017"/>
      <c r="G40" s="1017" t="n">
        <f aca="false">SUM(G30:G35)</f>
        <v>135</v>
      </c>
      <c r="H40" s="1027"/>
      <c r="I40" s="1046"/>
    </row>
    <row r="41" customFormat="false" ht="11.25" hidden="false" customHeight="false" outlineLevel="0" collapsed="false">
      <c r="A41" s="1047" t="s">
        <v>705</v>
      </c>
      <c r="B41" s="1017"/>
      <c r="C41" s="1027"/>
      <c r="D41" s="1027"/>
      <c r="E41" s="1027"/>
      <c r="F41" s="1027"/>
      <c r="G41" s="1027"/>
      <c r="H41" s="1027"/>
      <c r="I41" s="1046"/>
    </row>
    <row r="42" customFormat="false" ht="11.25" hidden="false" customHeight="false" outlineLevel="0" collapsed="false">
      <c r="A42" s="1017" t="e">
        <f aca="false">SUM(A40-G40)</f>
        <v>#REF!</v>
      </c>
      <c r="B42" s="1017"/>
      <c r="C42" s="1027"/>
      <c r="D42" s="1027"/>
      <c r="E42" s="1027"/>
      <c r="F42" s="1048"/>
      <c r="G42" s="1049" t="s">
        <v>706</v>
      </c>
      <c r="H42" s="1050"/>
      <c r="I42" s="1051"/>
      <c r="J42" s="1050"/>
      <c r="K42" s="1032"/>
    </row>
    <row r="43" customFormat="false" ht="14.25" hidden="false" customHeight="true" outlineLevel="0" collapsed="false">
      <c r="A43" s="1017"/>
      <c r="B43" s="1017"/>
      <c r="C43" s="1017"/>
      <c r="D43" s="1017"/>
      <c r="E43" s="1048"/>
      <c r="F43" s="1039" t="s">
        <v>707</v>
      </c>
      <c r="G43" s="1048" t="s">
        <v>708</v>
      </c>
      <c r="I43" s="1017"/>
    </row>
    <row r="44" customFormat="false" ht="12.75" hidden="false" customHeight="true" outlineLevel="0" collapsed="false">
      <c r="A44" s="1047" t="s">
        <v>709</v>
      </c>
      <c r="B44" s="1017" t="s">
        <v>710</v>
      </c>
      <c r="C44" s="1017" t="s">
        <v>711</v>
      </c>
      <c r="D44" s="1017" t="s">
        <v>712</v>
      </c>
      <c r="E44" s="1052"/>
      <c r="F44" s="1052" t="s">
        <v>713</v>
      </c>
      <c r="G44" s="1027" t="s">
        <v>714</v>
      </c>
      <c r="H44" s="1013" t="s">
        <v>715</v>
      </c>
      <c r="I44" s="1017"/>
      <c r="K44" s="1013"/>
    </row>
    <row r="45" customFormat="false" ht="11.25" hidden="false" customHeight="false" outlineLevel="0" collapsed="false">
      <c r="A45" s="1047" t="s">
        <v>716</v>
      </c>
      <c r="B45" s="1053" t="n">
        <v>250</v>
      </c>
      <c r="C45" s="1053" t="n">
        <v>410</v>
      </c>
      <c r="D45" s="1054" t="n">
        <f aca="false">SUM(F2+F15)/2</f>
        <v>378</v>
      </c>
      <c r="E45" s="1055"/>
      <c r="F45" s="1056" t="n">
        <v>0.067</v>
      </c>
      <c r="G45" s="1057" t="n">
        <f aca="false">(C45-D45)*F45</f>
        <v>2.144</v>
      </c>
      <c r="H45" s="1057" t="n">
        <f aca="false">(D45-B45)*F45</f>
        <v>8.576</v>
      </c>
      <c r="I45" s="1017"/>
      <c r="J45" s="1058"/>
    </row>
    <row r="46" customFormat="false" ht="11.25" hidden="false" customHeight="false" outlineLevel="0" collapsed="false">
      <c r="A46" s="1013" t="s">
        <v>717</v>
      </c>
      <c r="B46" s="1059" t="n">
        <v>797</v>
      </c>
      <c r="C46" s="1053" t="n">
        <v>797</v>
      </c>
      <c r="D46" s="1054" t="n">
        <v>797</v>
      </c>
      <c r="E46" s="1055"/>
      <c r="F46" s="1056" t="n">
        <v>0.139</v>
      </c>
      <c r="G46" s="1057" t="n">
        <f aca="false">(C46-D46)*F46</f>
        <v>0</v>
      </c>
      <c r="H46" s="1057" t="n">
        <f aca="false">(D46-B46)*F46</f>
        <v>0</v>
      </c>
      <c r="I46" s="1017"/>
    </row>
    <row r="47" customFormat="false" ht="11.25" hidden="false" customHeight="false" outlineLevel="0" collapsed="false">
      <c r="A47" s="1013" t="s">
        <v>718</v>
      </c>
      <c r="B47" s="1059" t="n">
        <v>250</v>
      </c>
      <c r="C47" s="1053" t="n">
        <v>410</v>
      </c>
      <c r="D47" s="1054" t="n">
        <f aca="false">SUM(C2+C15)/2</f>
        <v>377.5</v>
      </c>
      <c r="E47" s="1055"/>
      <c r="F47" s="1056" t="n">
        <v>0.141</v>
      </c>
      <c r="G47" s="1057" t="n">
        <f aca="false">(C47-D47)*F47</f>
        <v>4.5825</v>
      </c>
      <c r="H47" s="1057" t="n">
        <f aca="false">(D47-B47)*F47</f>
        <v>17.9775</v>
      </c>
      <c r="I47" s="1017"/>
    </row>
    <row r="48" customFormat="false" ht="11.25" hidden="false" customHeight="false" outlineLevel="0" collapsed="false">
      <c r="A48" s="1013" t="s">
        <v>719</v>
      </c>
      <c r="B48" s="1059" t="n">
        <v>285</v>
      </c>
      <c r="C48" s="1053" t="n">
        <v>750</v>
      </c>
      <c r="D48" s="1054" t="n">
        <f aca="false">SUM(C18+C38)/2</f>
        <v>668</v>
      </c>
      <c r="E48" s="1055"/>
      <c r="F48" s="1056" t="n">
        <v>0.161</v>
      </c>
      <c r="G48" s="1057" t="n">
        <f aca="false">(C48-D48)*F48</f>
        <v>13.202</v>
      </c>
      <c r="H48" s="1057" t="n">
        <f aca="false">(D48-B48)*F48</f>
        <v>61.663</v>
      </c>
    </row>
    <row r="49" customFormat="false" ht="11.25" hidden="false" customHeight="false" outlineLevel="0" collapsed="false">
      <c r="B49" s="1025"/>
      <c r="C49" s="1025"/>
      <c r="D49" s="1025"/>
      <c r="E49" s="1025"/>
      <c r="F49" s="1060" t="s">
        <v>720</v>
      </c>
      <c r="G49" s="1057" t="n">
        <f aca="false">SUM(G45:G48)</f>
        <v>19.9285</v>
      </c>
      <c r="H49" s="1057" t="n">
        <f aca="false">SUM(H45:H48)</f>
        <v>88.2165</v>
      </c>
    </row>
    <row r="55" customFormat="false" ht="11.25" hidden="false" customHeight="false" outlineLevel="0" collapsed="false">
      <c r="A55" s="1061"/>
      <c r="G55" s="10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7" activeCellId="0" sqref="A17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37061</v>
      </c>
      <c r="B5" s="18" t="n">
        <v>83</v>
      </c>
      <c r="C5" s="19" t="n">
        <v>65</v>
      </c>
      <c r="D5" s="19" t="n">
        <v>7.2</v>
      </c>
      <c r="E5" s="18" t="n">
        <v>71.2</v>
      </c>
      <c r="F5" s="18" t="n">
        <v>77</v>
      </c>
      <c r="G5" s="18" t="n">
        <v>6689</v>
      </c>
      <c r="H5" s="18" t="n">
        <v>0</v>
      </c>
      <c r="I5" s="20" t="s">
        <v>29</v>
      </c>
      <c r="J5" s="20"/>
      <c r="K5" s="18" t="n">
        <v>2</v>
      </c>
      <c r="L5" s="18" t="n">
        <v>1</v>
      </c>
      <c r="N5" s="13" t="str">
        <f aca="false">I5&amp;" "&amp;I5</f>
        <v> OVERNIGHT…MOSTLY CLOUDY. A 40% CHANCE OF RAIN.  OVERNIGHT…MOSTLY CLOUDY. A 40% CHANCE OF RAIN.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37062</v>
      </c>
      <c r="B6" s="18" t="n">
        <v>78</v>
      </c>
      <c r="C6" s="19" t="n">
        <v>59</v>
      </c>
      <c r="D6" s="19" t="n">
        <v>7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32</v>
      </c>
      <c r="K6" s="18" t="n">
        <v>2</v>
      </c>
      <c r="L6" s="18" t="s">
        <v>33</v>
      </c>
      <c r="N6" s="13" t="str">
        <f aca="false">I6&amp;" "&amp;J6</f>
        <v>MOSTLY CLOUDY THIS A.M…BECOMING PARTLY SUNNY BY P.M. N.E. WINDS 5/10 MPH OVERNIGHT…PARTLY CLOUDY. LIGHT NORTH WINDS.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37063</v>
      </c>
      <c r="B7" s="18" t="n">
        <v>72</v>
      </c>
      <c r="C7" s="19" t="n">
        <v>53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36</v>
      </c>
      <c r="K7" s="18" t="n">
        <v>3</v>
      </c>
      <c r="L7" s="18" t="s">
        <v>17</v>
      </c>
      <c r="N7" s="13" t="str">
        <f aca="false">I7&amp;" "&amp;J7</f>
        <v>PARTLY CLOUDY WITH A 30% CHANCE OF P.M. SHOWERS…COOLER NEAR LAKE. OVE RNIGHT…BECOMING FAIR.</v>
      </c>
    </row>
    <row r="8" customFormat="false" ht="16.5" hidden="false" customHeight="true" outlineLevel="0" collapsed="false">
      <c r="A8" s="17" t="n">
        <f aca="false">A7+1</f>
        <v>37064</v>
      </c>
      <c r="B8" s="18" t="n">
        <v>74</v>
      </c>
      <c r="C8" s="19" t="n">
        <v>51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1</v>
      </c>
      <c r="L8" s="18"/>
      <c r="N8" s="13" t="str">
        <f aca="false">I8&amp;" "&amp;J8</f>
        <v>SUNNY…BUT COOLER NEAR THE LAKE.  </v>
      </c>
    </row>
    <row r="9" customFormat="false" ht="16.5" hidden="false" customHeight="true" outlineLevel="0" collapsed="false">
      <c r="A9" s="17" t="n">
        <f aca="false">A8+1</f>
        <v>37065</v>
      </c>
      <c r="B9" s="18" t="n">
        <v>80</v>
      </c>
      <c r="C9" s="19" t="n">
        <v>58</v>
      </c>
      <c r="D9" s="19" t="n">
        <v>6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PARTLY CLOUDY…BUT COOLER NEAR THE LAKE.  </v>
      </c>
    </row>
    <row r="10" customFormat="false" ht="16.5" hidden="false" customHeight="true" outlineLevel="0" collapsed="false">
      <c r="A10" s="17" t="n">
        <f aca="false">A9+1</f>
        <v>37066</v>
      </c>
      <c r="B10" s="18" t="n">
        <v>85</v>
      </c>
      <c r="C10" s="19" t="n">
        <v>62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0</v>
      </c>
      <c r="K10" s="18" t="n">
        <v>1</v>
      </c>
      <c r="L10" s="18" t="s">
        <v>40</v>
      </c>
      <c r="N10" s="13" t="str">
        <f aca="false">I10&amp;" "&amp;J10</f>
        <v>SUNNY.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1" activeCellId="0" sqref="G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2" t="s">
        <v>691</v>
      </c>
      <c r="B2" s="1063" t="n">
        <f aca="false">PGL_Deliveries!U5/1000</f>
        <v>215.62</v>
      </c>
      <c r="C2" s="95"/>
      <c r="D2" s="1064" t="s">
        <v>676</v>
      </c>
      <c r="E2" s="1065" t="n">
        <f aca="false">Weather_Input!A5</f>
        <v>37061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3" t="s">
        <v>721</v>
      </c>
      <c r="B3" s="1066" t="n">
        <f aca="false">PGL_Supplies!I7/1000</f>
        <v>0</v>
      </c>
      <c r="C3" s="1067"/>
      <c r="D3" s="1068" t="s">
        <v>302</v>
      </c>
      <c r="E3" s="1069" t="n">
        <f aca="false">PGL_Deliveries!T5/1000</f>
        <v>0</v>
      </c>
      <c r="F3" s="1070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1"/>
      <c r="B4" s="1071"/>
      <c r="C4" s="349"/>
      <c r="D4" s="1072"/>
      <c r="E4" s="981"/>
      <c r="F4" s="1073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74" t="s">
        <v>722</v>
      </c>
      <c r="B5" s="974" t="n">
        <f aca="false">PGL_Deliveries!D5/1000</f>
        <v>0</v>
      </c>
      <c r="C5" s="71"/>
      <c r="D5" s="73" t="s">
        <v>723</v>
      </c>
      <c r="E5" s="974" t="n">
        <f aca="false">PGL_Deliveries!O5/1000</f>
        <v>0.001</v>
      </c>
      <c r="F5" s="1075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76" t="s">
        <v>513</v>
      </c>
      <c r="B6" s="974" t="n">
        <f aca="false">PGL_Deliveries!I5/1000</f>
        <v>167.89</v>
      </c>
      <c r="C6" s="1077"/>
      <c r="D6" s="73" t="s">
        <v>724</v>
      </c>
      <c r="E6" s="974" t="n">
        <f aca="false">PGL_Deliveries!P5/1000</f>
        <v>0.799</v>
      </c>
      <c r="F6" s="1075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78" t="s">
        <v>725</v>
      </c>
      <c r="B7" s="1079" t="n">
        <f aca="false">SUM(B5:B6)</f>
        <v>167.89</v>
      </c>
      <c r="C7" s="1077"/>
      <c r="D7" s="73" t="s">
        <v>462</v>
      </c>
      <c r="E7" s="974" t="n">
        <f aca="false">PGL_Deliveries!E5/1000</f>
        <v>0</v>
      </c>
      <c r="F7" s="1075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0" t="s">
        <v>685</v>
      </c>
      <c r="B8" s="974" t="n">
        <f aca="false">PGL_Deliveries!V5/1000</f>
        <v>89.586</v>
      </c>
      <c r="C8" s="1081"/>
      <c r="D8" s="73" t="s">
        <v>726</v>
      </c>
      <c r="E8" s="974" t="n">
        <f aca="false">PGL_Deliveries!N5/1000</f>
        <v>0.287</v>
      </c>
      <c r="F8" s="1075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68" t="s">
        <v>89</v>
      </c>
      <c r="B9" s="974" t="n">
        <f aca="false">PGL_Deliveries!W5/1000</f>
        <v>0</v>
      </c>
      <c r="C9" s="71"/>
      <c r="D9" s="73" t="s">
        <v>465</v>
      </c>
      <c r="E9" s="974" t="n">
        <f aca="false">PGL_Deliveries!Q5/1000</f>
        <v>0.245</v>
      </c>
      <c r="F9" s="1075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68" t="s">
        <v>434</v>
      </c>
      <c r="B10" s="974" t="n">
        <f aca="false">PGL_Deliveries!X5/1000</f>
        <v>0</v>
      </c>
      <c r="C10" s="71"/>
      <c r="D10" s="73" t="s">
        <v>466</v>
      </c>
      <c r="E10" s="974" t="n">
        <f aca="false">PGL_Deliveries!S5/1000</f>
        <v>4.594</v>
      </c>
      <c r="F10" s="1075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2" t="s">
        <v>98</v>
      </c>
      <c r="B11" s="974" t="n">
        <f aca="false">(PGL_Deliveries!AJ5+PGL_Deliveries!AK5)/1000</f>
        <v>24.85</v>
      </c>
      <c r="C11" s="71"/>
      <c r="D11" s="73" t="s">
        <v>727</v>
      </c>
      <c r="E11" s="974" t="n">
        <f aca="false">PGL_Deliveries!R5/1000</f>
        <v>1.064</v>
      </c>
      <c r="F11" s="1075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68" t="s">
        <v>728</v>
      </c>
      <c r="B12" s="974" t="n">
        <f aca="false">PGL_Supplies!J7/1000</f>
        <v>0</v>
      </c>
      <c r="C12" s="71"/>
      <c r="D12" s="73" t="s">
        <v>469</v>
      </c>
      <c r="E12" s="974" t="n">
        <f aca="false">PGL_Deliveries!G5/1000</f>
        <v>2.247</v>
      </c>
      <c r="F12" s="1075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68" t="s">
        <v>729</v>
      </c>
      <c r="B13" s="974" t="n">
        <f aca="false">PGL_Deliveries!Y5/1000+PGL_Deliveries!Z5/1000+PGL_Deliveries!AA5/1000-PGL_Deliveries!BE5/1000-PGL_Deliveries!BF5/1000</f>
        <v>158.179</v>
      </c>
      <c r="C13" s="71"/>
      <c r="D13" s="73" t="s">
        <v>470</v>
      </c>
      <c r="E13" s="974" t="n">
        <f aca="false">PGL_Deliveries!F5/1000</f>
        <v>0</v>
      </c>
      <c r="F13" s="1075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68" t="s">
        <v>436</v>
      </c>
      <c r="B14" s="974" t="n">
        <f aca="false">PGL_Deliveries!AD5/1000</f>
        <v>0</v>
      </c>
      <c r="C14" s="71"/>
      <c r="D14" s="73" t="s">
        <v>472</v>
      </c>
      <c r="E14" s="974" t="n">
        <f aca="false">PGL_Deliveries!H5/1000</f>
        <v>36.795</v>
      </c>
      <c r="F14" s="1075"/>
      <c r="G14" s="97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68" t="s">
        <v>70</v>
      </c>
      <c r="B15" s="974" t="n">
        <f aca="false">PGL_Deliveries!AH5/1000+PGL_Deliveries!AX5/1000+PGL_Deliveries!AT5/1000-PGL_Deliveries!AS5/1000-PGL_Deliveries!AU5/1000+PGL_Deliveries!AE5/1000+PGL_Deliveries!AF5/1000-PGL_Deliveries!AV5/1000</f>
        <v>-120.447</v>
      </c>
      <c r="C15" s="71"/>
      <c r="D15" s="73" t="s">
        <v>474</v>
      </c>
      <c r="E15" s="974" t="n">
        <f aca="false">PGL_Deliveries!K5/1000</f>
        <v>0.019</v>
      </c>
      <c r="F15" s="1075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68" t="s">
        <v>730</v>
      </c>
      <c r="B16" s="95"/>
      <c r="C16" s="1082" t="n">
        <f aca="false">PGL_Deliveries!AO5/1000</f>
        <v>0</v>
      </c>
      <c r="D16" s="73" t="s">
        <v>478</v>
      </c>
      <c r="E16" s="974" t="n">
        <f aca="false">PGL_Deliveries!L5/1000</f>
        <v>0.003</v>
      </c>
      <c r="F16" s="1075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79" t="s">
        <v>438</v>
      </c>
      <c r="B17" s="974" t="n">
        <f aca="false">PGL_Deliveries!AP5/1000</f>
        <v>15.722</v>
      </c>
      <c r="C17" s="1077" t="s">
        <v>0</v>
      </c>
      <c r="D17" s="1083" t="s">
        <v>476</v>
      </c>
      <c r="E17" s="980" t="n">
        <f aca="false">PGL_Deliveries!M5/1000</f>
        <v>1.676</v>
      </c>
      <c r="F17" s="1073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84" t="s">
        <v>731</v>
      </c>
      <c r="B18" s="1003" t="n">
        <f aca="false">SUM(B8:B17)-C16</f>
        <v>167.89</v>
      </c>
      <c r="C18" s="1077"/>
      <c r="D18" s="1085" t="s">
        <v>732</v>
      </c>
      <c r="E18" s="1086" t="n">
        <f aca="false">SUM(E5:E17)</f>
        <v>47.73</v>
      </c>
      <c r="F18" s="1073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0" t="s">
        <v>646</v>
      </c>
      <c r="B19" s="974" t="n">
        <f aca="false">PGL_Supplies!X7/1000</f>
        <v>89.603</v>
      </c>
      <c r="C19" s="1081"/>
      <c r="D19" s="73" t="s">
        <v>623</v>
      </c>
      <c r="E19" s="974" t="n">
        <f aca="false">PGL_Deliveries!AI5/1000</f>
        <v>0.006</v>
      </c>
      <c r="F19" s="1075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68" t="s">
        <v>288</v>
      </c>
      <c r="B20" s="974" t="n">
        <f aca="false">PGL_Supplies!W7/1000</f>
        <v>0</v>
      </c>
      <c r="C20" s="71"/>
      <c r="D20" s="73" t="s">
        <v>442</v>
      </c>
      <c r="E20" s="974" t="n">
        <f aca="false">PGL_Deliveries!AW5/1000+B40</f>
        <v>1.81965</v>
      </c>
      <c r="F20" s="1075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68" t="s">
        <v>650</v>
      </c>
      <c r="C21" s="975" t="n">
        <f aca="false">PGL_Requirements!I7/1000</f>
        <v>0</v>
      </c>
      <c r="D21" s="1087" t="s">
        <v>733</v>
      </c>
      <c r="E21" s="1088" t="n">
        <f aca="false">SUM(E18:E20)</f>
        <v>49.55565</v>
      </c>
      <c r="F21" s="1089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0" t="s">
        <v>720</v>
      </c>
      <c r="B22" s="1091" t="n">
        <f aca="false">+B19+B20-C21</f>
        <v>89.603</v>
      </c>
      <c r="C22" s="76"/>
      <c r="D22" s="1092" t="s">
        <v>734</v>
      </c>
      <c r="E22" s="974" t="n">
        <f aca="false">NSG_Requirements!$L$7/1000</f>
        <v>0</v>
      </c>
      <c r="F22" s="1075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68" t="s">
        <v>482</v>
      </c>
      <c r="B23" s="974" t="n">
        <f aca="false">PGL_Supplies!Y7/1000</f>
        <v>0.2</v>
      </c>
      <c r="C23" s="71"/>
      <c r="D23" s="1092" t="s">
        <v>735</v>
      </c>
      <c r="E23" s="95"/>
      <c r="F23" s="975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2" t="s">
        <v>736</v>
      </c>
      <c r="B24" s="1093"/>
      <c r="C24" s="1082" t="n">
        <f aca="false">PGL_Requirements!T7/1000</f>
        <v>0</v>
      </c>
      <c r="D24" s="95" t="s">
        <v>737</v>
      </c>
      <c r="E24" s="95"/>
      <c r="F24" s="97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2" t="s">
        <v>738</v>
      </c>
      <c r="B25" s="974" t="n">
        <f aca="false">PGL_Supplies!Q7/1000</f>
        <v>0</v>
      </c>
      <c r="C25" s="71"/>
      <c r="D25" s="1092" t="s">
        <v>739</v>
      </c>
      <c r="E25" s="95"/>
      <c r="F25" s="975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0" t="s">
        <v>479</v>
      </c>
      <c r="B26" s="82" t="s">
        <v>0</v>
      </c>
      <c r="C26" s="1094" t="s">
        <v>0</v>
      </c>
      <c r="D26" s="95" t="s">
        <v>740</v>
      </c>
      <c r="E26" s="95"/>
      <c r="F26" s="97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68" t="s">
        <v>741</v>
      </c>
      <c r="B27" s="974" t="n">
        <f aca="false">PGL_Supplies!Z7/1000</f>
        <v>0</v>
      </c>
      <c r="C27" s="71"/>
      <c r="D27" s="1092" t="s">
        <v>742</v>
      </c>
      <c r="E27" s="95" t="s">
        <v>0</v>
      </c>
      <c r="F27" s="975" t="n">
        <f aca="false">PGL_Requirements!N7/1000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68" t="s">
        <v>743</v>
      </c>
      <c r="B28" s="974" t="n">
        <v>0</v>
      </c>
      <c r="C28" s="71"/>
      <c r="D28" s="1095" t="s">
        <v>744</v>
      </c>
      <c r="E28" s="974" t="n">
        <f aca="false">PGL_Deliveries!AR5/1000</f>
        <v>18</v>
      </c>
      <c r="F28" s="1075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68" t="s">
        <v>745</v>
      </c>
      <c r="B29" s="1096" t="n">
        <f aca="false">PGL_Supplies!AC7/1000</f>
        <v>4</v>
      </c>
      <c r="C29" s="71"/>
      <c r="D29" s="1092" t="s">
        <v>746</v>
      </c>
      <c r="E29" s="974" t="n">
        <f aca="false">PGL_Supplies!L7/1000</f>
        <v>0</v>
      </c>
      <c r="F29" s="1075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68" t="s">
        <v>747</v>
      </c>
      <c r="B30" s="974" t="n">
        <f aca="false">PGL_Supplies!AD7/1000</f>
        <v>0</v>
      </c>
      <c r="C30" s="71"/>
      <c r="D30" s="95" t="s">
        <v>357</v>
      </c>
      <c r="E30" s="974" t="n">
        <f aca="false">PGL_Supplies!AB7/1000</f>
        <v>31.556</v>
      </c>
      <c r="F30" s="1075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2" t="s">
        <v>748</v>
      </c>
      <c r="B31" s="95"/>
      <c r="C31" s="1082" t="n">
        <v>0</v>
      </c>
      <c r="D31" s="95" t="s">
        <v>749</v>
      </c>
      <c r="E31" s="974" t="n">
        <v>0</v>
      </c>
      <c r="F31" s="1075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2" t="s">
        <v>750</v>
      </c>
      <c r="B32" s="974" t="n">
        <f aca="false">PGL_Supplies!P7/1000</f>
        <v>0</v>
      </c>
      <c r="C32" s="71"/>
      <c r="D32" s="1095" t="s">
        <v>751</v>
      </c>
      <c r="E32" s="974" t="n">
        <f aca="false">PGL_Supplies!M7/1000</f>
        <v>0</v>
      </c>
      <c r="F32" s="1075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68" t="s">
        <v>752</v>
      </c>
      <c r="B33" s="1097" t="n">
        <f aca="false">(PGL_Deliveries!AB5+PGL_Deliveries!AC5+PGL_Deliveries!AD5)/1000</f>
        <v>0</v>
      </c>
      <c r="C33" s="71"/>
      <c r="D33" s="1092" t="s">
        <v>753</v>
      </c>
      <c r="E33" s="974" t="n">
        <f aca="false">PGL_Supplies!N7/1000</f>
        <v>0</v>
      </c>
      <c r="F33" s="1075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68" t="s">
        <v>754</v>
      </c>
      <c r="B34" s="95"/>
      <c r="C34" s="71" t="n">
        <f aca="false">PGL_Deliveries!AC5/1000</f>
        <v>0</v>
      </c>
      <c r="F34" s="1075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0" t="s">
        <v>755</v>
      </c>
      <c r="B35" s="82"/>
      <c r="C35" s="1094" t="n">
        <f aca="false">PGL_Deliveries!AB5/1000</f>
        <v>0</v>
      </c>
      <c r="F35" s="1075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2" t="s">
        <v>756</v>
      </c>
      <c r="B36" s="974" t="s">
        <v>0</v>
      </c>
      <c r="C36" s="1082" t="n">
        <f aca="false">PGL_Requirements!O7/1000</f>
        <v>131.31</v>
      </c>
      <c r="F36" s="1075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2" t="s">
        <v>757</v>
      </c>
      <c r="B37" s="974" t="n">
        <f aca="false">PGL_Supplies!L7/1000</f>
        <v>0</v>
      </c>
      <c r="C37" s="71"/>
      <c r="F37" s="1075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68" t="s">
        <v>758</v>
      </c>
      <c r="B38" s="95"/>
      <c r="C38" s="1082" t="n">
        <f aca="false">PGL_Deliveries!AS5/1000</f>
        <v>0</v>
      </c>
      <c r="F38" s="1075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68" t="s">
        <v>463</v>
      </c>
      <c r="B39" s="974" t="n">
        <f aca="false">PGL_Deliveries!AT5/1000</f>
        <v>1.463</v>
      </c>
      <c r="C39" s="71"/>
      <c r="D39" s="1098" t="s">
        <v>386</v>
      </c>
      <c r="E39" s="1088" t="n">
        <f aca="false">SUM(E22:E33)-SUM(F23:F38)-E29</f>
        <v>49.556</v>
      </c>
      <c r="F39" s="1073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68" t="s">
        <v>334</v>
      </c>
      <c r="B40" s="974" t="n">
        <f aca="false">PGL_Deliveries!AG5/1000</f>
        <v>0</v>
      </c>
      <c r="C40" s="71"/>
      <c r="D40" s="1099" t="s">
        <v>759</v>
      </c>
      <c r="E40" s="1069"/>
      <c r="F40" s="975" t="n">
        <f aca="false">PGL_Requirements!J7/1000</f>
        <v>6.444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2" t="s">
        <v>760</v>
      </c>
      <c r="B41" s="974" t="n">
        <f aca="false">PGL_Deliveries!AF5/1000</f>
        <v>0</v>
      </c>
      <c r="C41" s="71"/>
      <c r="D41" s="1092" t="s">
        <v>761</v>
      </c>
      <c r="E41" s="1100" t="n">
        <f aca="false">PGL_Supplies!AA7/1000</f>
        <v>167.271</v>
      </c>
      <c r="F41" s="1075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762</v>
      </c>
      <c r="B42" s="974" t="n">
        <f aca="false">PGL_Deliveries!BI5/1000</f>
        <v>0</v>
      </c>
      <c r="C42" s="1082" t="n">
        <f aca="false">PGL_Deliveries!BH5/1000</f>
        <v>0</v>
      </c>
      <c r="D42" s="95" t="s">
        <v>451</v>
      </c>
      <c r="E42" s="1100" t="n">
        <f aca="false">PGL_Supplies!V7/1000</f>
        <v>0</v>
      </c>
      <c r="F42" s="1075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68" t="s">
        <v>763</v>
      </c>
      <c r="B43" s="974" t="n">
        <f aca="false">PGL_Deliveries!AW5/1000</f>
        <v>1.81965</v>
      </c>
      <c r="C43" s="71"/>
      <c r="D43" s="95" t="s">
        <v>641</v>
      </c>
      <c r="E43" s="974"/>
      <c r="F43" s="975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68" t="s">
        <v>764</v>
      </c>
      <c r="B44" s="981"/>
      <c r="C44" s="1082" t="n">
        <f aca="false">PGL_Requirements!Q7/1000</f>
        <v>0.6</v>
      </c>
      <c r="D44" s="95" t="s">
        <v>765</v>
      </c>
      <c r="E44" s="974" t="n">
        <f aca="false">NSG_Requirements!$AB$7+NSG_Requirements!$AC$7+NSG_Requirements!$AD$7+NSG_Requirements!$AE$7/1000+NSG_Requirements!K7/1000</f>
        <v>0</v>
      </c>
      <c r="F44" s="97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0" t="s">
        <v>766</v>
      </c>
      <c r="B45" s="95" t="n">
        <f aca="false">Weather_Input!B5</f>
        <v>83</v>
      </c>
      <c r="C45" s="1067"/>
      <c r="D45" s="95" t="s">
        <v>364</v>
      </c>
      <c r="E45" s="1100" t="n">
        <f aca="false">PGL_Supplies!S7/1000</f>
        <v>34.334</v>
      </c>
      <c r="F45" s="1075"/>
    </row>
    <row r="46" customFormat="false" ht="15" hidden="false" customHeight="false" outlineLevel="0" collapsed="false">
      <c r="A46" s="968" t="s">
        <v>767</v>
      </c>
      <c r="B46" s="1101" t="n">
        <f aca="false">Weather_Input!C5</f>
        <v>65</v>
      </c>
      <c r="C46" s="41"/>
      <c r="D46" s="30" t="s">
        <v>768</v>
      </c>
      <c r="E46" s="95"/>
      <c r="F46" s="975" t="n">
        <f aca="false">PGL_Deliveries!BE5/1000</f>
        <v>17.527</v>
      </c>
    </row>
    <row r="47" customFormat="false" ht="15" hidden="false" customHeight="false" outlineLevel="0" collapsed="false">
      <c r="A47" s="992" t="s">
        <v>769</v>
      </c>
      <c r="B47" s="95" t="n">
        <f aca="false">Weather_Input!E5</f>
        <v>71.2</v>
      </c>
      <c r="C47" s="41"/>
      <c r="D47" s="1102" t="s">
        <v>770</v>
      </c>
      <c r="E47" s="82"/>
      <c r="F47" s="1103" t="n">
        <f aca="false">PGL_Deliveries!BF5/1000</f>
        <v>6.467</v>
      </c>
    </row>
    <row r="48" customFormat="false" ht="15" hidden="false" customHeight="false" outlineLevel="0" collapsed="false">
      <c r="A48" s="968" t="s">
        <v>771</v>
      </c>
      <c r="B48" s="1104" t="n">
        <f aca="false">Weather_Input!D5</f>
        <v>7.2</v>
      </c>
      <c r="C48" s="41"/>
      <c r="D48" s="1092" t="s">
        <v>503</v>
      </c>
      <c r="E48" s="974" t="n">
        <f aca="false">PGL_Deliveries!AI5/1000</f>
        <v>0.006</v>
      </c>
      <c r="F48" s="398"/>
    </row>
    <row r="49" customFormat="false" ht="15" hidden="false" customHeight="false" outlineLevel="0" collapsed="false">
      <c r="A49" s="968" t="s">
        <v>772</v>
      </c>
      <c r="B49" s="974" t="n">
        <f aca="false">PGL_Deliveries!AM5/1000</f>
        <v>1.016</v>
      </c>
      <c r="C49" s="41"/>
      <c r="D49" s="95" t="s">
        <v>773</v>
      </c>
      <c r="E49" s="974" t="n">
        <f aca="false">PGL_Deliveries!AJ5/1000</f>
        <v>7.086</v>
      </c>
      <c r="F49" s="398"/>
    </row>
    <row r="50" customFormat="false" ht="15.75" hidden="false" customHeight="false" outlineLevel="2" collapsed="false">
      <c r="A50" s="951" t="s">
        <v>774</v>
      </c>
      <c r="B50" s="1071"/>
      <c r="C50" s="349"/>
      <c r="D50" s="981" t="s">
        <v>775</v>
      </c>
      <c r="E50" s="980" t="n">
        <f aca="false">PGL_Deliveries!AK5/1000</f>
        <v>17.764</v>
      </c>
      <c r="F50" s="1000"/>
    </row>
    <row r="51" customFormat="false" ht="15" hidden="false" customHeight="false" outlineLevel="2" collapsed="false">
      <c r="A51" s="1105" t="s">
        <v>776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0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5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06" t="s">
        <v>777</v>
      </c>
      <c r="B3" s="1107" t="n">
        <f aca="false">NSG_Deliveries!H5/1000</f>
        <v>35.429</v>
      </c>
      <c r="C3" s="476"/>
      <c r="D3" s="1108" t="s">
        <v>676</v>
      </c>
      <c r="E3" s="1109" t="n">
        <f aca="false">Weather_Input!A5</f>
        <v>37061</v>
      </c>
      <c r="F3" s="476"/>
      <c r="G3" s="0"/>
      <c r="J3" s="0"/>
      <c r="K3" s="0"/>
    </row>
    <row r="4" customFormat="false" ht="15.75" hidden="false" customHeight="false" outlineLevel="0" collapsed="false">
      <c r="A4" s="252"/>
      <c r="B4" s="1110"/>
      <c r="C4" s="1111"/>
      <c r="D4" s="41"/>
      <c r="E4" s="41"/>
      <c r="F4" s="1112"/>
      <c r="G4" s="0"/>
      <c r="J4" s="0"/>
      <c r="K4" s="0"/>
    </row>
    <row r="5" customFormat="false" ht="15" hidden="false" customHeight="false" outlineLevel="0" collapsed="false">
      <c r="A5" s="1113" t="s">
        <v>431</v>
      </c>
      <c r="B5" s="1114" t="n">
        <f aca="false">NSG_Deliveries!E5/1000</f>
        <v>23.805</v>
      </c>
      <c r="C5" s="1115"/>
      <c r="D5" s="1116" t="s">
        <v>686</v>
      </c>
      <c r="E5" s="1117" t="n">
        <f aca="false">NSG_Deliveries!D5/1000</f>
        <v>0</v>
      </c>
      <c r="F5" s="1118"/>
      <c r="G5" s="0"/>
      <c r="J5" s="0"/>
      <c r="K5" s="0"/>
    </row>
    <row r="6" customFormat="false" ht="15" hidden="false" customHeight="true" outlineLevel="0" collapsed="false">
      <c r="A6" s="252"/>
      <c r="B6" s="1110"/>
      <c r="C6" s="1111"/>
      <c r="D6" s="41"/>
      <c r="E6" s="41"/>
      <c r="F6" s="1119"/>
      <c r="G6" s="0"/>
    </row>
    <row r="7" customFormat="false" ht="15" hidden="false" customHeight="true" outlineLevel="0" collapsed="false">
      <c r="A7" s="1113" t="s">
        <v>778</v>
      </c>
      <c r="B7" s="1117" t="n">
        <f aca="false">NSG_Deliveries!G5/1000</f>
        <v>1.053</v>
      </c>
      <c r="C7" s="1120"/>
      <c r="D7" s="1116" t="s">
        <v>779</v>
      </c>
      <c r="E7" s="1117" t="n">
        <f aca="false">NSG_Supplies!T7/1000</f>
        <v>0</v>
      </c>
      <c r="F7" s="1121"/>
      <c r="G7" s="0"/>
    </row>
    <row r="8" customFormat="false" ht="15" hidden="false" customHeight="true" outlineLevel="0" collapsed="false">
      <c r="A8" s="1122" t="s">
        <v>386</v>
      </c>
      <c r="B8" s="1117" t="n">
        <f aca="false">B5+B7</f>
        <v>24.858</v>
      </c>
      <c r="C8" s="398"/>
      <c r="D8" s="1123" t="s">
        <v>780</v>
      </c>
      <c r="E8" s="1124" t="n">
        <f aca="false">NSG_Deliveries!F5/1000</f>
        <v>10.571</v>
      </c>
      <c r="F8" s="263"/>
      <c r="G8" s="0"/>
    </row>
    <row r="9" customFormat="false" ht="15" hidden="false" customHeight="true" outlineLevel="0" collapsed="false">
      <c r="A9" s="1125" t="s">
        <v>628</v>
      </c>
      <c r="B9" s="1126" t="s">
        <v>0</v>
      </c>
      <c r="C9" s="1127" t="n">
        <f aca="false">NSG_Requirements!L7/1000</f>
        <v>0</v>
      </c>
      <c r="D9" s="29" t="s">
        <v>304</v>
      </c>
      <c r="E9" s="1128" t="s">
        <v>0</v>
      </c>
      <c r="F9" s="1129" t="n">
        <f aca="false">NSG_Deliveries!M5/1000</f>
        <v>4.644</v>
      </c>
      <c r="G9" s="40"/>
    </row>
    <row r="10" customFormat="false" ht="15" hidden="false" customHeight="true" outlineLevel="0" collapsed="false">
      <c r="A10" s="1130" t="s">
        <v>781</v>
      </c>
      <c r="B10" s="1131" t="n">
        <f aca="false">NSG_Supplies!G7/1000</f>
        <v>0</v>
      </c>
      <c r="C10" s="1132"/>
      <c r="D10" s="1133" t="s">
        <v>782</v>
      </c>
      <c r="E10" s="1134" t="n">
        <f aca="false">NSG_Deliveries!N5/1000</f>
        <v>0</v>
      </c>
      <c r="F10" s="1135"/>
      <c r="G10" s="0"/>
    </row>
    <row r="11" customFormat="false" ht="15" hidden="false" customHeight="true" outlineLevel="0" collapsed="false">
      <c r="A11" s="1136" t="s">
        <v>783</v>
      </c>
      <c r="B11" s="1137" t="s">
        <v>0</v>
      </c>
      <c r="C11" s="1138"/>
      <c r="D11" s="979" t="s">
        <v>784</v>
      </c>
      <c r="E11" s="1139" t="n">
        <f aca="false">NSG_Supplies!P7/1000</f>
        <v>15.215</v>
      </c>
      <c r="F11" s="1140"/>
      <c r="G11" s="0"/>
    </row>
    <row r="12" customFormat="false" ht="15" hidden="false" customHeight="true" outlineLevel="0" collapsed="false">
      <c r="A12" s="1130" t="s">
        <v>785</v>
      </c>
      <c r="B12" s="1131" t="n">
        <v>0</v>
      </c>
      <c r="C12" s="1111"/>
      <c r="D12" s="0" t="s">
        <v>786</v>
      </c>
      <c r="E12" s="1110"/>
      <c r="F12" s="114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0" t="s">
        <v>787</v>
      </c>
      <c r="B13" s="1131" t="n">
        <f aca="false">NSG_Supplies!Q7/1000</f>
        <v>27.899</v>
      </c>
      <c r="C13" s="1111"/>
      <c r="D13" s="1142" t="s">
        <v>788</v>
      </c>
      <c r="E13" s="1143"/>
      <c r="F13" s="1144"/>
      <c r="G13" s="0"/>
    </row>
    <row r="14" customFormat="false" ht="15" hidden="false" customHeight="true" outlineLevel="0" collapsed="false">
      <c r="A14" s="1130" t="s">
        <v>447</v>
      </c>
      <c r="B14" s="1131" t="n">
        <f aca="false">NSG_Supplies!C7/1000</f>
        <v>0</v>
      </c>
      <c r="C14" s="1111"/>
      <c r="D14" s="1145" t="s">
        <v>789</v>
      </c>
      <c r="E14" s="1146" t="s">
        <v>0</v>
      </c>
      <c r="F14" s="1147" t="n">
        <f aca="false">NSG_Requirements!M7/1000</f>
        <v>0</v>
      </c>
    </row>
    <row r="15" customFormat="false" ht="15" hidden="false" customHeight="true" outlineLevel="0" collapsed="false">
      <c r="A15" s="1148" t="s">
        <v>790</v>
      </c>
      <c r="B15" s="1145"/>
      <c r="C15" s="1127" t="n">
        <f aca="false">NSG_Deliveries!K5/1000</f>
        <v>3.031</v>
      </c>
      <c r="D15" s="1149" t="s">
        <v>791</v>
      </c>
      <c r="E15" s="1150" t="n">
        <f aca="false">+NSG_Supplies!N7/1000</f>
        <v>0</v>
      </c>
      <c r="F15" s="1151"/>
    </row>
    <row r="16" customFormat="false" ht="15" hidden="false" customHeight="true" outlineLevel="0" collapsed="false">
      <c r="A16" s="1148" t="s">
        <v>792</v>
      </c>
      <c r="B16" s="1134" t="n">
        <f aca="false">NSG_Deliveries!L5/1000</f>
        <v>0</v>
      </c>
      <c r="C16" s="1152"/>
      <c r="D16" s="1153" t="s">
        <v>501</v>
      </c>
      <c r="E16" s="1154" t="s">
        <v>0</v>
      </c>
      <c r="F16" s="1147" t="n">
        <f aca="false">NSG_Requirements!X7/1000</f>
        <v>0</v>
      </c>
    </row>
    <row r="17" customFormat="false" ht="15" hidden="false" customHeight="true" outlineLevel="0" collapsed="false">
      <c r="A17" s="1130" t="s">
        <v>793</v>
      </c>
      <c r="B17" s="1145"/>
      <c r="C17" s="1127" t="n">
        <f aca="false">NSG_Requirements!P7/1000</f>
        <v>0</v>
      </c>
      <c r="D17" s="1155" t="s">
        <v>794</v>
      </c>
      <c r="E17" s="433"/>
      <c r="F17" s="1156"/>
    </row>
    <row r="18" customFormat="false" ht="15" hidden="false" customHeight="true" outlineLevel="0" collapsed="false">
      <c r="A18" s="1130" t="s">
        <v>795</v>
      </c>
      <c r="B18" s="1131" t="n">
        <f aca="false">NSG_Supplies!H7/1000</f>
        <v>0</v>
      </c>
      <c r="C18" s="1111"/>
      <c r="D18" s="71" t="s">
        <v>796</v>
      </c>
      <c r="E18" s="41"/>
      <c r="F18" s="1147" t="n">
        <f aca="false">NSG_Requirements!N7/1000</f>
        <v>0</v>
      </c>
    </row>
    <row r="19" customFormat="false" ht="15" hidden="false" customHeight="true" outlineLevel="0" collapsed="false">
      <c r="A19" s="1148" t="s">
        <v>797</v>
      </c>
      <c r="B19" s="1134" t="e">
        <f aca="false">#REF!/1000+PGL_Requirements!AA7/1000</f>
        <v>#REF!</v>
      </c>
      <c r="C19" s="1157"/>
      <c r="D19" s="1158" t="s">
        <v>798</v>
      </c>
      <c r="E19" s="41"/>
      <c r="F19" s="1147" t="n">
        <f aca="false">NSG_Requirements!S7/1000</f>
        <v>0</v>
      </c>
    </row>
    <row r="20" customFormat="false" ht="15" hidden="false" customHeight="true" outlineLevel="0" collapsed="false">
      <c r="A20" s="1148" t="s">
        <v>799</v>
      </c>
      <c r="B20" s="1134" t="n">
        <f aca="false">PGL_Requirements!Y7/1000</f>
        <v>0</v>
      </c>
      <c r="C20" s="1157" t="s">
        <v>0</v>
      </c>
      <c r="D20" s="1145" t="s">
        <v>800</v>
      </c>
      <c r="E20" s="41"/>
      <c r="F20" s="1147" t="n">
        <f aca="false">NSG_Requirements!O7/1000</f>
        <v>0</v>
      </c>
    </row>
    <row r="21" customFormat="false" ht="15" hidden="false" customHeight="true" outlineLevel="0" collapsed="false">
      <c r="A21" s="1148" t="s">
        <v>801</v>
      </c>
      <c r="B21" s="1134" t="n">
        <f aca="false">PGL_Requirements!Z7/1000</f>
        <v>0</v>
      </c>
      <c r="C21" s="1157"/>
      <c r="D21" s="1159" t="s">
        <v>802</v>
      </c>
      <c r="E21" s="1131" t="n">
        <f aca="false">NSG_Supplies!K7/1000</f>
        <v>0</v>
      </c>
      <c r="F21" s="1160"/>
    </row>
    <row r="22" customFormat="false" ht="15" hidden="false" customHeight="true" outlineLevel="0" collapsed="false">
      <c r="A22" s="1130" t="s">
        <v>803</v>
      </c>
      <c r="B22" s="1145"/>
      <c r="C22" s="1127" t="n">
        <f aca="false">NSG_Requirements!C7/1000</f>
        <v>0</v>
      </c>
      <c r="D22" s="1159" t="s">
        <v>804</v>
      </c>
      <c r="E22" s="1131" t="n">
        <f aca="false">NSG_Supplies!L7/1000</f>
        <v>0</v>
      </c>
      <c r="F22" s="1160"/>
    </row>
    <row r="23" customFormat="false" ht="15" hidden="false" customHeight="true" outlineLevel="0" collapsed="false">
      <c r="A23" s="1130" t="s">
        <v>805</v>
      </c>
      <c r="B23" s="1145"/>
      <c r="C23" s="1127" t="n">
        <f aca="false">NSG_Requirements!R7/1000</f>
        <v>0</v>
      </c>
      <c r="D23" s="1159" t="s">
        <v>806</v>
      </c>
      <c r="E23" s="1131" t="n">
        <f aca="false">PGL_Supplies!R7/1000</f>
        <v>0</v>
      </c>
      <c r="F23" s="1147" t="s">
        <v>0</v>
      </c>
    </row>
    <row r="24" customFormat="false" ht="15" hidden="false" customHeight="true" outlineLevel="0" collapsed="false">
      <c r="A24" s="1130" t="s">
        <v>807</v>
      </c>
      <c r="B24" s="1131" t="n">
        <f aca="false">NSG_Supplies!J7/1000</f>
        <v>0</v>
      </c>
      <c r="C24" s="1111"/>
      <c r="D24" s="1159" t="s">
        <v>808</v>
      </c>
      <c r="E24" s="1131" t="n">
        <f aca="false">NSG_Supplies!O7/1000</f>
        <v>0</v>
      </c>
      <c r="F24" s="1119"/>
    </row>
    <row r="25" customFormat="false" ht="15" hidden="false" customHeight="true" outlineLevel="0" collapsed="false">
      <c r="A25" s="1148" t="s">
        <v>809</v>
      </c>
      <c r="B25" s="1145"/>
      <c r="C25" s="1127" t="n">
        <f aca="false">NSG_Requirements!Q7/1000</f>
        <v>0</v>
      </c>
      <c r="D25" s="1159" t="s">
        <v>810</v>
      </c>
      <c r="E25" s="1131" t="n">
        <f aca="false">PGL_Requirements!V71/1000</f>
        <v>0</v>
      </c>
      <c r="F25" s="286"/>
    </row>
    <row r="26" customFormat="false" ht="15" hidden="false" customHeight="true" outlineLevel="0" collapsed="false">
      <c r="A26" s="1161" t="s">
        <v>811</v>
      </c>
      <c r="B26" s="1162" t="n">
        <f aca="false">NSG_Supplies!I7/1000</f>
        <v>0</v>
      </c>
      <c r="C26" s="1115"/>
      <c r="D26" s="1163" t="s">
        <v>812</v>
      </c>
      <c r="E26" s="1164"/>
      <c r="F26" s="1147" t="n">
        <f aca="false">NSG_Requirements!D7/1000</f>
        <v>0</v>
      </c>
    </row>
    <row r="27" customFormat="false" ht="15" hidden="false" customHeight="true" outlineLevel="0" collapsed="false">
      <c r="A27" s="1165" t="s">
        <v>386</v>
      </c>
      <c r="B27" s="1166" t="e">
        <f aca="false">SUM(B9:B26)-SUM(C9:C26)</f>
        <v>#REF!</v>
      </c>
      <c r="C27" s="1167"/>
      <c r="D27" s="1168" t="s">
        <v>813</v>
      </c>
      <c r="E27" s="1166" t="n">
        <f aca="false">SUM(E18:E26)-SUM(F18:F26)</f>
        <v>0</v>
      </c>
      <c r="F27" s="1169"/>
      <c r="H27" s="29" t="s">
        <v>0</v>
      </c>
    </row>
    <row r="28" customFormat="false" ht="15" hidden="false" customHeight="true" outlineLevel="0" collapsed="false">
      <c r="A28" s="9" t="s">
        <v>814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0" t="s">
        <v>815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0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0" t="s">
        <v>0</v>
      </c>
    </row>
    <row r="2" customFormat="false" ht="15.75" hidden="false" customHeight="false" outlineLevel="0" collapsed="false">
      <c r="B2" s="1064" t="s">
        <v>0</v>
      </c>
      <c r="C2" s="1064" t="s">
        <v>0</v>
      </c>
      <c r="D2" s="1064" t="s">
        <v>2</v>
      </c>
      <c r="E2" s="1064" t="s">
        <v>0</v>
      </c>
      <c r="F2" s="1064" t="s">
        <v>2</v>
      </c>
      <c r="G2" s="1064" t="s">
        <v>0</v>
      </c>
    </row>
    <row r="4" customFormat="false" ht="15.75" hidden="false" customHeight="false" outlineLevel="0" collapsed="false">
      <c r="B4" s="1171" t="s">
        <v>2</v>
      </c>
    </row>
    <row r="6" customFormat="false" ht="15.75" hidden="false" customHeight="false" outlineLevel="0" collapsed="false">
      <c r="B6" s="1064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64"/>
    </row>
    <row r="8" customFormat="false" ht="15.75" hidden="false" customHeight="false" outlineLevel="0" collapsed="false">
      <c r="B8" s="1064" t="s">
        <v>0</v>
      </c>
    </row>
    <row r="9" customFormat="false" ht="15.75" hidden="false" customHeight="false" outlineLevel="0" collapsed="false">
      <c r="B9" s="1064"/>
    </row>
    <row r="10" customFormat="false" ht="15.75" hidden="false" customHeight="false" outlineLevel="0" collapsed="false">
      <c r="B10" s="1064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64" t="s">
        <v>0</v>
      </c>
    </row>
    <row r="12" customFormat="false" ht="15.75" hidden="false" customHeight="false" outlineLevel="0" collapsed="false">
      <c r="B12" s="1064" t="s">
        <v>0</v>
      </c>
    </row>
    <row r="13" customFormat="false" ht="15.75" hidden="false" customHeight="false" outlineLevel="0" collapsed="false">
      <c r="B13" s="1064"/>
    </row>
    <row r="14" customFormat="false" ht="15.75" hidden="false" customHeight="false" outlineLevel="0" collapsed="false">
      <c r="B14" s="1064" t="s">
        <v>0</v>
      </c>
    </row>
    <row r="15" customFormat="false" ht="15.75" hidden="false" customHeight="false" outlineLevel="0" collapsed="false">
      <c r="B15" s="1064"/>
    </row>
    <row r="16" customFormat="false" ht="15.75" hidden="false" customHeight="false" outlineLevel="0" collapsed="false">
      <c r="B16" s="1064" t="s">
        <v>0</v>
      </c>
    </row>
    <row r="17" customFormat="false" ht="15.75" hidden="false" customHeight="false" outlineLevel="0" collapsed="false">
      <c r="B17" s="1064"/>
    </row>
    <row r="18" customFormat="false" ht="15.75" hidden="false" customHeight="false" outlineLevel="0" collapsed="false">
      <c r="B18" s="1064" t="s">
        <v>0</v>
      </c>
    </row>
    <row r="19" customFormat="false" ht="15.75" hidden="false" customHeight="false" outlineLevel="0" collapsed="false">
      <c r="B19" s="1064"/>
    </row>
    <row r="20" customFormat="false" ht="15.75" hidden="false" customHeight="false" outlineLevel="0" collapsed="false">
      <c r="B20" s="1064" t="s">
        <v>0</v>
      </c>
    </row>
    <row r="21" customFormat="false" ht="15.75" hidden="false" customHeight="false" outlineLevel="0" collapsed="false">
      <c r="B21" s="1064"/>
    </row>
    <row r="22" customFormat="false" ht="15.75" hidden="false" customHeight="false" outlineLevel="0" collapsed="false">
      <c r="B22" s="1064" t="s">
        <v>0</v>
      </c>
    </row>
    <row r="24" customFormat="false" ht="15.75" hidden="false" customHeight="false" outlineLevel="0" collapsed="false">
      <c r="B24" s="1064" t="s">
        <v>0</v>
      </c>
    </row>
    <row r="25" customFormat="false" ht="15.75" hidden="false" customHeight="false" outlineLevel="0" collapsed="false">
      <c r="E25" s="1064" t="s">
        <v>0</v>
      </c>
    </row>
    <row r="27" customFormat="false" ht="15.75" hidden="false" customHeight="false" outlineLevel="0" collapsed="false">
      <c r="B27" s="1064" t="s">
        <v>0</v>
      </c>
    </row>
    <row r="29" customFormat="false" ht="15.75" hidden="false" customHeight="false" outlineLevel="0" collapsed="false">
      <c r="B29" s="1064" t="s">
        <v>0</v>
      </c>
    </row>
    <row r="30" customFormat="false" ht="15.75" hidden="false" customHeight="false" outlineLevel="0" collapsed="false">
      <c r="B30" s="1064"/>
    </row>
    <row r="31" customFormat="false" ht="15.75" hidden="false" customHeight="false" outlineLevel="0" collapsed="false">
      <c r="B31" s="1064" t="s">
        <v>0</v>
      </c>
    </row>
    <row r="32" customFormat="false" ht="15.75" hidden="false" customHeight="false" outlineLevel="0" collapsed="false">
      <c r="B32" s="1064"/>
    </row>
    <row r="33" customFormat="false" ht="15.75" hidden="false" customHeight="false" outlineLevel="0" collapsed="false">
      <c r="B33" s="1064" t="s">
        <v>0</v>
      </c>
    </row>
    <row r="34" customFormat="false" ht="15.75" hidden="false" customHeight="false" outlineLevel="0" collapsed="false">
      <c r="B34" s="1064"/>
    </row>
    <row r="35" customFormat="false" ht="15.75" hidden="false" customHeight="false" outlineLevel="0" collapsed="false">
      <c r="B35" s="1064" t="s">
        <v>0</v>
      </c>
    </row>
    <row r="36" customFormat="false" ht="15.75" hidden="false" customHeight="false" outlineLevel="0" collapsed="false">
      <c r="B36" s="1064"/>
    </row>
    <row r="37" customFormat="false" ht="15.75" hidden="false" customHeight="false" outlineLevel="0" collapsed="false">
      <c r="B37" s="1064" t="s">
        <v>0</v>
      </c>
    </row>
    <row r="38" customFormat="false" ht="15.75" hidden="false" customHeight="false" outlineLevel="0" collapsed="false">
      <c r="B38" s="1064"/>
    </row>
    <row r="39" customFormat="false" ht="15.75" hidden="false" customHeight="false" outlineLevel="0" collapsed="false">
      <c r="B39" s="1064" t="s">
        <v>0</v>
      </c>
    </row>
    <row r="40" customFormat="false" ht="15.75" hidden="false" customHeight="false" outlineLevel="0" collapsed="false">
      <c r="B40" s="1064"/>
    </row>
    <row r="41" customFormat="false" ht="15.75" hidden="false" customHeight="false" outlineLevel="0" collapsed="false">
      <c r="B41" s="1064" t="s">
        <v>0</v>
      </c>
    </row>
    <row r="42" customFormat="false" ht="15.75" hidden="false" customHeight="false" outlineLevel="0" collapsed="false">
      <c r="B42" s="1064"/>
    </row>
    <row r="43" customFormat="false" ht="15.75" hidden="false" customHeight="false" outlineLevel="0" collapsed="false">
      <c r="B43" s="1064" t="s">
        <v>0</v>
      </c>
    </row>
    <row r="44" customFormat="false" ht="15.75" hidden="false" customHeight="false" outlineLevel="0" collapsed="false">
      <c r="B44" s="1064"/>
    </row>
    <row r="45" customFormat="false" ht="15.75" hidden="false" customHeight="false" outlineLevel="0" collapsed="false">
      <c r="B45" s="1064" t="s">
        <v>0</v>
      </c>
    </row>
    <row r="47" customFormat="false" ht="15.75" hidden="false" customHeight="false" outlineLevel="0" collapsed="false">
      <c r="B47" s="1064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Z1" colorId="64" zoomScale="75" zoomScaleNormal="75" zoomScalePageLayoutView="100" workbookViewId="0">
      <selection pane="topLeft" activeCell="Z6" activeCellId="0" sqref="Z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41</v>
      </c>
      <c r="BE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44</v>
      </c>
      <c r="AC2" s="33" t="s">
        <v>0</v>
      </c>
      <c r="AD2" s="33" t="s">
        <v>0</v>
      </c>
      <c r="AE2" s="33" t="s">
        <v>45</v>
      </c>
      <c r="AF2" s="33"/>
      <c r="AG2" s="33" t="s">
        <v>45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45</v>
      </c>
      <c r="BA2" s="0" t="s">
        <v>46</v>
      </c>
      <c r="BC2" s="0" t="s">
        <v>47</v>
      </c>
      <c r="BE2" s="35" t="n">
        <v>1</v>
      </c>
      <c r="BF2" s="11" t="s">
        <v>47</v>
      </c>
      <c r="BH2" s="0" t="s">
        <v>48</v>
      </c>
    </row>
    <row r="3" customFormat="false" ht="15" hidden="false" customHeight="false" outlineLevel="0" collapsed="false">
      <c r="A3" s="29"/>
      <c r="B3" s="36" t="s">
        <v>49</v>
      </c>
      <c r="C3" s="29" t="s">
        <v>0</v>
      </c>
      <c r="D3" s="37" t="s">
        <v>50</v>
      </c>
      <c r="E3" s="36" t="s">
        <v>51</v>
      </c>
      <c r="F3" s="36" t="s">
        <v>51</v>
      </c>
      <c r="G3" s="36" t="s">
        <v>51</v>
      </c>
      <c r="H3" s="36" t="s">
        <v>52</v>
      </c>
      <c r="I3" s="36" t="s">
        <v>52</v>
      </c>
      <c r="J3" s="36" t="s">
        <v>52</v>
      </c>
      <c r="K3" s="36" t="s">
        <v>53</v>
      </c>
      <c r="L3" s="36" t="s">
        <v>54</v>
      </c>
      <c r="M3" s="36" t="s">
        <v>54</v>
      </c>
      <c r="N3" s="36" t="s">
        <v>55</v>
      </c>
      <c r="O3" s="36" t="s">
        <v>56</v>
      </c>
      <c r="P3" s="36" t="s">
        <v>57</v>
      </c>
      <c r="R3" s="36"/>
      <c r="S3" s="36"/>
      <c r="T3" s="36" t="s">
        <v>53</v>
      </c>
      <c r="U3" s="36" t="s">
        <v>10</v>
      </c>
      <c r="V3" s="36"/>
      <c r="W3" s="28"/>
      <c r="X3" s="29"/>
      <c r="Y3" s="29" t="s">
        <v>58</v>
      </c>
      <c r="Z3" s="29"/>
      <c r="AA3" s="29"/>
      <c r="AB3" s="36" t="s">
        <v>59</v>
      </c>
      <c r="AC3" s="36" t="s">
        <v>44</v>
      </c>
      <c r="AD3" s="36" t="s">
        <v>44</v>
      </c>
      <c r="AE3" s="36" t="s">
        <v>60</v>
      </c>
      <c r="AF3" s="36" t="s">
        <v>60</v>
      </c>
      <c r="AG3" s="36" t="s">
        <v>61</v>
      </c>
      <c r="AH3" s="36" t="s">
        <v>61</v>
      </c>
      <c r="AI3" s="36" t="s">
        <v>62</v>
      </c>
      <c r="AJ3" s="36" t="s">
        <v>63</v>
      </c>
      <c r="AK3" s="36" t="s">
        <v>64</v>
      </c>
      <c r="AL3" s="36" t="s">
        <v>65</v>
      </c>
      <c r="AM3" s="11" t="s">
        <v>66</v>
      </c>
      <c r="AO3" s="38" t="s">
        <v>67</v>
      </c>
      <c r="AP3" s="39"/>
      <c r="AQ3" s="38" t="s">
        <v>68</v>
      </c>
      <c r="AR3" s="39"/>
      <c r="AS3" s="38" t="s">
        <v>69</v>
      </c>
      <c r="AT3" s="39"/>
      <c r="AU3" s="34" t="s">
        <v>70</v>
      </c>
      <c r="AV3" s="34" t="s">
        <v>70</v>
      </c>
      <c r="AW3" s="34"/>
      <c r="AX3" s="34" t="s">
        <v>70</v>
      </c>
      <c r="AZ3" s="40" t="s">
        <v>71</v>
      </c>
      <c r="BA3" s="40"/>
      <c r="BB3" s="41"/>
      <c r="BC3" s="40" t="s">
        <v>52</v>
      </c>
      <c r="BE3" s="35" t="s">
        <v>72</v>
      </c>
      <c r="BH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75</v>
      </c>
      <c r="E4" s="36" t="n">
        <v>2</v>
      </c>
      <c r="F4" s="36" t="n">
        <v>3</v>
      </c>
      <c r="G4" s="36" t="s">
        <v>76</v>
      </c>
      <c r="H4" s="36" t="s">
        <v>77</v>
      </c>
      <c r="I4" s="36" t="s">
        <v>78</v>
      </c>
      <c r="J4" s="36" t="s">
        <v>79</v>
      </c>
      <c r="K4" s="36" t="s">
        <v>80</v>
      </c>
      <c r="L4" s="36" t="n">
        <v>1</v>
      </c>
      <c r="M4" s="36" t="n">
        <v>2</v>
      </c>
      <c r="N4" s="36" t="s">
        <v>81</v>
      </c>
      <c r="O4" s="36" t="s">
        <v>82</v>
      </c>
      <c r="P4" s="36" t="s">
        <v>83</v>
      </c>
      <c r="Q4" s="36" t="s">
        <v>84</v>
      </c>
      <c r="R4" s="36" t="s">
        <v>85</v>
      </c>
      <c r="S4" s="36" t="s">
        <v>86</v>
      </c>
      <c r="T4" s="36" t="s">
        <v>87</v>
      </c>
      <c r="U4" s="36" t="s">
        <v>74</v>
      </c>
      <c r="V4" s="36" t="s">
        <v>88</v>
      </c>
      <c r="W4" s="36" t="s">
        <v>89</v>
      </c>
      <c r="X4" s="36" t="s">
        <v>90</v>
      </c>
      <c r="Y4" s="36" t="s">
        <v>91</v>
      </c>
      <c r="Z4" s="36" t="s">
        <v>92</v>
      </c>
      <c r="AA4" s="36" t="s">
        <v>93</v>
      </c>
      <c r="AB4" s="36" t="s">
        <v>78</v>
      </c>
      <c r="AC4" s="36" t="s">
        <v>94</v>
      </c>
      <c r="AD4" s="36" t="s">
        <v>95</v>
      </c>
      <c r="AE4" s="36" t="s">
        <v>96</v>
      </c>
      <c r="AF4" s="36" t="s">
        <v>95</v>
      </c>
      <c r="AG4" s="36" t="s">
        <v>96</v>
      </c>
      <c r="AH4" s="36" t="s">
        <v>95</v>
      </c>
      <c r="AI4" s="36" t="s">
        <v>97</v>
      </c>
      <c r="AJ4" s="36" t="s">
        <v>98</v>
      </c>
      <c r="AK4" s="36" t="s">
        <v>98</v>
      </c>
      <c r="AL4" s="36" t="s">
        <v>99</v>
      </c>
      <c r="AM4" s="36" t="s">
        <v>100</v>
      </c>
      <c r="AN4" s="29"/>
      <c r="AO4" s="42" t="s">
        <v>101</v>
      </c>
      <c r="AP4" s="36" t="s">
        <v>102</v>
      </c>
      <c r="AQ4" s="36" t="s">
        <v>101</v>
      </c>
      <c r="AR4" s="36" t="s">
        <v>102</v>
      </c>
      <c r="AS4" s="36" t="s">
        <v>101</v>
      </c>
      <c r="AT4" s="36" t="s">
        <v>102</v>
      </c>
      <c r="AU4" s="34" t="s">
        <v>103</v>
      </c>
      <c r="AV4" s="34" t="s">
        <v>104</v>
      </c>
      <c r="AW4" s="34" t="s">
        <v>105</v>
      </c>
      <c r="AX4" s="34" t="s">
        <v>106</v>
      </c>
      <c r="AY4" s="29"/>
      <c r="AZ4" s="43" t="s">
        <v>51</v>
      </c>
      <c r="BA4" s="44" t="s">
        <v>52</v>
      </c>
      <c r="BB4" s="45" t="s">
        <v>107</v>
      </c>
      <c r="BC4" s="45" t="s">
        <v>108</v>
      </c>
      <c r="BE4" s="11" t="s">
        <v>87</v>
      </c>
      <c r="BF4" s="11" t="s">
        <v>109</v>
      </c>
      <c r="BG4" s="29"/>
      <c r="BH4" s="29" t="s">
        <v>110</v>
      </c>
      <c r="BI4" s="29" t="s">
        <v>111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37061</v>
      </c>
      <c r="B5" s="29" t="n">
        <f aca="false">(Weather_Input!B5+Weather_Input!C5)/2</f>
        <v>74</v>
      </c>
      <c r="C5" s="46" t="n">
        <v>215000</v>
      </c>
      <c r="D5" s="47" t="n">
        <v>0</v>
      </c>
      <c r="E5" s="47" t="n">
        <v>0</v>
      </c>
      <c r="F5" s="47" t="n">
        <v>0</v>
      </c>
      <c r="G5" s="47" t="n">
        <v>2247</v>
      </c>
      <c r="H5" s="47" t="n">
        <v>36795</v>
      </c>
      <c r="I5" s="47" t="n">
        <v>167890</v>
      </c>
      <c r="J5" s="47" t="n">
        <v>0</v>
      </c>
      <c r="K5" s="47" t="n">
        <v>19</v>
      </c>
      <c r="L5" s="47" t="n">
        <v>3</v>
      </c>
      <c r="M5" s="47" t="n">
        <v>1676</v>
      </c>
      <c r="N5" s="47" t="n">
        <v>287</v>
      </c>
      <c r="O5" s="47" t="n">
        <v>1</v>
      </c>
      <c r="P5" s="47" t="n">
        <v>799</v>
      </c>
      <c r="Q5" s="47" t="n">
        <v>245</v>
      </c>
      <c r="R5" s="47" t="n">
        <v>1064</v>
      </c>
      <c r="S5" s="48" t="n">
        <v>4594</v>
      </c>
      <c r="T5" s="49" t="n">
        <v>0</v>
      </c>
      <c r="U5" s="46" t="n">
        <f aca="false">SUM(D5:S5)-T5</f>
        <v>215620</v>
      </c>
      <c r="V5" s="46" t="n">
        <v>89586</v>
      </c>
      <c r="W5" s="18" t="n">
        <v>0</v>
      </c>
      <c r="X5" s="18" t="n">
        <v>0</v>
      </c>
      <c r="Y5" s="18" t="n">
        <v>0</v>
      </c>
      <c r="Z5" s="18" t="n">
        <v>165128</v>
      </c>
      <c r="AA5" s="18" t="n">
        <v>17045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6</v>
      </c>
      <c r="AJ5" s="18" t="n">
        <v>7086</v>
      </c>
      <c r="AK5" s="18" t="n">
        <v>17764</v>
      </c>
      <c r="AL5" s="18" t="n">
        <v>0</v>
      </c>
      <c r="AM5" s="29" t="n">
        <v>1016</v>
      </c>
      <c r="AN5" s="29"/>
      <c r="AO5" s="29" t="n">
        <v>0</v>
      </c>
      <c r="AP5" s="29" t="n">
        <v>15722</v>
      </c>
      <c r="AQ5" s="29" t="n">
        <v>0</v>
      </c>
      <c r="AR5" s="29" t="n">
        <v>18000</v>
      </c>
      <c r="AS5" s="29" t="n">
        <v>0</v>
      </c>
      <c r="AT5" s="29" t="n">
        <v>1463</v>
      </c>
      <c r="AU5" s="29" t="n">
        <v>121310</v>
      </c>
      <c r="AV5" s="29" t="n">
        <v>600</v>
      </c>
      <c r="AW5" s="50" t="n">
        <f aca="false">AU5*0.015</f>
        <v>1819.65</v>
      </c>
      <c r="AX5" s="29" t="n">
        <v>0</v>
      </c>
      <c r="AY5" s="29"/>
      <c r="AZ5" s="29" t="n">
        <v>2254</v>
      </c>
      <c r="BA5" s="29" t="n">
        <v>4685</v>
      </c>
      <c r="BB5" s="29" t="n">
        <v>0</v>
      </c>
      <c r="BC5" s="29" t="n">
        <v>0</v>
      </c>
      <c r="BD5" s="29"/>
      <c r="BE5" s="29" t="n">
        <v>17527</v>
      </c>
      <c r="BF5" s="29" t="n">
        <v>6467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37062</v>
      </c>
      <c r="B6" s="51" t="n">
        <f aca="false">(Weather_Input!B6+Weather_Input!C6)/2</f>
        <v>68.5</v>
      </c>
      <c r="C6" s="46" t="n">
        <v>220000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112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37063</v>
      </c>
      <c r="B7" s="51" t="n">
        <f aca="false">(Weather_Input!B7+Weather_Input!C7)/2</f>
        <v>62.5</v>
      </c>
      <c r="C7" s="46" t="n">
        <v>225000</v>
      </c>
      <c r="D7" s="52" t="s">
        <v>0</v>
      </c>
      <c r="E7" s="53"/>
      <c r="F7" s="53"/>
      <c r="G7" s="53"/>
      <c r="H7" s="54" t="s">
        <v>113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114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37064</v>
      </c>
      <c r="B8" s="51" t="n">
        <f aca="false">(Weather_Input!B8+Weather_Input!C8)/2</f>
        <v>62.5</v>
      </c>
      <c r="C8" s="46" t="n">
        <v>205000</v>
      </c>
      <c r="D8" s="52" t="s">
        <v>0</v>
      </c>
      <c r="E8" s="53" t="s">
        <v>0</v>
      </c>
      <c r="F8" s="53"/>
      <c r="G8" s="53"/>
      <c r="H8" s="56" t="s">
        <v>115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116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37065</v>
      </c>
      <c r="B9" s="51" t="n">
        <f aca="false">(Weather_Input!B9+Weather_Input!C9)/2</f>
        <v>69</v>
      </c>
      <c r="C9" s="46" t="n">
        <v>185000</v>
      </c>
      <c r="D9" s="52" t="s">
        <v>0</v>
      </c>
      <c r="E9" s="53"/>
      <c r="F9" s="53"/>
      <c r="G9" s="53"/>
      <c r="H9" s="53" t="s">
        <v>117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118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37066</v>
      </c>
      <c r="B10" s="51" t="n">
        <f aca="false">(Weather_Input!B10+Weather_Input!C10)/2</f>
        <v>73.5</v>
      </c>
      <c r="C10" s="46" t="n">
        <v>200000</v>
      </c>
      <c r="D10" s="52" t="s">
        <v>0</v>
      </c>
      <c r="E10" s="53" t="s">
        <v>0</v>
      </c>
      <c r="F10" s="53"/>
      <c r="G10" s="53"/>
      <c r="H10" s="53" t="s">
        <v>119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120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121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122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123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124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125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2" width="8.88"/>
    <col collapsed="false" customWidth="false" hidden="false" outlineLevel="0" max="257" min="2" style="1173" width="8.88"/>
  </cols>
  <sheetData>
    <row r="1" customFormat="false" ht="15.75" hidden="false" customHeight="false" outlineLevel="0" collapsed="false">
      <c r="A1" s="1174"/>
      <c r="B1" s="1175"/>
      <c r="D1" s="1176"/>
    </row>
    <row r="2" customFormat="false" ht="15.75" hidden="false" customHeight="false" outlineLevel="0" collapsed="false">
      <c r="A2" s="1177"/>
      <c r="G2" s="1175"/>
    </row>
    <row r="3" customFormat="false" ht="15" hidden="false" customHeight="false" outlineLevel="0" collapsed="false">
      <c r="DZ3" s="0"/>
      <c r="EA3" s="1178"/>
    </row>
    <row r="5" customFormat="false" ht="15.75" hidden="false" customHeight="false" outlineLevel="0" collapsed="false">
      <c r="A5" s="1179"/>
      <c r="B5" s="1175"/>
    </row>
    <row r="6" customFormat="false" ht="12.75" hidden="false" customHeight="false" outlineLevel="0" collapsed="false">
      <c r="A6" s="1180"/>
    </row>
    <row r="7" customFormat="false" ht="12.75" hidden="false" customHeight="false" outlineLevel="0" collapsed="false">
      <c r="A7" s="1180"/>
    </row>
    <row r="8" customFormat="false" ht="12.75" hidden="false" customHeight="false" outlineLevel="0" collapsed="false">
      <c r="A8" s="1180"/>
    </row>
    <row r="9" customFormat="false" ht="12.75" hidden="false" customHeight="false" outlineLevel="0" collapsed="false">
      <c r="A9" s="1180" t="s">
        <v>0</v>
      </c>
      <c r="C9" s="1181"/>
    </row>
    <row r="10" customFormat="false" ht="12.75" hidden="false" customHeight="false" outlineLevel="0" collapsed="false">
      <c r="A10" s="1180"/>
    </row>
    <row r="11" customFormat="false" ht="12.75" hidden="false" customHeight="false" outlineLevel="0" collapsed="false">
      <c r="A11" s="1180"/>
    </row>
    <row r="12" customFormat="false" ht="12.75" hidden="false" customHeight="false" outlineLevel="0" collapsed="false">
      <c r="A12" s="1180"/>
    </row>
    <row r="13" customFormat="false" ht="12.75" hidden="false" customHeight="false" outlineLevel="0" collapsed="false">
      <c r="A13" s="1180"/>
    </row>
    <row r="14" customFormat="false" ht="12.75" hidden="false" customHeight="false" outlineLevel="0" collapsed="false">
      <c r="A14" s="1180"/>
      <c r="C14" s="1173" t="s">
        <v>0</v>
      </c>
      <c r="D14" s="1173" t="s">
        <v>0</v>
      </c>
    </row>
    <row r="15" customFormat="false" ht="12.75" hidden="false" customHeight="false" outlineLevel="0" collapsed="false">
      <c r="A15" s="1180"/>
    </row>
    <row r="16" customFormat="false" ht="12.75" hidden="false" customHeight="false" outlineLevel="0" collapsed="false">
      <c r="A16" s="1180"/>
    </row>
    <row r="17" customFormat="false" ht="12.75" hidden="false" customHeight="false" outlineLevel="0" collapsed="false">
      <c r="A17" s="1180"/>
    </row>
    <row r="18" customFormat="false" ht="12.75" hidden="false" customHeight="false" outlineLevel="0" collapsed="false">
      <c r="A18" s="1180"/>
    </row>
    <row r="19" customFormat="false" ht="12.75" hidden="false" customHeight="false" outlineLevel="0" collapsed="false">
      <c r="A19" s="1180"/>
    </row>
    <row r="20" customFormat="false" ht="12.75" hidden="false" customHeight="false" outlineLevel="0" collapsed="false">
      <c r="A20" s="1180"/>
    </row>
    <row r="21" customFormat="false" ht="12.75" hidden="false" customHeight="false" outlineLevel="0" collapsed="false">
      <c r="A21" s="1180"/>
    </row>
    <row r="22" customFormat="false" ht="12.75" hidden="false" customHeight="false" outlineLevel="0" collapsed="false">
      <c r="A22" s="1180"/>
    </row>
    <row r="23" customFormat="false" ht="12.75" hidden="false" customHeight="false" outlineLevel="0" collapsed="false">
      <c r="A23" s="1180"/>
    </row>
    <row r="24" customFormat="false" ht="12.75" hidden="false" customHeight="false" outlineLevel="0" collapsed="false">
      <c r="A24" s="1180"/>
    </row>
    <row r="25" customFormat="false" ht="12.75" hidden="false" customHeight="false" outlineLevel="0" collapsed="false">
      <c r="A25" s="1180"/>
    </row>
    <row r="26" customFormat="false" ht="12.75" hidden="false" customHeight="false" outlineLevel="0" collapsed="false">
      <c r="A26" s="1180"/>
    </row>
    <row r="27" customFormat="false" ht="12.75" hidden="false" customHeight="false" outlineLevel="0" collapsed="false">
      <c r="A27" s="1180"/>
    </row>
    <row r="28" customFormat="false" ht="12.75" hidden="false" customHeight="false" outlineLevel="0" collapsed="false">
      <c r="A28" s="1180"/>
    </row>
    <row r="29" customFormat="false" ht="12.75" hidden="false" customHeight="false" outlineLevel="0" collapsed="false">
      <c r="A29" s="1180"/>
    </row>
    <row r="30" customFormat="false" ht="12.75" hidden="false" customHeight="false" outlineLevel="0" collapsed="false">
      <c r="A30" s="1180"/>
    </row>
    <row r="31" customFormat="false" ht="12.75" hidden="false" customHeight="false" outlineLevel="0" collapsed="false">
      <c r="A31" s="1180"/>
    </row>
    <row r="32" customFormat="false" ht="12.75" hidden="false" customHeight="false" outlineLevel="0" collapsed="false">
      <c r="A32" s="1180"/>
    </row>
    <row r="33" customFormat="false" ht="12.75" hidden="false" customHeight="false" outlineLevel="0" collapsed="false">
      <c r="A33" s="1180"/>
    </row>
    <row r="34" customFormat="false" ht="12.75" hidden="false" customHeight="false" outlineLevel="0" collapsed="false">
      <c r="A34" s="1180"/>
    </row>
    <row r="35" customFormat="false" ht="12.75" hidden="false" customHeight="false" outlineLevel="0" collapsed="false">
      <c r="A35" s="118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816</v>
      </c>
      <c r="B1" s="1182" t="n">
        <f aca="false">Weather_Input!A5</f>
        <v>37061</v>
      </c>
      <c r="C1" s="1183"/>
    </row>
    <row r="2" customFormat="false" ht="15" hidden="false" customHeight="false" outlineLevel="0" collapsed="false">
      <c r="A2" s="28" t="s">
        <v>817</v>
      </c>
      <c r="B2" s="1183"/>
      <c r="C2" s="1183"/>
    </row>
    <row r="3" customFormat="false" ht="15.75" hidden="false" customHeight="false" outlineLevel="0" collapsed="false">
      <c r="B3" s="1184" t="s">
        <v>89</v>
      </c>
      <c r="C3" s="1184"/>
      <c r="D3" s="1184"/>
      <c r="E3" s="1184"/>
      <c r="F3" s="1184"/>
      <c r="G3" s="1184"/>
      <c r="H3" s="1185" t="s">
        <v>90</v>
      </c>
      <c r="I3" s="1185"/>
      <c r="J3" s="1185"/>
      <c r="K3" s="1185"/>
      <c r="L3" s="1185"/>
      <c r="M3" s="1185"/>
      <c r="N3" s="929" t="s">
        <v>44</v>
      </c>
      <c r="O3" s="929"/>
      <c r="P3" s="929"/>
      <c r="Q3" s="929"/>
      <c r="R3" s="929"/>
      <c r="S3" s="929"/>
    </row>
    <row r="4" customFormat="false" ht="15" hidden="false" customHeight="false" outlineLevel="0" collapsed="false">
      <c r="B4" s="1186" t="s">
        <v>818</v>
      </c>
      <c r="C4" s="1186"/>
      <c r="D4" s="11" t="s">
        <v>720</v>
      </c>
      <c r="E4" s="11" t="s">
        <v>720</v>
      </c>
      <c r="F4" s="1187" t="s">
        <v>819</v>
      </c>
      <c r="G4" s="1187"/>
      <c r="H4" s="4" t="s">
        <v>818</v>
      </c>
      <c r="I4" s="4"/>
      <c r="J4" s="11" t="s">
        <v>720</v>
      </c>
      <c r="K4" s="11" t="s">
        <v>720</v>
      </c>
      <c r="L4" s="1187" t="s">
        <v>819</v>
      </c>
      <c r="M4" s="1187"/>
      <c r="N4" s="4" t="s">
        <v>818</v>
      </c>
      <c r="O4" s="4"/>
      <c r="P4" s="11" t="s">
        <v>720</v>
      </c>
      <c r="Q4" s="11" t="s">
        <v>720</v>
      </c>
      <c r="R4" s="4" t="s">
        <v>819</v>
      </c>
      <c r="S4" s="4"/>
    </row>
    <row r="5" customFormat="false" ht="15" hidden="false" customHeight="false" outlineLevel="0" collapsed="false">
      <c r="A5" s="880"/>
      <c r="B5" s="1188" t="s">
        <v>820</v>
      </c>
      <c r="C5" s="1189" t="s">
        <v>821</v>
      </c>
      <c r="D5" s="1190" t="s">
        <v>822</v>
      </c>
      <c r="E5" s="1190" t="s">
        <v>823</v>
      </c>
      <c r="F5" s="1190" t="s">
        <v>820</v>
      </c>
      <c r="G5" s="1191" t="s">
        <v>821</v>
      </c>
      <c r="H5" s="1190" t="s">
        <v>820</v>
      </c>
      <c r="I5" s="1190" t="s">
        <v>821</v>
      </c>
      <c r="J5" s="1190" t="s">
        <v>822</v>
      </c>
      <c r="K5" s="1190" t="s">
        <v>823</v>
      </c>
      <c r="L5" s="1190" t="s">
        <v>820</v>
      </c>
      <c r="M5" s="1191" t="s">
        <v>821</v>
      </c>
      <c r="N5" s="1190" t="s">
        <v>820</v>
      </c>
      <c r="O5" s="1190" t="s">
        <v>821</v>
      </c>
      <c r="P5" s="1190" t="s">
        <v>822</v>
      </c>
      <c r="Q5" s="1190" t="s">
        <v>823</v>
      </c>
      <c r="R5" s="1190" t="s">
        <v>820</v>
      </c>
      <c r="S5" s="1190" t="s">
        <v>821</v>
      </c>
    </row>
    <row r="6" customFormat="false" ht="15" hidden="false" customHeight="false" outlineLevel="0" collapsed="false">
      <c r="A6" s="1183" t="n">
        <f aca="false">B1-1</f>
        <v>37060</v>
      </c>
      <c r="B6" s="937" t="e">
        <f aca="false"/>
        <v>#REF!</v>
      </c>
      <c r="C6" s="1192" t="e">
        <f aca="false"/>
        <v>#REF!</v>
      </c>
      <c r="D6" s="1192" t="e">
        <f aca="false"/>
        <v>#REF!</v>
      </c>
      <c r="E6" s="1192" t="e">
        <f aca="false"/>
        <v>#REF!</v>
      </c>
      <c r="F6" s="1192" t="e">
        <f aca="false"/>
        <v>#REF!</v>
      </c>
      <c r="G6" s="1192" t="e">
        <f aca="false"/>
        <v>#REF!</v>
      </c>
      <c r="H6" s="1192" t="e">
        <f aca="false"/>
        <v>#REF!</v>
      </c>
      <c r="I6" s="1192" t="e">
        <f aca="false"/>
        <v>#REF!</v>
      </c>
      <c r="J6" s="1192" t="e">
        <f aca="false"/>
        <v>#REF!</v>
      </c>
      <c r="K6" s="1192" t="e">
        <f aca="false"/>
        <v>#REF!</v>
      </c>
      <c r="L6" s="1192" t="e">
        <f aca="false"/>
        <v>#REF!</v>
      </c>
      <c r="M6" s="1192" t="e">
        <f aca="false"/>
        <v>#REF!</v>
      </c>
      <c r="N6" s="1192" t="n">
        <v>107400</v>
      </c>
      <c r="O6" s="1192" t="n">
        <v>0</v>
      </c>
      <c r="P6" s="1192" t="n">
        <v>51891486</v>
      </c>
      <c r="Q6" s="1192" t="n">
        <v>15045098</v>
      </c>
      <c r="R6" s="1192" t="n">
        <v>36846388</v>
      </c>
      <c r="S6" s="1192" t="n">
        <v>0</v>
      </c>
    </row>
    <row r="7" customFormat="false" ht="15" hidden="false" customHeight="false" outlineLevel="0" collapsed="false">
      <c r="A7" s="1183" t="n">
        <f aca="false">B1</f>
        <v>37061</v>
      </c>
      <c r="B7" s="937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193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398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398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93603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51985089</v>
      </c>
      <c r="Q7" s="0" t="n">
        <f aca="false">IF(O7&gt;0,Q6+O7,Q6)</f>
        <v>15045098</v>
      </c>
      <c r="R7" s="0" t="n">
        <f aca="false">IF(P7&gt;Q7,P7-Q7,0)</f>
        <v>36939991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83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824</v>
      </c>
      <c r="C1" s="36" t="s">
        <v>825</v>
      </c>
      <c r="D1" s="1194" t="s">
        <v>826</v>
      </c>
    </row>
    <row r="2" customFormat="false" ht="15" hidden="false" customHeight="false" outlineLevel="0" collapsed="false">
      <c r="B2" s="36" t="s">
        <v>827</v>
      </c>
      <c r="C2" s="36" t="s">
        <v>22</v>
      </c>
      <c r="D2" s="1194" t="s">
        <v>22</v>
      </c>
    </row>
    <row r="3" customFormat="false" ht="15" hidden="false" customHeight="false" outlineLevel="0" collapsed="false">
      <c r="A3" s="1183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83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83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83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83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83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83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83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83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83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83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83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83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83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83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83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83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83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83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83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83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83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83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83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83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83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83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83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83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83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83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83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83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83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83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83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83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83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83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83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83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83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83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83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83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83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83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83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83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83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83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83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83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83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83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83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83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83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83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83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83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83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83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83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83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83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83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83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83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83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83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83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83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83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83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83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83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83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83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83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83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83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83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83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83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83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83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83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83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83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83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83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83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83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83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83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83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83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83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83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83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83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83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83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83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83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83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83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83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83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83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83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83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83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83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83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83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83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83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83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83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83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83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83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83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83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83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83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83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83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83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83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83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83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83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83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83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83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83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83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83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83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83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83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83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83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83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83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83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83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83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83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83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83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83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83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83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83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83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83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83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83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83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83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83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83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83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83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83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83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83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83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83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83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83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83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83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83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83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83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83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83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83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83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83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83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83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83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83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83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83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83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83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83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83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83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83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83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83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83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83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83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83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83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83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83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83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83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83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83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83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83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83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83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83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83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83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83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83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83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83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83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83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83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83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83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83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83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83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83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83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83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83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83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83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83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83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83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83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83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83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83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83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83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83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83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83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83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83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83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83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83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83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83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83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83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83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83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83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83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83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83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83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83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83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83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83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83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83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83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83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83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83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83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83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83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83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83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83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83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83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83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83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83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83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83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83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83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83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83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83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83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83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83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83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83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83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83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83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83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83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83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83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83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83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83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83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83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83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83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83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83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83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83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83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83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83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83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83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83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83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83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83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83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83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83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83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83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83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83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83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83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83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83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83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83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83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83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83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83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83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83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83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83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83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83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83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83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83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83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83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83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83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83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83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83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83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83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83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83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83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83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83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83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83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83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83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83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83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83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83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83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" activeCellId="0" sqref="B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126</v>
      </c>
      <c r="L2" s="0" t="s">
        <v>126</v>
      </c>
      <c r="M2" s="0" t="s">
        <v>126</v>
      </c>
      <c r="N2" s="0" t="s">
        <v>126</v>
      </c>
    </row>
    <row r="3" customFormat="false" ht="15" hidden="false" customHeight="false" outlineLevel="0" collapsed="false">
      <c r="B3" s="18" t="s">
        <v>49</v>
      </c>
      <c r="C3" s="29" t="s">
        <v>74</v>
      </c>
      <c r="D3" s="36" t="s">
        <v>127</v>
      </c>
      <c r="F3" s="36" t="s">
        <v>128</v>
      </c>
      <c r="G3" s="36" t="s">
        <v>129</v>
      </c>
      <c r="H3" s="36" t="s">
        <v>10</v>
      </c>
      <c r="I3" s="36" t="s">
        <v>130</v>
      </c>
      <c r="K3" s="0" t="s">
        <v>131</v>
      </c>
      <c r="L3" s="0" t="s">
        <v>131</v>
      </c>
      <c r="M3" s="0" t="s">
        <v>131</v>
      </c>
      <c r="N3" s="0" t="s">
        <v>131</v>
      </c>
    </row>
    <row r="4" customFormat="false" ht="12.75" hidden="false" customHeight="false" outlineLevel="0" collapsed="false">
      <c r="B4" s="18" t="s">
        <v>132</v>
      </c>
      <c r="D4" s="36" t="s">
        <v>133</v>
      </c>
      <c r="E4" s="36" t="s">
        <v>134</v>
      </c>
      <c r="F4" s="36" t="s">
        <v>133</v>
      </c>
      <c r="G4" s="36" t="s">
        <v>133</v>
      </c>
      <c r="H4" s="36" t="s">
        <v>74</v>
      </c>
      <c r="I4" s="36" t="s">
        <v>135</v>
      </c>
      <c r="K4" s="29" t="s">
        <v>136</v>
      </c>
      <c r="L4" s="29" t="s">
        <v>137</v>
      </c>
      <c r="M4" s="29" t="s">
        <v>136</v>
      </c>
      <c r="N4" s="29" t="s">
        <v>137</v>
      </c>
    </row>
    <row r="5" customFormat="false" ht="12.75" hidden="false" customHeight="false" outlineLevel="0" collapsed="false">
      <c r="A5" s="62" t="n">
        <f aca="false">Weather_Input!A5</f>
        <v>37061</v>
      </c>
      <c r="B5" s="29" t="n">
        <f aca="false">(Weather_Input!B5+Weather_Input!C5)/2</f>
        <v>74</v>
      </c>
      <c r="C5" s="46" t="n">
        <v>36000</v>
      </c>
      <c r="D5" s="46" t="n">
        <v>0</v>
      </c>
      <c r="E5" s="46" t="n">
        <v>23805</v>
      </c>
      <c r="F5" s="46" t="n">
        <v>10571</v>
      </c>
      <c r="G5" s="46" t="n">
        <v>1053</v>
      </c>
      <c r="H5" s="63" t="n">
        <f aca="false">SUM(D5:G5)</f>
        <v>35429</v>
      </c>
      <c r="I5" s="29" t="n">
        <v>1003</v>
      </c>
      <c r="J5" s="29" t="s">
        <v>0</v>
      </c>
      <c r="K5" s="29" t="n">
        <v>3031</v>
      </c>
      <c r="L5" s="29" t="n">
        <v>0</v>
      </c>
      <c r="M5" s="29" t="n">
        <v>4644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37062</v>
      </c>
      <c r="B6" s="51" t="n">
        <f aca="false">(Weather_Input!B6+Weather_Input!C6)/2</f>
        <v>68.5</v>
      </c>
      <c r="C6" s="46" t="n">
        <v>37000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37063</v>
      </c>
      <c r="B7" s="51" t="n">
        <f aca="false">(Weather_Input!B7+Weather_Input!C7)/2</f>
        <v>62.5</v>
      </c>
      <c r="C7" s="46" t="n">
        <v>38000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37064</v>
      </c>
      <c r="B8" s="51" t="n">
        <f aca="false">(Weather_Input!B8+Weather_Input!C8)/2</f>
        <v>62.5</v>
      </c>
      <c r="C8" s="46" t="n">
        <v>36000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37065</v>
      </c>
      <c r="B9" s="51" t="n">
        <f aca="false">(Weather_Input!B9+Weather_Input!C9)/2</f>
        <v>69</v>
      </c>
      <c r="C9" s="46" t="n">
        <v>33000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37066</v>
      </c>
      <c r="B10" s="51" t="n">
        <f aca="false">(Weather_Input!B10+Weather_Input!C10)/2</f>
        <v>73.5</v>
      </c>
      <c r="C10" s="46" t="n">
        <v>36000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T1" colorId="64" zoomScale="75" zoomScaleNormal="75" zoomScalePageLayoutView="100" workbookViewId="0">
      <selection pane="topLeft" activeCell="AE7" activeCellId="0" sqref="AE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96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138</v>
      </c>
      <c r="I4" s="36" t="s">
        <v>139</v>
      </c>
      <c r="J4" s="36" t="s">
        <v>109</v>
      </c>
      <c r="K4" s="29"/>
      <c r="L4" s="36" t="s">
        <v>140</v>
      </c>
      <c r="M4" s="36" t="s">
        <v>141</v>
      </c>
      <c r="N4" s="73"/>
      <c r="O4" s="74"/>
      <c r="P4" s="74"/>
      <c r="Q4" s="29"/>
      <c r="R4" s="29"/>
      <c r="S4" s="29"/>
      <c r="T4" s="75" t="s">
        <v>142</v>
      </c>
      <c r="U4" s="76"/>
      <c r="V4" s="77" t="s">
        <v>143</v>
      </c>
      <c r="W4" s="77"/>
      <c r="X4" s="77"/>
      <c r="Y4" s="77"/>
      <c r="Z4" s="77"/>
      <c r="AA4" s="77"/>
      <c r="AB4" s="37" t="s">
        <v>144</v>
      </c>
      <c r="AC4" s="37"/>
      <c r="AD4" s="37"/>
      <c r="AE4" s="30"/>
      <c r="AF4" s="36" t="s">
        <v>145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146</v>
      </c>
      <c r="C5" s="29"/>
      <c r="D5" s="29"/>
      <c r="E5" s="79"/>
      <c r="F5" s="78" t="s">
        <v>0</v>
      </c>
      <c r="G5" s="80" t="s">
        <v>147</v>
      </c>
      <c r="H5" s="33" t="s">
        <v>148</v>
      </c>
      <c r="I5" s="81" t="s">
        <v>88</v>
      </c>
      <c r="J5" s="36" t="s">
        <v>149</v>
      </c>
      <c r="K5" s="29"/>
      <c r="L5" s="36" t="s">
        <v>150</v>
      </c>
      <c r="M5" s="37" t="s">
        <v>151</v>
      </c>
      <c r="N5" s="73" t="s">
        <v>45</v>
      </c>
      <c r="O5" s="36" t="s">
        <v>66</v>
      </c>
      <c r="P5" s="36" t="s">
        <v>78</v>
      </c>
      <c r="Q5" s="36" t="s">
        <v>78</v>
      </c>
      <c r="R5" s="36" t="s">
        <v>45</v>
      </c>
      <c r="S5" s="36" t="s">
        <v>70</v>
      </c>
      <c r="T5" s="36" t="s">
        <v>152</v>
      </c>
      <c r="U5" s="36" t="s">
        <v>152</v>
      </c>
      <c r="V5" s="37" t="s">
        <v>153</v>
      </c>
      <c r="W5" s="37" t="s">
        <v>154</v>
      </c>
      <c r="X5" s="36" t="s">
        <v>155</v>
      </c>
      <c r="Y5" s="36" t="s">
        <v>156</v>
      </c>
      <c r="Z5" s="36" t="s">
        <v>156</v>
      </c>
      <c r="AA5" s="36" t="s">
        <v>156</v>
      </c>
      <c r="AB5" s="37" t="s">
        <v>156</v>
      </c>
      <c r="AC5" s="36" t="s">
        <v>156</v>
      </c>
      <c r="AD5" s="36" t="s">
        <v>156</v>
      </c>
      <c r="AE5" s="37" t="s">
        <v>156</v>
      </c>
      <c r="AF5" s="36" t="s">
        <v>156</v>
      </c>
      <c r="AG5" s="36" t="s">
        <v>156</v>
      </c>
      <c r="AH5" s="36" t="s">
        <v>156</v>
      </c>
      <c r="AI5" s="29"/>
    </row>
    <row r="6" customFormat="false" ht="12.75" hidden="false" customHeight="false" outlineLevel="0" collapsed="false">
      <c r="A6" s="82"/>
      <c r="B6" s="83" t="s">
        <v>157</v>
      </c>
      <c r="C6" s="81" t="s">
        <v>144</v>
      </c>
      <c r="D6" s="81" t="s">
        <v>145</v>
      </c>
      <c r="E6" s="84" t="s">
        <v>158</v>
      </c>
      <c r="F6" s="81" t="s">
        <v>159</v>
      </c>
      <c r="G6" s="85" t="s">
        <v>160</v>
      </c>
      <c r="H6" s="86" t="s">
        <v>161</v>
      </c>
      <c r="I6" s="81" t="s">
        <v>162</v>
      </c>
      <c r="J6" s="81" t="s">
        <v>163</v>
      </c>
      <c r="K6" s="81" t="s">
        <v>164</v>
      </c>
      <c r="L6" s="81" t="s">
        <v>90</v>
      </c>
      <c r="M6" s="81" t="s">
        <v>165</v>
      </c>
      <c r="N6" s="81" t="s">
        <v>152</v>
      </c>
      <c r="O6" s="81" t="s">
        <v>78</v>
      </c>
      <c r="P6" s="81" t="s">
        <v>166</v>
      </c>
      <c r="Q6" s="81" t="s">
        <v>167</v>
      </c>
      <c r="R6" s="81" t="s">
        <v>168</v>
      </c>
      <c r="S6" s="81" t="s">
        <v>169</v>
      </c>
      <c r="T6" s="81" t="s">
        <v>170</v>
      </c>
      <c r="U6" s="83" t="s">
        <v>171</v>
      </c>
      <c r="V6" s="87" t="s">
        <v>172</v>
      </c>
      <c r="W6" s="87" t="s">
        <v>173</v>
      </c>
      <c r="X6" s="81" t="n">
        <v>9</v>
      </c>
      <c r="Y6" s="81" t="s">
        <v>89</v>
      </c>
      <c r="Z6" s="81" t="s">
        <v>144</v>
      </c>
      <c r="AA6" s="81" t="s">
        <v>145</v>
      </c>
      <c r="AB6" s="81" t="s">
        <v>89</v>
      </c>
      <c r="AC6" s="81" t="s">
        <v>45</v>
      </c>
      <c r="AD6" s="81" t="s">
        <v>144</v>
      </c>
      <c r="AE6" s="81" t="s">
        <v>89</v>
      </c>
      <c r="AF6" s="81" t="s">
        <v>45</v>
      </c>
      <c r="AG6" s="81" t="s">
        <v>144</v>
      </c>
      <c r="AH6" s="81" t="s">
        <v>145</v>
      </c>
      <c r="AI6" s="29"/>
    </row>
    <row r="7" customFormat="false" ht="12.75" hidden="false" customHeight="false" outlineLevel="0" collapsed="false">
      <c r="A7" s="88" t="n">
        <f aca="false">Weather_Input!A5</f>
        <v>37061</v>
      </c>
      <c r="B7" s="89" t="n">
        <v>0</v>
      </c>
      <c r="C7" s="90" t="n">
        <v>0</v>
      </c>
      <c r="D7" s="90" t="n">
        <v>0</v>
      </c>
      <c r="E7" s="89" t="n">
        <v>4000</v>
      </c>
      <c r="F7" s="89" t="n">
        <v>0</v>
      </c>
      <c r="G7" s="91" t="n">
        <v>17045</v>
      </c>
      <c r="H7" s="92" t="n">
        <v>0</v>
      </c>
      <c r="I7" s="92" t="n">
        <v>0</v>
      </c>
      <c r="J7" s="90" t="n">
        <v>6444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131310</v>
      </c>
      <c r="P7" s="50" t="n">
        <f aca="false">O7*0.015</f>
        <v>1969.65</v>
      </c>
      <c r="Q7" s="90" t="n">
        <v>600</v>
      </c>
      <c r="R7" s="90" t="n">
        <v>0</v>
      </c>
      <c r="S7" s="90" t="n">
        <v>0</v>
      </c>
      <c r="T7" s="92" t="n">
        <v>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37062</v>
      </c>
      <c r="B8" s="89" t="n">
        <v>0</v>
      </c>
      <c r="C8" s="90" t="n">
        <v>0</v>
      </c>
      <c r="D8" s="90" t="n">
        <v>0</v>
      </c>
      <c r="E8" s="89" t="n">
        <v>0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135000</v>
      </c>
      <c r="P8" s="50" t="n">
        <f aca="false">O8*0.015</f>
        <v>2025</v>
      </c>
      <c r="Q8" s="90" t="n">
        <v>500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37063</v>
      </c>
      <c r="B9" s="89" t="n">
        <v>0</v>
      </c>
      <c r="C9" s="90" t="n">
        <v>0</v>
      </c>
      <c r="D9" s="90" t="n">
        <v>0</v>
      </c>
      <c r="E9" s="89" t="n">
        <v>4000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135000</v>
      </c>
      <c r="P9" s="50" t="n">
        <f aca="false">O9*0.015</f>
        <v>2025</v>
      </c>
      <c r="Q9" s="90" t="n">
        <v>500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37064</v>
      </c>
      <c r="B10" s="89" t="n">
        <v>0</v>
      </c>
      <c r="C10" s="90" t="n">
        <v>0</v>
      </c>
      <c r="D10" s="90" t="n">
        <v>0</v>
      </c>
      <c r="E10" s="89" t="n">
        <v>4000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135000</v>
      </c>
      <c r="P10" s="50" t="n">
        <f aca="false">O10*0.015</f>
        <v>2025</v>
      </c>
      <c r="Q10" s="90" t="n">
        <v>500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37065</v>
      </c>
      <c r="B11" s="89" t="n">
        <v>0</v>
      </c>
      <c r="C11" s="90" t="n">
        <v>0</v>
      </c>
      <c r="D11" s="90" t="n">
        <v>0</v>
      </c>
      <c r="E11" s="89" t="n">
        <v>4000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135000</v>
      </c>
      <c r="P11" s="50" t="n">
        <f aca="false">O11*0.015</f>
        <v>2025</v>
      </c>
      <c r="Q11" s="90" t="n">
        <v>500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37066</v>
      </c>
      <c r="B12" s="89" t="n">
        <v>0</v>
      </c>
      <c r="C12" s="90" t="n">
        <v>0</v>
      </c>
      <c r="D12" s="90" t="n">
        <v>0</v>
      </c>
      <c r="E12" s="89" t="n">
        <v>4000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135000</v>
      </c>
      <c r="P12" s="50" t="n">
        <f aca="false">O12*0.015</f>
        <v>2025</v>
      </c>
      <c r="Q12" s="90" t="n">
        <v>500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174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P7" activeCellId="0" sqref="P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175</v>
      </c>
      <c r="H3" s="69"/>
      <c r="I3" s="69"/>
      <c r="J3" s="69"/>
      <c r="K3" s="69"/>
      <c r="L3" s="69" t="s">
        <v>176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177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141</v>
      </c>
      <c r="Q4" s="75" t="s">
        <v>178</v>
      </c>
      <c r="R4" s="76"/>
      <c r="S4" s="80" t="s">
        <v>179</v>
      </c>
      <c r="U4" s="36" t="s">
        <v>180</v>
      </c>
      <c r="X4" s="71"/>
      <c r="Y4" s="95"/>
      <c r="AD4" s="71"/>
    </row>
    <row r="5" customFormat="false" ht="12.75" hidden="false" customHeight="false" outlineLevel="0" collapsed="false">
      <c r="B5" s="36" t="s">
        <v>181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45</v>
      </c>
      <c r="L5" s="37" t="s">
        <v>66</v>
      </c>
      <c r="M5" s="37" t="s">
        <v>182</v>
      </c>
      <c r="N5" s="36" t="s">
        <v>0</v>
      </c>
      <c r="O5" s="36" t="s">
        <v>0</v>
      </c>
      <c r="P5" s="36" t="s">
        <v>183</v>
      </c>
      <c r="Q5" s="33" t="s">
        <v>170</v>
      </c>
      <c r="R5" s="101" t="s">
        <v>184</v>
      </c>
      <c r="S5" s="80" t="s">
        <v>87</v>
      </c>
      <c r="T5" s="33" t="s">
        <v>148</v>
      </c>
      <c r="U5" s="36" t="s">
        <v>185</v>
      </c>
      <c r="V5" s="36"/>
      <c r="W5" s="73" t="s">
        <v>88</v>
      </c>
      <c r="X5" s="71"/>
      <c r="Y5" s="36"/>
      <c r="Z5" s="36"/>
      <c r="AA5" s="36"/>
      <c r="AD5" s="78" t="s">
        <v>186</v>
      </c>
    </row>
    <row r="6" customFormat="false" ht="12.75" hidden="false" customHeight="false" outlineLevel="0" collapsed="false">
      <c r="B6" s="81" t="s">
        <v>187</v>
      </c>
      <c r="C6" s="81" t="s">
        <v>144</v>
      </c>
      <c r="D6" s="81" t="s">
        <v>145</v>
      </c>
      <c r="E6" s="81" t="s">
        <v>87</v>
      </c>
      <c r="F6" s="83" t="s">
        <v>158</v>
      </c>
      <c r="G6" s="81" t="s">
        <v>146</v>
      </c>
      <c r="H6" s="81" t="s">
        <v>98</v>
      </c>
      <c r="I6" s="81" t="s">
        <v>79</v>
      </c>
      <c r="J6" s="83" t="s">
        <v>99</v>
      </c>
      <c r="K6" s="81" t="s">
        <v>188</v>
      </c>
      <c r="L6" s="102" t="s">
        <v>78</v>
      </c>
      <c r="M6" s="81" t="s">
        <v>165</v>
      </c>
      <c r="N6" s="81" t="s">
        <v>0</v>
      </c>
      <c r="O6" s="81" t="s">
        <v>0</v>
      </c>
      <c r="P6" s="103" t="s">
        <v>189</v>
      </c>
      <c r="Q6" s="104" t="s">
        <v>152</v>
      </c>
      <c r="R6" s="104" t="s">
        <v>152</v>
      </c>
      <c r="S6" s="85" t="s">
        <v>190</v>
      </c>
      <c r="T6" s="104" t="s">
        <v>161</v>
      </c>
      <c r="U6" s="81" t="s">
        <v>191</v>
      </c>
      <c r="V6" s="81" t="s">
        <v>0</v>
      </c>
      <c r="W6" s="105" t="s">
        <v>192</v>
      </c>
      <c r="X6" s="83" t="s">
        <v>88</v>
      </c>
      <c r="Y6" s="81" t="s">
        <v>89</v>
      </c>
      <c r="Z6" s="81" t="s">
        <v>144</v>
      </c>
      <c r="AA6" s="81" t="s">
        <v>145</v>
      </c>
      <c r="AB6" s="81" t="s">
        <v>45</v>
      </c>
      <c r="AC6" s="81" t="s">
        <v>158</v>
      </c>
      <c r="AD6" s="83" t="s">
        <v>193</v>
      </c>
    </row>
    <row r="7" customFormat="false" ht="12.75" hidden="false" customHeight="false" outlineLevel="0" collapsed="false">
      <c r="A7" s="88" t="n">
        <f aca="false">Weather_Input!A5</f>
        <v>37061</v>
      </c>
      <c r="B7" s="50" t="n">
        <v>15722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1463</v>
      </c>
      <c r="H7" s="90" t="n">
        <v>24850</v>
      </c>
      <c r="I7" s="90" t="n">
        <v>0</v>
      </c>
      <c r="J7" s="106" t="n">
        <v>0</v>
      </c>
      <c r="K7" s="93" t="n">
        <v>18000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34334</v>
      </c>
      <c r="T7" s="90" t="n">
        <v>0</v>
      </c>
      <c r="U7" s="93" t="n">
        <v>122530</v>
      </c>
      <c r="V7" s="93" t="n">
        <v>0</v>
      </c>
      <c r="W7" s="92" t="n">
        <v>0</v>
      </c>
      <c r="X7" s="106" t="n">
        <v>89603</v>
      </c>
      <c r="Y7" s="93" t="n">
        <v>200</v>
      </c>
      <c r="Z7" s="29" t="n">
        <v>0</v>
      </c>
      <c r="AA7" s="92" t="n">
        <v>167271</v>
      </c>
      <c r="AB7" s="92" t="n">
        <v>31556</v>
      </c>
      <c r="AC7" s="92" t="n">
        <v>4000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37062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25030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2000</v>
      </c>
      <c r="T8" s="90" t="n">
        <v>0</v>
      </c>
      <c r="U8" s="93" t="n">
        <v>120055</v>
      </c>
      <c r="V8" s="93" t="n">
        <v>0</v>
      </c>
      <c r="W8" s="92" t="n">
        <v>0</v>
      </c>
      <c r="X8" s="106" t="n">
        <v>99063</v>
      </c>
      <c r="Y8" s="93" t="n">
        <v>200</v>
      </c>
      <c r="Z8" s="29" t="n">
        <v>0</v>
      </c>
      <c r="AA8" s="92" t="n">
        <v>150892</v>
      </c>
      <c r="AB8" s="92" t="n">
        <v>41342</v>
      </c>
      <c r="AC8" s="92" t="n">
        <v>24000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37063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120055</v>
      </c>
      <c r="V9" s="93" t="n">
        <v>0</v>
      </c>
      <c r="W9" s="92" t="n">
        <v>0</v>
      </c>
      <c r="X9" s="106" t="n">
        <v>99063</v>
      </c>
      <c r="Y9" s="93" t="n">
        <v>200</v>
      </c>
      <c r="Z9" s="29" t="n">
        <v>0</v>
      </c>
      <c r="AA9" s="92" t="n">
        <v>150892</v>
      </c>
      <c r="AB9" s="92" t="n">
        <v>41342</v>
      </c>
      <c r="AC9" s="92" t="n">
        <v>4000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37064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120055</v>
      </c>
      <c r="V10" s="93" t="n">
        <v>0</v>
      </c>
      <c r="W10" s="92" t="n">
        <v>0</v>
      </c>
      <c r="X10" s="106" t="n">
        <v>99063</v>
      </c>
      <c r="Y10" s="93" t="n">
        <v>200</v>
      </c>
      <c r="Z10" s="29" t="n">
        <v>0</v>
      </c>
      <c r="AA10" s="92" t="n">
        <v>150892</v>
      </c>
      <c r="AB10" s="92" t="n">
        <v>41342</v>
      </c>
      <c r="AC10" s="92" t="n">
        <v>4000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37065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120055</v>
      </c>
      <c r="V11" s="93" t="n">
        <v>0</v>
      </c>
      <c r="W11" s="92" t="n">
        <v>0</v>
      </c>
      <c r="X11" s="106" t="n">
        <v>99063</v>
      </c>
      <c r="Y11" s="93" t="n">
        <v>200</v>
      </c>
      <c r="Z11" s="29" t="n">
        <v>0</v>
      </c>
      <c r="AA11" s="92" t="n">
        <v>150892</v>
      </c>
      <c r="AB11" s="92" t="n">
        <v>41342</v>
      </c>
      <c r="AC11" s="92" t="n">
        <v>4000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37066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120055</v>
      </c>
      <c r="V12" s="93" t="n">
        <v>0</v>
      </c>
      <c r="W12" s="92" t="n">
        <v>0</v>
      </c>
      <c r="X12" s="106" t="n">
        <v>99063</v>
      </c>
      <c r="Y12" s="93" t="n">
        <v>200</v>
      </c>
      <c r="Z12" s="29" t="n">
        <v>0</v>
      </c>
      <c r="AA12" s="92" t="n">
        <v>150892</v>
      </c>
      <c r="AB12" s="92" t="n">
        <v>41342</v>
      </c>
      <c r="AC12" s="92" t="n">
        <v>4000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7" activeCellId="0" sqref="K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194</v>
      </c>
      <c r="C3" s="69" t="s">
        <v>195</v>
      </c>
      <c r="D3" s="69"/>
      <c r="E3" s="69"/>
      <c r="F3" s="69"/>
      <c r="G3" s="70" t="s">
        <v>196</v>
      </c>
      <c r="H3" s="70"/>
      <c r="I3" s="70"/>
      <c r="J3" s="70"/>
      <c r="K3" s="70"/>
      <c r="L3" s="69" t="s">
        <v>96</v>
      </c>
      <c r="M3" s="69"/>
      <c r="N3" s="69"/>
      <c r="O3" s="69"/>
      <c r="P3" s="69"/>
      <c r="Q3" s="69"/>
      <c r="R3" s="69"/>
      <c r="S3" s="70" t="s">
        <v>197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198</v>
      </c>
      <c r="C4" s="29"/>
      <c r="D4" s="29"/>
      <c r="E4" s="29"/>
      <c r="F4" s="29"/>
      <c r="G4" s="37" t="s">
        <v>199</v>
      </c>
      <c r="H4" s="37"/>
      <c r="I4" s="36" t="s">
        <v>200</v>
      </c>
      <c r="J4" s="36"/>
      <c r="K4" s="73" t="s">
        <v>201</v>
      </c>
      <c r="L4" s="73" t="s">
        <v>201</v>
      </c>
      <c r="M4" s="37" t="s">
        <v>201</v>
      </c>
      <c r="N4" s="73" t="s">
        <v>130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202</v>
      </c>
      <c r="H5" s="36" t="s">
        <v>45</v>
      </c>
      <c r="I5" s="112" t="n">
        <v>0.05</v>
      </c>
      <c r="J5" s="112" t="s">
        <v>89</v>
      </c>
      <c r="K5" s="73" t="s">
        <v>78</v>
      </c>
      <c r="L5" s="73" t="s">
        <v>78</v>
      </c>
      <c r="M5" s="73" t="s">
        <v>78</v>
      </c>
      <c r="N5" s="73" t="s">
        <v>78</v>
      </c>
      <c r="O5" s="36" t="s">
        <v>89</v>
      </c>
      <c r="P5" s="36" t="s">
        <v>45</v>
      </c>
      <c r="Q5" s="36" t="s">
        <v>45</v>
      </c>
      <c r="R5" s="112" t="s">
        <v>45</v>
      </c>
      <c r="S5" s="37" t="s">
        <v>89</v>
      </c>
      <c r="T5" s="37"/>
      <c r="U5" s="37"/>
      <c r="V5" s="36" t="s">
        <v>0</v>
      </c>
      <c r="W5" s="36" t="s">
        <v>144</v>
      </c>
      <c r="X5" s="36" t="s">
        <v>0</v>
      </c>
      <c r="Y5" s="29"/>
      <c r="Z5" s="36" t="s">
        <v>45</v>
      </c>
      <c r="AA5" s="36"/>
      <c r="AB5" s="36" t="s">
        <v>0</v>
      </c>
      <c r="AC5" s="28" t="s">
        <v>203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45</v>
      </c>
      <c r="D6" s="81" t="s">
        <v>89</v>
      </c>
      <c r="E6" s="81" t="s">
        <v>144</v>
      </c>
      <c r="F6" s="81" t="s">
        <v>145</v>
      </c>
      <c r="G6" s="102" t="s">
        <v>204</v>
      </c>
      <c r="H6" s="81" t="s">
        <v>188</v>
      </c>
      <c r="I6" s="81" t="s">
        <v>205</v>
      </c>
      <c r="J6" s="81" t="s">
        <v>152</v>
      </c>
      <c r="K6" s="81" t="s">
        <v>206</v>
      </c>
      <c r="L6" s="81" t="s">
        <v>207</v>
      </c>
      <c r="M6" s="81" t="s">
        <v>208</v>
      </c>
      <c r="N6" s="81" t="s">
        <v>209</v>
      </c>
      <c r="O6" s="81" t="n">
        <v>50</v>
      </c>
      <c r="P6" s="81" t="s">
        <v>210</v>
      </c>
      <c r="Q6" s="81" t="s">
        <v>168</v>
      </c>
      <c r="R6" s="81" t="s">
        <v>211</v>
      </c>
      <c r="S6" s="102" t="s">
        <v>212</v>
      </c>
      <c r="T6" s="81" t="s">
        <v>213</v>
      </c>
      <c r="U6" s="81" t="s">
        <v>214</v>
      </c>
      <c r="V6" s="102" t="s">
        <v>212</v>
      </c>
      <c r="W6" s="81" t="s">
        <v>213</v>
      </c>
      <c r="X6" s="81" t="s">
        <v>214</v>
      </c>
      <c r="Y6" s="102" t="s">
        <v>212</v>
      </c>
      <c r="Z6" s="81" t="s">
        <v>213</v>
      </c>
      <c r="AA6" s="81" t="s">
        <v>214</v>
      </c>
      <c r="AB6" s="102" t="s">
        <v>212</v>
      </c>
      <c r="AC6" s="81" t="s">
        <v>213</v>
      </c>
      <c r="AD6" s="81" t="s">
        <v>214</v>
      </c>
      <c r="AE6" s="81" t="s">
        <v>215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37061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3031</v>
      </c>
      <c r="I7" s="114" t="n">
        <v>7197</v>
      </c>
      <c r="J7" s="114" t="n">
        <v>4644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37061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37062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2000</v>
      </c>
      <c r="I8" s="114" t="n">
        <v>7197</v>
      </c>
      <c r="J8" s="114" t="n">
        <v>4760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37062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37063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2000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37063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37064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2000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37064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37065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2000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37065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37066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2000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37066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" activeCellId="0" sqref="D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194</v>
      </c>
      <c r="C3" s="70" t="s">
        <v>216</v>
      </c>
      <c r="D3" s="70"/>
      <c r="E3" s="70"/>
      <c r="F3" s="70"/>
      <c r="G3" s="69" t="s">
        <v>176</v>
      </c>
      <c r="H3" s="69"/>
      <c r="I3" s="69"/>
      <c r="J3" s="69"/>
      <c r="K3" s="69"/>
      <c r="L3" s="69"/>
      <c r="M3" s="69"/>
      <c r="N3" s="68" t="s">
        <v>217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218</v>
      </c>
      <c r="C4" s="37"/>
      <c r="D4" s="36"/>
      <c r="E4" s="36"/>
      <c r="F4" s="73"/>
      <c r="G4" s="37"/>
      <c r="L4" s="71"/>
      <c r="M4" s="95"/>
      <c r="O4" s="36" t="s">
        <v>219</v>
      </c>
      <c r="P4" s="36"/>
      <c r="T4" s="71"/>
    </row>
    <row r="5" customFormat="false" ht="12.75" hidden="false" customHeight="false" outlineLevel="0" collapsed="false">
      <c r="C5" s="37" t="s">
        <v>45</v>
      </c>
      <c r="D5" s="36" t="s">
        <v>220</v>
      </c>
      <c r="E5" s="36" t="s">
        <v>89</v>
      </c>
      <c r="F5" s="73" t="s">
        <v>45</v>
      </c>
      <c r="G5" s="37" t="s">
        <v>66</v>
      </c>
      <c r="H5" s="36" t="s">
        <v>45</v>
      </c>
      <c r="I5" s="36" t="s">
        <v>45</v>
      </c>
      <c r="J5" s="36" t="s">
        <v>45</v>
      </c>
      <c r="K5" s="36" t="s">
        <v>89</v>
      </c>
      <c r="L5" s="78" t="s">
        <v>89</v>
      </c>
      <c r="M5" s="36" t="s">
        <v>145</v>
      </c>
      <c r="N5" s="36"/>
      <c r="O5" s="36" t="s">
        <v>221</v>
      </c>
      <c r="P5" s="36" t="s">
        <v>221</v>
      </c>
      <c r="Q5" s="36" t="s">
        <v>45</v>
      </c>
      <c r="R5" s="29" t="s">
        <v>222</v>
      </c>
      <c r="T5" s="78"/>
    </row>
    <row r="6" customFormat="false" ht="12.75" hidden="false" customHeight="false" outlineLevel="0" collapsed="false">
      <c r="B6" s="81" t="s">
        <v>87</v>
      </c>
      <c r="C6" s="102" t="s">
        <v>202</v>
      </c>
      <c r="D6" s="81" t="s">
        <v>223</v>
      </c>
      <c r="E6" s="81" t="s">
        <v>152</v>
      </c>
      <c r="F6" s="81" t="s">
        <v>188</v>
      </c>
      <c r="G6" s="102" t="s">
        <v>78</v>
      </c>
      <c r="H6" s="81" t="s">
        <v>210</v>
      </c>
      <c r="I6" s="81" t="s">
        <v>168</v>
      </c>
      <c r="J6" s="81" t="s">
        <v>211</v>
      </c>
      <c r="K6" s="81" t="s">
        <v>224</v>
      </c>
      <c r="L6" s="83" t="s">
        <v>225</v>
      </c>
      <c r="M6" s="81" t="s">
        <v>226</v>
      </c>
      <c r="N6" s="81" t="s">
        <v>144</v>
      </c>
      <c r="O6" s="81" t="s">
        <v>227</v>
      </c>
      <c r="P6" s="81" t="s">
        <v>228</v>
      </c>
      <c r="Q6" s="81" t="s">
        <v>221</v>
      </c>
      <c r="R6" s="104" t="s">
        <v>45</v>
      </c>
      <c r="S6" s="81" t="s">
        <v>145</v>
      </c>
      <c r="T6" s="83" t="s">
        <v>79</v>
      </c>
    </row>
    <row r="7" customFormat="false" ht="12.75" hidden="false" customHeight="false" outlineLevel="0" collapsed="false">
      <c r="A7" s="88" t="n">
        <f aca="false">Weather_Input!A5</f>
        <v>37061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15215</v>
      </c>
      <c r="Q7" s="50" t="n">
        <v>27899</v>
      </c>
      <c r="R7" s="50" t="n">
        <v>16025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37062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15215</v>
      </c>
      <c r="Q8" s="50" t="n">
        <v>28549</v>
      </c>
      <c r="R8" s="50" t="n">
        <v>16675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37063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15215</v>
      </c>
      <c r="Q9" s="50" t="n">
        <v>28549</v>
      </c>
      <c r="R9" s="50" t="n">
        <v>16675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37064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15215</v>
      </c>
      <c r="Q10" s="50" t="n">
        <v>28549</v>
      </c>
      <c r="R10" s="50" t="n">
        <v>16675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37065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15215</v>
      </c>
      <c r="Q11" s="50" t="n">
        <v>28549</v>
      </c>
      <c r="R11" s="50" t="n">
        <v>16675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37066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15215</v>
      </c>
      <c r="Q12" s="50" t="n">
        <v>28549</v>
      </c>
      <c r="R12" s="50" t="n">
        <v>16675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229</v>
      </c>
      <c r="B1" s="122"/>
      <c r="C1" s="123"/>
      <c r="D1" s="122"/>
      <c r="E1" s="122"/>
      <c r="F1" s="122" t="s">
        <v>0</v>
      </c>
      <c r="G1" s="122" t="s">
        <v>230</v>
      </c>
      <c r="H1" s="124" t="str">
        <f aca="false">D3</f>
        <v>TUE</v>
      </c>
      <c r="I1" s="125" t="n">
        <f aca="false">D4</f>
        <v>37061</v>
      </c>
    </row>
    <row r="2" customFormat="false" ht="18.95" hidden="false" customHeight="true" outlineLevel="0" collapsed="false">
      <c r="A2" s="126" t="s">
        <v>231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TUE</v>
      </c>
      <c r="E3" s="130" t="str">
        <f aca="false">CHOOSE(WEEKDAY(E4),"SUN","MON","TUE","WED","THU","FRI","SAT")</f>
        <v>WED</v>
      </c>
      <c r="F3" s="130" t="str">
        <f aca="false">CHOOSE(WEEKDAY(F4),"SUN","MON","TUE","WED","THU","FRI","SAT")</f>
        <v>THU</v>
      </c>
      <c r="G3" s="130" t="str">
        <f aca="false">CHOOSE(WEEKDAY(G4),"SUN","MON","TUE","WED","THU","FRI","SAT")</f>
        <v>FRI</v>
      </c>
      <c r="H3" s="130" t="str">
        <f aca="false">CHOOSE(WEEKDAY(H4),"SUN","MON","TUE","WED","THU","FRI","SAT")</f>
        <v>SAT</v>
      </c>
      <c r="I3" s="131" t="str">
        <f aca="false">CHOOSE(WEEKDAY(I4),"SUN","MON","TUE","WED","THU","FRI","SAT")</f>
        <v>SUN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37061</v>
      </c>
      <c r="E4" s="134" t="n">
        <f aca="false">Weather_Input!A6</f>
        <v>37062</v>
      </c>
      <c r="F4" s="134" t="n">
        <f aca="false">Weather_Input!A7</f>
        <v>37063</v>
      </c>
      <c r="G4" s="134" t="n">
        <f aca="false">Weather_Input!A8</f>
        <v>37064</v>
      </c>
      <c r="H4" s="134" t="n">
        <f aca="false">Weather_Input!A9</f>
        <v>37065</v>
      </c>
      <c r="I4" s="135" t="n">
        <f aca="false">Weather_Input!A10</f>
        <v>37066</v>
      </c>
    </row>
    <row r="5" customFormat="false" ht="18.95" hidden="false" customHeight="true" outlineLevel="0" collapsed="false">
      <c r="A5" s="136" t="s">
        <v>232</v>
      </c>
      <c r="B5" s="127"/>
      <c r="C5" s="127" t="s">
        <v>233</v>
      </c>
      <c r="D5" s="137" t="str">
        <f aca="false">TEXT(Weather_Input!B5,"0")&amp;"/"&amp;TEXT(Weather_Input!C5,"0")&amp;"/"&amp;TEXT((Weather_Input!B5+Weather_Input!C5)/2,"0")</f>
        <v>83/65/74</v>
      </c>
      <c r="E5" s="137" t="str">
        <f aca="false">TEXT(Weather_Input!B6,"0")&amp;"/"&amp;TEXT(Weather_Input!C6,"0")&amp;"/"&amp;TEXT((Weather_Input!B6+Weather_Input!C6)/2,"0")</f>
        <v>78/59/69</v>
      </c>
      <c r="F5" s="137" t="str">
        <f aca="false">TEXT(Weather_Input!B7,"0")&amp;"/"&amp;TEXT(Weather_Input!C7,"0")&amp;"/"&amp;TEXT((Weather_Input!B7+Weather_Input!C7)/2,"0")</f>
        <v>72/53/63</v>
      </c>
      <c r="G5" s="137" t="str">
        <f aca="false">TEXT(Weather_Input!B8,"0")&amp;"/"&amp;TEXT(Weather_Input!C8,"0")&amp;"/"&amp;TEXT((Weather_Input!B8+Weather_Input!C8)/2,"0")</f>
        <v>74/51/63</v>
      </c>
      <c r="H5" s="137" t="str">
        <f aca="false">TEXT(Weather_Input!B9,"0")&amp;"/"&amp;TEXT(Weather_Input!C9,"0")&amp;"/"&amp;TEXT((Weather_Input!B9+Weather_Input!C9)/2,"0")</f>
        <v>80/58/69</v>
      </c>
      <c r="I5" s="138" t="str">
        <f aca="false">TEXT(Weather_Input!B10,"0")&amp;"/"&amp;TEXT(Weather_Input!C10,"0")&amp;"/"&amp;TEXT((Weather_Input!B10+Weather_Input!C10)/2,"0")</f>
        <v>85/62/74</v>
      </c>
    </row>
    <row r="6" customFormat="false" ht="18.95" hidden="false" customHeight="true" outlineLevel="0" collapsed="false">
      <c r="A6" s="139" t="s">
        <v>234</v>
      </c>
      <c r="B6" s="127"/>
      <c r="C6" s="127"/>
      <c r="D6" s="137" t="n">
        <f aca="false">PGL_Deliveries!C5/1000</f>
        <v>215</v>
      </c>
      <c r="E6" s="137" t="n">
        <f aca="false">PGL_Deliveries!C6/1000</f>
        <v>220</v>
      </c>
      <c r="F6" s="137" t="n">
        <f aca="false">PGL_Deliveries!C7/1000</f>
        <v>225</v>
      </c>
      <c r="G6" s="137" t="n">
        <f aca="false">PGL_Deliveries!C8/1000</f>
        <v>205</v>
      </c>
      <c r="H6" s="137" t="n">
        <f aca="false">PGL_Deliveries!C9/1000</f>
        <v>185</v>
      </c>
      <c r="I6" s="138" t="n">
        <f aca="false">PGL_Deliveries!C10/1000</f>
        <v>200</v>
      </c>
    </row>
    <row r="7" customFormat="false" ht="18.95" hidden="false" customHeight="true" outlineLevel="0" collapsed="false">
      <c r="A7" s="139" t="s">
        <v>235</v>
      </c>
      <c r="B7" s="127" t="s">
        <v>0</v>
      </c>
      <c r="C7" s="127"/>
      <c r="D7" s="137" t="n">
        <f aca="false">PGL_Requirements!G7/1000*0.5</f>
        <v>8.5225</v>
      </c>
      <c r="E7" s="137" t="n">
        <f aca="false">PGL_Requirements!G8/1000*0.5</f>
        <v>0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236</v>
      </c>
      <c r="B8" s="127"/>
      <c r="C8" s="127"/>
      <c r="D8" s="137" t="n">
        <f aca="false">PGL_Requirements!J7/1000</f>
        <v>6.444</v>
      </c>
      <c r="E8" s="137" t="n">
        <f aca="false">PGL_Requirements!J8/1000</f>
        <v>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237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238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239</v>
      </c>
      <c r="B11" s="127" t="s">
        <v>240</v>
      </c>
      <c r="C11" s="127" t="s">
        <v>78</v>
      </c>
      <c r="D11" s="137" t="n">
        <f aca="false">PGL_Requirements!O7/1000</f>
        <v>131.31</v>
      </c>
      <c r="E11" s="137" t="n">
        <f aca="false">PGL_Requirements!O8/1000</f>
        <v>135</v>
      </c>
      <c r="F11" s="137" t="n">
        <f aca="false">PGL_Requirements!O9/1000</f>
        <v>135</v>
      </c>
      <c r="G11" s="137" t="n">
        <f aca="false">PGL_Requirements!O10/1000</f>
        <v>135</v>
      </c>
      <c r="H11" s="137" t="n">
        <f aca="false">PGL_Requirements!O11/1000</f>
        <v>135</v>
      </c>
      <c r="I11" s="138" t="n">
        <f aca="false">PGL_Requirements!O12/1000</f>
        <v>135</v>
      </c>
    </row>
    <row r="12" customFormat="false" ht="18.95" hidden="false" customHeight="true" outlineLevel="0" collapsed="false">
      <c r="A12" s="136"/>
      <c r="B12" s="127"/>
      <c r="C12" s="127" t="s">
        <v>166</v>
      </c>
      <c r="D12" s="137" t="n">
        <f aca="false">PGL_Requirements!P7/1000</f>
        <v>1.96965</v>
      </c>
      <c r="E12" s="137" t="n">
        <f aca="false">PGL_Requirements!P8/1000</f>
        <v>2.025</v>
      </c>
      <c r="F12" s="137" t="n">
        <f aca="false">PGL_Requirements!P9/1000</f>
        <v>2.025</v>
      </c>
      <c r="G12" s="137" t="n">
        <f aca="false">PGL_Requirements!P10/1000</f>
        <v>2.025</v>
      </c>
      <c r="H12" s="137" t="n">
        <f aca="false">PGL_Requirements!P11/1000</f>
        <v>2.025</v>
      </c>
      <c r="I12" s="138" t="n">
        <f aca="false">PGL_Requirements!P12/1000</f>
        <v>2.025</v>
      </c>
    </row>
    <row r="13" customFormat="false" ht="18.95" hidden="false" customHeight="true" outlineLevel="0" collapsed="false">
      <c r="A13" s="136"/>
      <c r="C13" s="127" t="s">
        <v>167</v>
      </c>
      <c r="D13" s="137" t="n">
        <f aca="false">PGL_Requirements!Q7/1000</f>
        <v>0.6</v>
      </c>
      <c r="E13" s="137" t="n">
        <f aca="false">PGL_Requirements!Q8/1000</f>
        <v>0.5</v>
      </c>
      <c r="F13" s="137" t="n">
        <f aca="false">PGL_Requirements!Q9/1000</f>
        <v>0.5</v>
      </c>
      <c r="G13" s="137" t="n">
        <f aca="false">PGL_Requirements!Q10/1000</f>
        <v>0.5</v>
      </c>
      <c r="H13" s="137" t="n">
        <f aca="false">PGL_Requirements!Q11/1000</f>
        <v>0.5</v>
      </c>
      <c r="I13" s="138" t="n">
        <f aca="false">PGL_Requirements!Q12/1000</f>
        <v>0.5</v>
      </c>
    </row>
    <row r="14" customFormat="false" ht="18.95" hidden="false" customHeight="true" outlineLevel="0" collapsed="false">
      <c r="A14" s="136"/>
      <c r="C14" s="127" t="s">
        <v>241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242</v>
      </c>
      <c r="C15" s="127" t="s">
        <v>243</v>
      </c>
      <c r="D15" s="137" t="n">
        <f aca="false">PGL_Requirements!T7/1000</f>
        <v>0</v>
      </c>
      <c r="E15" s="137" t="n">
        <f aca="false">PGL_Requirements!T8/1000</f>
        <v>0</v>
      </c>
      <c r="F15" s="137" t="n">
        <f aca="false">PGL_Requirements!T9/1000</f>
        <v>0</v>
      </c>
      <c r="G15" s="137" t="n">
        <f aca="false">PGL_Requirements!T10/1000</f>
        <v>0</v>
      </c>
      <c r="H15" s="137" t="n">
        <f aca="false">PGL_Requirements!T11/1000</f>
        <v>0</v>
      </c>
      <c r="I15" s="138" t="n">
        <f aca="false">PGL_Requirements!T12/1000</f>
        <v>0</v>
      </c>
    </row>
    <row r="16" customFormat="false" ht="18.95" hidden="false" customHeight="true" outlineLevel="0" collapsed="false">
      <c r="A16" s="136"/>
      <c r="B16" s="127"/>
      <c r="C16" s="127" t="s">
        <v>244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245</v>
      </c>
      <c r="C17" s="127" t="s">
        <v>152</v>
      </c>
      <c r="D17" s="137" t="n">
        <f aca="false">PGL_Requirements!N7/1000</f>
        <v>0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246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247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248</v>
      </c>
      <c r="B20" s="127"/>
      <c r="C20" s="127"/>
      <c r="D20" s="137" t="n">
        <f aca="false">PGL_Requirements!F7/1000</f>
        <v>0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249</v>
      </c>
      <c r="B21" s="127" t="s">
        <v>250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144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145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158</v>
      </c>
      <c r="C24" s="127"/>
      <c r="D24" s="143" t="n">
        <f aca="false">PGL_Requirements!E7/1000</f>
        <v>4</v>
      </c>
      <c r="E24" s="143" t="n">
        <f aca="false">PGL_Requirements!E8/1000</f>
        <v>0</v>
      </c>
      <c r="F24" s="143" t="n">
        <f aca="false">PGL_Requirements!E9/1000</f>
        <v>4</v>
      </c>
      <c r="G24" s="143" t="n">
        <f aca="false">PGL_Requirements!E10/1000</f>
        <v>4</v>
      </c>
      <c r="H24" s="143" t="n">
        <f aca="false">PGL_Requirements!E11/1000</f>
        <v>4</v>
      </c>
      <c r="I24" s="144" t="n">
        <f aca="false">PGL_Requirements!E12/1000</f>
        <v>4</v>
      </c>
    </row>
    <row r="25" customFormat="false" ht="18.95" hidden="false" customHeight="true" outlineLevel="0" collapsed="false">
      <c r="A25" s="145" t="s">
        <v>251</v>
      </c>
      <c r="B25" s="146"/>
      <c r="C25" s="146"/>
      <c r="D25" s="147" t="n">
        <f aca="false">SUM(D6:D24)</f>
        <v>367.84615</v>
      </c>
      <c r="E25" s="147" t="n">
        <f aca="false">SUM(E6:E24)</f>
        <v>357.525</v>
      </c>
      <c r="F25" s="147" t="n">
        <f aca="false">SUM(F6:F24)</f>
        <v>366.525</v>
      </c>
      <c r="G25" s="147" t="n">
        <f aca="false">SUM(G6:G24)</f>
        <v>346.525</v>
      </c>
      <c r="H25" s="147" t="n">
        <f aca="false">SUM(H6:H24)</f>
        <v>326.525</v>
      </c>
      <c r="I25" s="148" t="n">
        <f aca="false">SUM(I6:I24)</f>
        <v>341.525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252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253</v>
      </c>
      <c r="B28" s="127" t="s">
        <v>240</v>
      </c>
      <c r="C28" s="127" t="s">
        <v>78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146</v>
      </c>
      <c r="D29" s="137" t="n">
        <f aca="false">PGL_Supplies!G7/1000</f>
        <v>1.463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79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242</v>
      </c>
      <c r="C31" s="127" t="s">
        <v>243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244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245</v>
      </c>
      <c r="C33" s="127" t="s">
        <v>152</v>
      </c>
      <c r="D33" s="137" t="n">
        <f aca="false">PGL_Supplies!K7/1000</f>
        <v>18</v>
      </c>
      <c r="E33" s="137" t="n">
        <f aca="false">PGL_Supplies!K8/1000</f>
        <v>25.03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254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255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256</v>
      </c>
      <c r="B36" s="127" t="s">
        <v>145</v>
      </c>
      <c r="C36" s="127"/>
      <c r="D36" s="137" t="n">
        <f aca="false">PGL_Supplies!S7/1000*0.5</f>
        <v>17.167</v>
      </c>
      <c r="E36" s="137" t="n">
        <f aca="false">PGL_Supplies!S8/1000*0.5</f>
        <v>1</v>
      </c>
      <c r="F36" s="137" t="n">
        <f aca="false">PGL_Supplies!S9/1000*0.5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257</v>
      </c>
      <c r="B37" s="127" t="s">
        <v>258</v>
      </c>
      <c r="C37" s="127"/>
      <c r="D37" s="137" t="n">
        <f aca="false">PGL_Supplies!X7/1000</f>
        <v>89.603</v>
      </c>
      <c r="E37" s="137" t="n">
        <f aca="false">PGL_Supplies!X8/1000</f>
        <v>99.063</v>
      </c>
      <c r="F37" s="137" t="n">
        <f aca="false">PGL_Supplies!X9/1000</f>
        <v>99.063</v>
      </c>
      <c r="G37" s="137" t="n">
        <f aca="false">PGL_Supplies!X10/1000</f>
        <v>99.063</v>
      </c>
      <c r="H37" s="137" t="n">
        <f aca="false">PGL_Supplies!X11/1000</f>
        <v>99.063</v>
      </c>
      <c r="I37" s="138" t="n">
        <f aca="false">PGL_Supplies!X12/1000</f>
        <v>99.063</v>
      </c>
    </row>
    <row r="38" customFormat="false" ht="18.95" hidden="false" customHeight="true" outlineLevel="0" collapsed="false">
      <c r="A38" s="139"/>
      <c r="B38" s="127" t="s">
        <v>242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259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145</v>
      </c>
      <c r="C40" s="140"/>
      <c r="D40" s="137" t="n">
        <f aca="false">PGL_Supplies!AA7/1000</f>
        <v>167.271</v>
      </c>
      <c r="E40" s="137" t="n">
        <f aca="false">PGL_Supplies!AA8/1000</f>
        <v>150.892</v>
      </c>
      <c r="F40" s="137" t="n">
        <f aca="false">PGL_Supplies!AA9/1000</f>
        <v>150.892</v>
      </c>
      <c r="G40" s="137" t="n">
        <f aca="false">PGL_Supplies!AA10/1000</f>
        <v>150.892</v>
      </c>
      <c r="H40" s="137" t="n">
        <f aca="false">PGL_Supplies!AA11/1000</f>
        <v>150.892</v>
      </c>
      <c r="I40" s="138" t="n">
        <f aca="false">PGL_Supplies!AA12/1000</f>
        <v>150.892</v>
      </c>
    </row>
    <row r="41" customFormat="false" ht="18.95" hidden="false" customHeight="true" outlineLevel="0" collapsed="false">
      <c r="A41" s="139"/>
      <c r="B41" s="127" t="s">
        <v>245</v>
      </c>
      <c r="C41" s="127"/>
      <c r="D41" s="137" t="n">
        <f aca="false">PGL_Supplies!AB7/1000</f>
        <v>31.556</v>
      </c>
      <c r="E41" s="137" t="n">
        <f aca="false">PGL_Supplies!AB8/1000</f>
        <v>41.342</v>
      </c>
      <c r="F41" s="137" t="n">
        <f aca="false">PGL_Supplies!AB9/1000</f>
        <v>41.342</v>
      </c>
      <c r="G41" s="137" t="n">
        <f aca="false">PGL_Supplies!AB10/1000</f>
        <v>41.342</v>
      </c>
      <c r="H41" s="137" t="n">
        <f aca="false">PGL_Supplies!AB11/1000</f>
        <v>41.342</v>
      </c>
      <c r="I41" s="138" t="n">
        <f aca="false">PGL_Supplies!AB12/1000</f>
        <v>41.342</v>
      </c>
    </row>
    <row r="42" customFormat="false" ht="18.95" hidden="false" customHeight="true" outlineLevel="0" collapsed="false">
      <c r="A42" s="139"/>
      <c r="B42" s="127" t="s">
        <v>260</v>
      </c>
      <c r="C42" s="127"/>
      <c r="D42" s="137" t="n">
        <f aca="false">PGL_Supplies!AC7/1000</f>
        <v>4</v>
      </c>
      <c r="E42" s="137" t="n">
        <f aca="false">PGL_Supplies!AC8/1000</f>
        <v>24</v>
      </c>
      <c r="F42" s="137" t="n">
        <f aca="false">PGL_Supplies!AC9/1000</f>
        <v>4</v>
      </c>
      <c r="G42" s="137" t="n">
        <f aca="false">PGL_Supplies!AC10/1000</f>
        <v>4</v>
      </c>
      <c r="H42" s="137" t="n">
        <f aca="false">PGL_Supplies!AC11/1000</f>
        <v>4</v>
      </c>
      <c r="I42" s="138" t="n">
        <f aca="false">PGL_Supplies!AC12/1000</f>
        <v>4</v>
      </c>
    </row>
    <row r="43" customFormat="false" ht="18.95" hidden="false" customHeight="true" outlineLevel="0" collapsed="false">
      <c r="A43" s="139"/>
      <c r="B43" s="127" t="s">
        <v>261</v>
      </c>
      <c r="C43" s="127"/>
      <c r="D43" s="137" t="n">
        <f aca="false">PGL_Supplies!H7/1000</f>
        <v>24.85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262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263</v>
      </c>
      <c r="B45" s="127"/>
      <c r="C45" s="127"/>
      <c r="D45" s="137" t="n">
        <f aca="false">PGL_Supplies!B7/1000</f>
        <v>15.722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264</v>
      </c>
      <c r="B46" s="127" t="s">
        <v>258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259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145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260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265</v>
      </c>
      <c r="B50" s="161"/>
      <c r="C50" s="161"/>
      <c r="D50" s="162" t="n">
        <f aca="false">SUM(D28:D49)</f>
        <v>369.832</v>
      </c>
      <c r="E50" s="162" t="n">
        <f aca="false">SUM(E28:E49)</f>
        <v>357.527</v>
      </c>
      <c r="F50" s="162" t="n">
        <f aca="false">SUM(F28:F49)</f>
        <v>311.497</v>
      </c>
      <c r="G50" s="162" t="n">
        <f aca="false">SUM(G28:G49)</f>
        <v>311.497</v>
      </c>
      <c r="H50" s="162" t="n">
        <f aca="false">SUM(H28:H49)</f>
        <v>311.497</v>
      </c>
      <c r="I50" s="163" t="n">
        <f aca="false">SUM(I28:I49)</f>
        <v>311.497</v>
      </c>
    </row>
    <row r="51" customFormat="false" ht="18.95" hidden="false" customHeight="true" outlineLevel="0" collapsed="false">
      <c r="A51" s="164" t="s">
        <v>266</v>
      </c>
      <c r="B51" s="159"/>
      <c r="C51" s="159"/>
      <c r="D51" s="165" t="n">
        <f aca="false">IF(D50-D25&lt;0,0,D50-D25)</f>
        <v>1.98584999999991</v>
      </c>
      <c r="E51" s="165" t="n">
        <f aca="false">IF(E50-E25&lt;0,0,E50-E25)</f>
        <v>0.00200000000000955</v>
      </c>
      <c r="F51" s="165" t="n">
        <f aca="false">IF(F50-F25&lt;0,0,F50-F25)</f>
        <v>0</v>
      </c>
      <c r="G51" s="165" t="n">
        <f aca="false">IF(G50-G25&lt;0,0,G50-G25)</f>
        <v>0</v>
      </c>
      <c r="H51" s="165" t="n">
        <f aca="false">IF(H50-H25&lt;0,0,H50-H25)</f>
        <v>0</v>
      </c>
      <c r="I51" s="166" t="n">
        <f aca="false">IF(I50-I25&lt;0,0,I50-I25)</f>
        <v>0</v>
      </c>
    </row>
    <row r="52" customFormat="false" ht="18.95" hidden="false" customHeight="true" outlineLevel="0" collapsed="false">
      <c r="A52" s="167" t="s">
        <v>267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0</v>
      </c>
      <c r="F52" s="169" t="n">
        <f aca="false">IF(F25-F50&lt;0,0,F25-F50)</f>
        <v>55.028</v>
      </c>
      <c r="G52" s="169" t="n">
        <f aca="false">IF(G25-G50&lt;0,0,G25-G50)</f>
        <v>35.028</v>
      </c>
      <c r="H52" s="169" t="n">
        <f aca="false">IF(H25-H50&lt;0,0,H25-H50)</f>
        <v>15.028</v>
      </c>
      <c r="I52" s="170" t="n">
        <f aca="false">IF(I25-I50&lt;0,0,I25-I50)</f>
        <v>30.028</v>
      </c>
    </row>
    <row r="53" customFormat="false" ht="18.95" hidden="false" customHeight="true" outlineLevel="0" collapsed="false">
      <c r="A53" s="171" t="s">
        <v>268</v>
      </c>
      <c r="B53" s="172"/>
      <c r="C53" s="172"/>
      <c r="D53" s="173" t="n">
        <f aca="false">PGL_Supplies!U7/1000</f>
        <v>122.53</v>
      </c>
      <c r="E53" s="173" t="n">
        <f aca="false">PGL_Supplies!U8/1000</f>
        <v>120.055</v>
      </c>
      <c r="F53" s="173" t="n">
        <f aca="false">PGL_Supplies!U9/1000</f>
        <v>120.055</v>
      </c>
      <c r="G53" s="173" t="n">
        <f aca="false">PGL_Supplies!U10/1000</f>
        <v>120.055</v>
      </c>
      <c r="H53" s="173" t="n">
        <f aca="false">PGL_Supplies!U11/1000</f>
        <v>120.055</v>
      </c>
      <c r="I53" s="174" t="n">
        <f aca="false">PGL_Supplies!U12/1000</f>
        <v>120.055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269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2001-06-20T12:18:45Z</cp:lastPrinted>
  <cp:revision>0</cp:revision>
  <dc:subject/>
  <dc:title/>
</cp:coreProperties>
</file>