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<sst xmlns="http://schemas.openxmlformats.org/spreadsheetml/2006/main" count="2063" uniqueCount="818">
  <si>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</si>
  <si>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</si>
  <si>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</si>
  <si>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</si>
  <si>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</si>
  <si>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</si>
  <si>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</si>
  <si>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</si>
  <si>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</si>
  <si>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</si>
  <si>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</si>
  <si>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</si>
  <si>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</si>
  <si>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</si>
  <si>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</si>
  <si>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</si>
  <si>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</si>
  <si>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</si>
  <si>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</si>
  <si>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</si>
  <si>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</si>
  <si>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</si>
  <si>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</si>
  <si>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</si>
  <si>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</si>
  <si>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</si>
  <si>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</si>
  <si>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</si>
  <si>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</si>
  <si>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OVERNIGHT... BECOMING  MOSTLY  CLOUDY WITH   A  40%  CHANCE OF SHOWERS.</t>
  </si>
  <si>
    <t xml:space="preserve">RAIN</t>
  </si>
  <si>
    <t xml:space="preserve">SHOWERS AND T'STORMS THIS MORNING THEN BECOMING PARTLY SUNNY AND</t>
  </si>
  <si>
    <t xml:space="preserve">WINDY. S.W. WINDS 15 TO 25 MPH. OVERNIGHT…PARTLY CLOUDY/WINDY. S.W. 15 TO 25.</t>
  </si>
  <si>
    <t xml:space="preserve">S</t>
  </si>
  <si>
    <t xml:space="preserve">TSTORM</t>
  </si>
  <si>
    <t xml:space="preserve">PARTLY SUNNY. A 30% CHANCE OF A.M. T'STORMS. OVERNIGHT…PARTLY CLOUDY.</t>
  </si>
  <si>
    <t xml:space="preserve">PARTLY CLOUDY.</t>
  </si>
  <si>
    <t xml:space="preserve">SUNNY.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</si>
  <si>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</si>
  <si>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</si>
  <si>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</si>
  <si>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</si>
  <si>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</si>
  <si>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</si>
  <si>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</si>
  <si>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</si>
  <si>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</si>
  <si>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</si>
  <si>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</si>
  <si>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</si>
  <si>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</si>
  <si>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</si>
  <si>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</si>
  <si>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</si>
  <si>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</si>
  <si>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</si>
  <si>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</si>
  <si>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</si>
  <si>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</si>
  <si>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</si>
  <si>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</si>
  <si>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</si>
  <si>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</si>
  <si>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</si>
  <si>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</si>
  <si>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</si>
  <si>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</si>
  <si>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</si>
  <si>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</si>
  <si>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</si>
  <si>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</si>
  <si>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</si>
  <si>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</si>
  <si>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</si>
  <si>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</si>
  <si>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</si>
  <si>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</si>
  <si>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</si>
  <si>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</si>
  <si>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</si>
  <si>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</si>
  <si>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</si>
  <si>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</si>
  <si>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</si>
  <si>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</si>
  <si>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</si>
  <si>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</si>
  <si>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</si>
  <si>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</si>
  <si>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</si>
  <si>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</si>
  <si>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</si>
  <si>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</si>
  <si>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</si>
  <si>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</si>
  <si>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</si>
  <si>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</si>
  <si>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</si>
  <si>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</si>
  <si>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</si>
  <si>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</si>
  <si>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</si>
  <si>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</si>
  <si>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</si>
  <si>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</si>
  <si>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</si>
  <si>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</si>
  <si>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</si>
  <si>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</si>
  <si>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</si>
  <si>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</si>
  <si>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</si>
  <si>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</si>
  <si>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</si>
  <si>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</si>
  <si>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</si>
  <si>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</si>
  <si>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</si>
  <si>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</si>
  <si>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</si>
  <si>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</si>
  <si>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</si>
  <si>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</si>
  <si>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</si>
  <si>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</si>
  <si>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</si>
  <si>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</si>
  <si>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</si>
  <si>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</si>
  <si>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</si>
  <si>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</si>
  <si>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</si>
  <si>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</si>
  <si>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Oani</t>
  </si>
  <si>
    <t xml:space="preserve">Payback</t>
  </si>
  <si>
    <t xml:space="preserve">Deliveries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</si>
  <si>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</si>
  <si>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</si>
  <si>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</si>
  <si>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</si>
  <si>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</si>
  <si>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</si>
  <si>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</si>
  <si>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</si>
  <si>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</si>
  <si>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</si>
  <si>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</si>
  <si>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</si>
  <si>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</si>
  <si>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</si>
  <si>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</si>
  <si>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</si>
  <si>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</si>
  <si>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</si>
  <si>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</si>
  <si>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</si>
  <si>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</si>
  <si>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</si>
  <si>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</si>
  <si>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</si>
  <si>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</si>
  <si>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</si>
  <si>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</si>
  <si>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</si>
  <si>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</si>
  <si>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</si>
  <si>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</si>
  <si>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</si>
  <si>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</si>
  <si>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</si>
  <si>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</si>
  <si>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</si>
  <si>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</si>
  <si>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TGC VIA</t>
  </si>
  <si>
    <t xml:space="preserve">E. Joliet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</si>
  <si>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</si>
  <si>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</si>
  <si>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</si>
  <si>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</si>
  <si>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</si>
  <si>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</si>
  <si>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</si>
  <si>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</si>
  <si>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</si>
  <si>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</si>
  <si>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</si>
  <si>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</si>
  <si>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</si>
  <si>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</si>
  <si>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</si>
  <si>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</si>
  <si>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</si>
  <si>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</si>
  <si>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</si>
  <si>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</si>
  <si>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</si>
  <si>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</si>
  <si>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</si>
  <si>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</si>
  <si>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</si>
  <si>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</si>
  <si>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</si>
  <si>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</si>
  <si>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</si>
  <si>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</si>
  <si>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</si>
  <si>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</si>
  <si>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</si>
  <si>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</si>
  <si>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</si>
  <si>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</si>
  <si>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</si>
  <si>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</si>
  <si>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</si>
  <si>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</si>
  <si>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</si>
  <si>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</si>
  <si>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</si>
  <si>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</si>
  <si>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</si>
  <si>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</si>
  <si>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</si>
  <si>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</si>
  <si>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</si>
  <si>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</si>
  <si>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</si>
  <si>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</si>
  <si>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</si>
  <si>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</si>
  <si>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</si>
  <si>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</si>
  <si>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</si>
  <si>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</si>
  <si>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</si>
  <si>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</si>
  <si>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NGPL:</t>
  </si>
  <si>
    <t xml:space="preserve">PGL(Manlove):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</si>
  <si>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</si>
  <si>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</si>
  <si>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</si>
  <si>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</si>
  <si>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</si>
  <si>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</si>
  <si>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</si>
  <si>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No-Notice CoMo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</si>
  <si>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</si>
  <si>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</si>
  <si>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</si>
  <si>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</si>
  <si>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</si>
  <si>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</si>
  <si>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</si>
  <si>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</si>
  <si>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</si>
  <si>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</si>
  <si>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</si>
  <si>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</si>
  <si>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</si>
  <si>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</si>
  <si>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</si>
  <si>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</si>
  <si>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</si>
  <si>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</si>
  <si>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</si>
  <si>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</si>
  <si>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</si>
  <si>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</si>
  <si>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</si>
  <si>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</si>
  <si>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</si>
  <si>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</si>
  <si>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</si>
  <si>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</si>
  <si>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</si>
  <si>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</si>
  <si>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</si>
  <si>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</si>
  <si>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</si>
  <si>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</si>
  <si>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</si>
  <si>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</si>
  <si>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</si>
  <si>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</si>
  <si>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</si>
  <si>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</si>
  <si>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</si>
  <si>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</si>
  <si>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</si>
  <si>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</si>
  <si>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</si>
  <si>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</si>
  <si>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</si>
  <si>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</si>
  <si>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</si>
  <si>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</si>
  <si>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</si>
  <si>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</si>
  <si>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</si>
  <si>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</si>
  <si>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</si>
  <si>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</si>
  <si>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</si>
  <si>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Payback ANR to PGL</t>
  </si>
  <si>
    <t xml:space="preserve">Deliveries to Manlove</t>
  </si>
  <si>
    <t xml:space="preserve">System Supply ANR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</si>
  <si>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</si>
  <si>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</si>
  <si>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</si>
  <si>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</si>
  <si>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</si>
  <si>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</si>
  <si>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</si>
  <si>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</si>
  <si>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</si>
  <si>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</si>
  <si>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</si>
  <si>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</si>
  <si>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</si>
  <si>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</si>
  <si>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</si>
  <si>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</si>
  <si>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</si>
  <si>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</si>
  <si>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</si>
  <si>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Manlove Compressor Fuel</t>
  </si>
  <si>
    <t xml:space="preserve">Elwood Nicor 1 units (1-4)</t>
  </si>
  <si>
    <t xml:space="preserve">            Minimum take :</t>
  </si>
  <si>
    <t xml:space="preserve">NGPL 10"</t>
  </si>
  <si>
    <t xml:space="preserve">Elwood Nicor 2 Turbine</t>
  </si>
  <si>
    <t xml:space="preserve">Crawford LPG</t>
  </si>
  <si>
    <t xml:space="preserve">NGPL 16"</t>
  </si>
  <si>
    <t xml:space="preserve">Elwood Nicor 2 Ultrasonic</t>
  </si>
  <si>
    <t xml:space="preserve">Chicago District (NGPL)</t>
  </si>
  <si>
    <t xml:space="preserve">Utrasonic Bi-Directional</t>
  </si>
  <si>
    <t xml:space="preserve">Total Elwood</t>
  </si>
  <si>
    <t xml:space="preserve">Sharp Rd. Northern Border</t>
  </si>
  <si>
    <t xml:space="preserve">Manlove Tap</t>
  </si>
  <si>
    <t xml:space="preserve">Payback PGL to Midw.</t>
  </si>
  <si>
    <t xml:space="preserve">NGPL Takes</t>
  </si>
  <si>
    <t xml:space="preserve">Payback Midw to PGL </t>
  </si>
  <si>
    <t xml:space="preserve">Wisvest Calumet 3</t>
  </si>
  <si>
    <t xml:space="preserve">NGPL / Manlove</t>
  </si>
  <si>
    <t xml:space="preserve">No-Notice In</t>
  </si>
  <si>
    <t xml:space="preserve">TGL - 30 @ Midwestern</t>
  </si>
  <si>
    <t xml:space="preserve">Calumet Edison</t>
  </si>
  <si>
    <t xml:space="preserve">No-Notice Out</t>
  </si>
  <si>
    <t xml:space="preserve">Crawford Edison</t>
  </si>
  <si>
    <t xml:space="preserve">NGPL FTS</t>
  </si>
  <si>
    <t xml:space="preserve">Northern Border</t>
  </si>
  <si>
    <t xml:space="preserve">Fisk Edison</t>
  </si>
  <si>
    <t xml:space="preserve">NGPL CHICAGO DISTRICT</t>
  </si>
  <si>
    <t xml:space="preserve">Payback PGL- NBDR</t>
  </si>
  <si>
    <t xml:space="preserve">Total Edison</t>
  </si>
  <si>
    <t xml:space="preserve">112th Street</t>
  </si>
  <si>
    <t xml:space="preserve">126th &amp; Saginaw (Ford)</t>
  </si>
  <si>
    <t xml:space="preserve">Payback NBDR - PGL</t>
  </si>
  <si>
    <t xml:space="preserve">138th Street</t>
  </si>
  <si>
    <t xml:space="preserve">Republic (LTV) 2</t>
  </si>
  <si>
    <t xml:space="preserve">Calumet 3</t>
  </si>
  <si>
    <t xml:space="preserve">Elwood/NICOR Nom</t>
  </si>
  <si>
    <t xml:space="preserve">Calumet 2</t>
  </si>
  <si>
    <t xml:space="preserve">Crawford NGPL</t>
  </si>
  <si>
    <t xml:space="preserve">TOTAL Northern Border</t>
  </si>
  <si>
    <t xml:space="preserve">US Steel</t>
  </si>
  <si>
    <t xml:space="preserve">Deliveries to Manhattan North </t>
  </si>
  <si>
    <t xml:space="preserve">Acme Steel</t>
  </si>
  <si>
    <t xml:space="preserve">Ohare 1</t>
  </si>
  <si>
    <t xml:space="preserve">Deliveries to Manhattan South </t>
  </si>
  <si>
    <t xml:space="preserve">LTV Steel</t>
  </si>
  <si>
    <t xml:space="preserve">Ohare 2 </t>
  </si>
  <si>
    <t xml:space="preserve">Deliveries to Sharp Rd. </t>
  </si>
  <si>
    <t xml:space="preserve">Nonmetered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</si>
  <si>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</si>
  <si>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</si>
  <si>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</si>
  <si>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</si>
  <si>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</si>
  <si>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</si>
  <si>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</si>
  <si>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</si>
  <si>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</si>
  <si>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</si>
  <si>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</si>
  <si>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</si>
  <si>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</si>
  <si>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</si>
  <si>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</si>
  <si>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</si>
  <si>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</si>
  <si>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</si>
  <si>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</si>
  <si>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</si>
  <si>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</si>
  <si>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</si>
  <si>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</si>
  <si>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</si>
  <si>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</si>
  <si>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</si>
  <si>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</si>
  <si>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</si>
  <si>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</si>
  <si>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</si>
  <si>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</si>
  <si>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</si>
  <si>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</si>
  <si>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</si>
  <si>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</si>
  <si>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</si>
  <si>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</si>
  <si>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</si>
  <si>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</si>
  <si>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</si>
  <si>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</si>
  <si>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</si>
  <si>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</si>
  <si>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</si>
  <si>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</si>
  <si>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</si>
  <si>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</si>
  <si>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</si>
  <si>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</si>
  <si>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</si>
  <si>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</si>
  <si>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</si>
  <si>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</si>
  <si>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</si>
  <si>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</si>
  <si>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</si>
  <si>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</si>
  <si>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</si>
  <si>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</si>
  <si>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</si>
  <si>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</si>
  <si>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</si>
  <si>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</si>
  <si>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</si>
  <si>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</si>
  <si>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</si>
  <si>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</si>
  <si>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</si>
  <si>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</si>
  <si>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</si>
  <si>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</si>
  <si>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</si>
  <si>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</si>
  <si>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</si>
  <si>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</si>
  <si>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</si>
  <si>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</si>
  <si>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</si>
  <si>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</si>
  <si>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</si>
  <si>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</si>
  <si>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</si>
  <si>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</si>
  <si>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</si>
  <si>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</si>
  <si>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</si>
  <si>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</si>
  <si>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</si>
  <si>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</si>
  <si>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</si>
  <si>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</si>
  <si>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</si>
  <si>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</si>
  <si>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</si>
  <si>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</si>
  <si>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</si>
  <si>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</si>
  <si>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</si>
  <si>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</si>
  <si>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</si>
  <si>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</si>
  <si>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</si>
  <si>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</si>
  <si>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</si>
  <si>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</si>
  <si>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</si>
  <si>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</si>
  <si>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</si>
  <si>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</si>
  <si>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</si>
  <si>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</si>
  <si>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</si>
  <si>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</si>
  <si>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</si>
  <si>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</si>
  <si>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</si>
  <si>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</si>
  <si>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</si>
  <si>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</si>
  <si>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</si>
  <si>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</si>
  <si>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</si>
  <si>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</si>
  <si>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</si>
  <si>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</si>
  <si>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</si>
  <si>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</si>
  <si>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</si>
  <si>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</si>
  <si>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</si>
  <si>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</si>
  <si>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</si>
  <si>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</si>
  <si>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</si>
  <si>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</si>
  <si>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</si>
  <si>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</si>
  <si>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</si>
  <si>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</si>
  <si>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</si>
  <si>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</si>
  <si>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</si>
  <si>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</si>
  <si>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</si>
  <si>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</si>
  <si>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</si>
  <si>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</si>
  <si>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</si>
  <si>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</si>
  <si>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</si>
  <si>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</si>
  <si>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</si>
  <si>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</si>
  <si>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</si>
  <si>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</si>
  <si>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</si>
  <si>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</si>
  <si>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</si>
  <si>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</si>
  <si>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</si>
  <si>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</si>
  <si>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</si>
  <si>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</si>
  <si>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</si>
  <si>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</si>
  <si>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</si>
  <si>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</si>
  <si>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</si>
  <si>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</si>
  <si>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</si>
  <si>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</si>
  <si>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</si>
  <si>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</si>
  <si>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</si>
  <si>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</si>
  <si>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</si>
  <si>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</si>
  <si>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</si>
  <si>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</si>
  <si>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</si>
  <si>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</si>
  <si>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</si>
  <si>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</si>
  <si>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</si>
  <si>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</si>
  <si>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</si>
  <si>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</si>
  <si>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</si>
  <si>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</si>
  <si>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</si>
  <si>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</si>
  <si>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</si>
  <si>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</si>
  <si>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</si>
  <si>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</si>
  <si>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</si>
  <si>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</si>
  <si>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</si>
  <si>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</si>
  <si>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</si>
  <si>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</si>
  <si>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</si>
  <si>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</si>
  <si>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</si>
  <si>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</si>
  <si>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</si>
  <si>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</si>
  <si>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</si>
  <si>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</si>
  <si>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</si>
  <si>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</si>
  <si>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</si>
  <si>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</si>
  <si>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</si>
  <si>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</si>
  <si>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</si>
  <si>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</si>
  <si>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</si>
  <si>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</si>
  <si>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</si>
  <si>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</si>
  <si>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</si>
  <si>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</si>
  <si>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</si>
  <si>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</si>
  <si>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</si>
  <si>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</si>
  <si>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</si>
  <si>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</si>
  <si>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</si>
  <si>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</si>
  <si>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</si>
  <si>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</si>
  <si>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</si>
  <si>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</si>
  <si>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</si>
  <si>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</si>
  <si>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</si>
  <si>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</si>
  <si>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</si>
  <si>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</si>
  <si>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</si>
  <si>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</si>
  <si>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</si>
  <si>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</si>
  <si>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</si>
  <si>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</si>
  <si>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</si>
  <si>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</si>
  <si>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</si>
  <si>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</si>
  <si>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</si>
  <si>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</si>
  <si>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</si>
  <si>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</si>
  <si>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</si>
  <si>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</si>
  <si>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</si>
  <si>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</si>
  <si>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</si>
  <si>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</si>
  <si>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</si>
  <si>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</si>
  <si>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</si>
  <si>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</si>
  <si>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</si>
  <si>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</si>
  <si>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</si>
  <si>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</si>
  <si>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</si>
  <si>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</si>
  <si>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</si>
  <si>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</si>
  <si>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</si>
  <si>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</si>
  <si>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</si>
  <si>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</si>
  <si>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</si>
  <si>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</si>
  <si>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</si>
  <si>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</si>
  <si>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</si>
  <si>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</si>
  <si>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</si>
  <si>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</si>
  <si>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</si>
  <si>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</si>
  <si>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</si>
  <si>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</si>
  <si>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</si>
  <si>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</si>
  <si>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</si>
  <si>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</si>
  <si>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</si>
  <si>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</si>
  <si>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</si>
  <si>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</si>
  <si>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</si>
  <si>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</si>
  <si>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</si>
  <si>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</si>
  <si>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</si>
  <si>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</si>
  <si>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</si>
  <si>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</si>
  <si>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</si>
  <si>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</si>
  <si>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</si>
  <si>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</si>
  <si>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</si>
  <si>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</si>
  <si>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</si>
  <si>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</si>
  <si>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</si>
  <si>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</si>
  <si>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</si>
  <si>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</si>
  <si>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</si>
  <si>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</si>
  <si>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</si>
  <si>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</si>
  <si>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</si>
  <si>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</si>
  <si>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</si>
  <si>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</si>
  <si>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</si>
  <si>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</si>
  <si>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</si>
  <si>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</si>
  <si>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</si>
  <si>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</si>
  <si>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</si>
  <si>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</si>
  <si>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</si>
  <si>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</si>
  <si>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</si>
  <si>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</si>
  <si>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</si>
  <si>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</si>
  <si>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</si>
  <si>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</si>
  <si>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</si>
  <si>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</si>
  <si>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</si>
  <si>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</si>
  <si>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</si>
  <si>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</si>
  <si>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</si>
  <si>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</si>
  <si>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</si>
  <si>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</si>
  <si>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</si>
  <si>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</si>
  <si>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</si>
  <si>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</si>
  <si>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</si>
  <si>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</si>
  <si>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</si>
  <si>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</si>
  <si>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</si>
  <si>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</si>
  <si>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</si>
  <si>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</si>
  <si>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</si>
  <si>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</si>
  <si>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</si>
  <si>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</si>
  <si>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</si>
  <si>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</si>
  <si>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</si>
  <si>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</si>
  <si>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</si>
  <si>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</si>
  <si>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</si>
  <si>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</si>
  <si>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</si>
  <si>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</si>
  <si>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</si>
  <si>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</si>
  <si>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System Supply 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</si>
  <si>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</si>
  <si>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</si>
  <si>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</si>
  <si>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</si>
  <si>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</si>
  <si>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</si>
  <si>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Usage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</si>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</sst>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9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4.wmf"/><Relationship Id="rId29" Type="http://schemas.openxmlformats.org/officeDocument/2006/relationships/image" Target="../media/image14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8" width="23.21"/>
    <col collapsed="false" customWidth="false" hidden="false" outlineLevel="0" max="2" min="2" style="178" width="8.88"/>
    <col collapsed="false" customWidth="true" hidden="false" outlineLevel="0" max="3" min="3" style="178" width="16.99"/>
    <col collapsed="false" customWidth="true" hidden="false" outlineLevel="0" max="4" min="4" style="178" width="7.77"/>
    <col collapsed="false" customWidth="true" hidden="false" outlineLevel="0" max="5" min="5" style="178" width="8.55"/>
    <col collapsed="false" customWidth="true" hidden="false" outlineLevel="0" max="6" min="6" style="178" width="8.65"/>
    <col collapsed="false" customWidth="true" hidden="false" outlineLevel="0" max="7" min="7" style="178" width="8.55"/>
    <col collapsed="false" customWidth="true" hidden="false" outlineLevel="0" max="9" min="8" style="178" width="8.65"/>
    <col collapsed="false" customWidth="false" hidden="false" outlineLevel="0" max="257" min="10" style="178" width="8.88"/>
  </cols>
  <sheetData>
    <row r="1" customFormat="false" ht="24.95" hidden="false" customHeight="true" outlineLevel="0" collapsed="false">
      <c r="A1" s="124" t="s">
        <v>260</v>
      </c>
      <c r="B1" s="125"/>
      <c r="C1" s="125"/>
      <c r="D1" s="125"/>
      <c r="E1" s="125"/>
      <c r="F1" s="125"/>
      <c r="G1" s="125" t="s">
        <v>221</v>
      </c>
      <c r="H1" s="179" t="str">
        <f aca="false">D3</f>
        <v>SUN</v>
      </c>
      <c r="I1" s="180" t="n">
        <f aca="false">D4</f>
        <v>37059</v>
      </c>
      <c r="J1" s="181"/>
    </row>
    <row r="2" customFormat="false" ht="24.95" hidden="false" customHeight="true" outlineLevel="0" collapsed="false">
      <c r="A2" s="129" t="s">
        <v>261</v>
      </c>
      <c r="B2" s="130"/>
      <c r="C2" s="130"/>
      <c r="D2" s="130"/>
      <c r="E2" s="130"/>
      <c r="F2" s="130"/>
      <c r="G2" s="130"/>
      <c r="H2" s="130"/>
      <c r="I2" s="131"/>
      <c r="J2" s="181"/>
    </row>
    <row r="3" customFormat="false" ht="24.95" hidden="false" customHeight="true" outlineLevel="0" collapsed="false">
      <c r="A3" s="132"/>
      <c r="B3" s="130"/>
      <c r="C3" s="130"/>
      <c r="D3" s="133" t="str">
        <f aca="false">CHOOSE(WEEKDAY(D4),"SUN","MON","TUE","WED","THU","FRI","SAT")</f>
        <v>SUN</v>
      </c>
      <c r="E3" s="133" t="str">
        <f aca="false">CHOOSE(WEEKDAY(E4),"SUN","MON","TUE","WED","THU","FRI","SAT")</f>
        <v>MON</v>
      </c>
      <c r="F3" s="133" t="str">
        <f aca="false">CHOOSE(WEEKDAY(F4),"SUN","MON","TUE","WED","THU","FRI","SAT")</f>
        <v>TUE</v>
      </c>
      <c r="G3" s="133" t="str">
        <f aca="false">CHOOSE(WEEKDAY(G4),"SUN","MON","TUE","WED","THU","FRI","SAT")</f>
        <v>WED</v>
      </c>
      <c r="H3" s="133" t="str">
        <f aca="false">CHOOSE(WEEKDAY(H4),"SUN","MON","TUE","WED","THU","FRI","SAT")</f>
        <v>THU</v>
      </c>
      <c r="I3" s="134" t="str">
        <f aca="false">CHOOSE(WEEKDAY(I4),"SUN","MON","TUE","WED","THU","FRI","SAT")</f>
        <v>FRI</v>
      </c>
      <c r="J3" s="181"/>
    </row>
    <row r="4" customFormat="false" ht="24.95" hidden="false" customHeight="true" outlineLevel="0" collapsed="false">
      <c r="A4" s="135" t="s">
        <v>262</v>
      </c>
      <c r="B4" s="136"/>
      <c r="C4" s="136"/>
      <c r="D4" s="182" t="n">
        <f aca="false">Weather_Input!A5</f>
        <v>37059</v>
      </c>
      <c r="E4" s="182" t="n">
        <f aca="false">Weather_Input!A6</f>
        <v>37060</v>
      </c>
      <c r="F4" s="182" t="n">
        <f aca="false">Weather_Input!A7</f>
        <v>37061</v>
      </c>
      <c r="G4" s="182" t="n">
        <f aca="false">Weather_Input!A8</f>
        <v>37062</v>
      </c>
      <c r="H4" s="182" t="n">
        <f aca="false">Weather_Input!A9</f>
        <v>37063</v>
      </c>
      <c r="I4" s="183" t="n">
        <f aca="false">Weather_Input!A10</f>
        <v>37064</v>
      </c>
      <c r="J4" s="181"/>
    </row>
    <row r="5" customFormat="false" ht="24.95" hidden="false" customHeight="true" outlineLevel="0" collapsed="false">
      <c r="A5" s="139" t="s">
        <v>223</v>
      </c>
      <c r="B5" s="130"/>
      <c r="C5" s="130" t="s">
        <v>224</v>
      </c>
      <c r="D5" s="184" t="str">
        <f aca="false">TEXT(Weather_Input!B5,"0")&amp;"/"&amp;TEXT(Weather_Input!C5,"0")&amp;"/"&amp;TEXT((Weather_Input!B5+Weather_Input!C5)/2,"0")</f>
        <v>87/66/77</v>
      </c>
      <c r="E5" s="184" t="str">
        <f aca="false">TEXT(Weather_Input!B6,"0")&amp;"/"&amp;TEXT(Weather_Input!C6,"0")&amp;"/"&amp;TEXT((Weather_Input!B6+Weather_Input!C6)/2,"0")</f>
        <v>92/70/81</v>
      </c>
      <c r="F5" s="184" t="str">
        <f aca="false">TEXT(Weather_Input!B7,"0")&amp;"/"&amp;TEXT(Weather_Input!C7,"0")&amp;"/"&amp;TEXT((Weather_Input!B7+Weather_Input!C7)/2,"0")</f>
        <v>82/59/71</v>
      </c>
      <c r="G5" s="184" t="str">
        <f aca="false">TEXT(Weather_Input!B8,"0")&amp;"/"&amp;TEXT(Weather_Input!C8,"0")&amp;"/"&amp;TEXT((Weather_Input!B8+Weather_Input!C8)/2,"0")</f>
        <v>74/54/64</v>
      </c>
      <c r="H5" s="184" t="str">
        <f aca="false">TEXT(Weather_Input!B9,"0")&amp;"/"&amp;TEXT(Weather_Input!C9,"0")&amp;"/"&amp;TEXT((Weather_Input!B9+Weather_Input!C9)/2,"0")</f>
        <v>70/52/61</v>
      </c>
      <c r="I5" s="185" t="str">
        <f aca="false">TEXT(Weather_Input!B10,"0")&amp;"/"&amp;TEXT(Weather_Input!C10,"0")&amp;"/"&amp;TEXT((Weather_Input!B10+Weather_Input!C10)/2,"0")</f>
        <v>74/51/63</v>
      </c>
      <c r="J5" s="181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  <c r="BU5" s="123"/>
      <c r="BV5" s="123"/>
      <c r="BW5" s="123"/>
      <c r="BX5" s="123"/>
      <c r="BY5" s="123"/>
      <c r="BZ5" s="123"/>
      <c r="CA5" s="123"/>
      <c r="CB5" s="123"/>
      <c r="CC5" s="123"/>
      <c r="CD5" s="123"/>
      <c r="CE5" s="123"/>
      <c r="CF5" s="123"/>
      <c r="CG5" s="123"/>
      <c r="CH5" s="123"/>
      <c r="CI5" s="123"/>
      <c r="CJ5" s="123"/>
      <c r="CK5" s="123"/>
      <c r="CL5" s="123"/>
      <c r="CM5" s="123"/>
      <c r="CN5" s="123"/>
      <c r="CO5" s="123"/>
      <c r="CP5" s="123"/>
      <c r="CQ5" s="123"/>
      <c r="CR5" s="123"/>
      <c r="CS5" s="123"/>
      <c r="CT5" s="123"/>
      <c r="CU5" s="123"/>
      <c r="CV5" s="123"/>
      <c r="CW5" s="123"/>
      <c r="CX5" s="123"/>
      <c r="CY5" s="123"/>
      <c r="CZ5" s="123"/>
      <c r="DA5" s="123"/>
      <c r="DB5" s="123"/>
      <c r="DC5" s="123"/>
      <c r="DD5" s="123"/>
      <c r="DE5" s="123"/>
      <c r="DF5" s="123"/>
      <c r="DG5" s="123"/>
      <c r="DH5" s="123"/>
      <c r="DI5" s="123"/>
      <c r="DJ5" s="123"/>
      <c r="DK5" s="123"/>
      <c r="DL5" s="123"/>
      <c r="DM5" s="123"/>
      <c r="DN5" s="123"/>
      <c r="DO5" s="123"/>
      <c r="DP5" s="123"/>
      <c r="DQ5" s="123"/>
      <c r="DR5" s="123"/>
      <c r="DS5" s="123"/>
      <c r="DT5" s="123"/>
      <c r="DU5" s="123"/>
      <c r="DV5" s="123"/>
      <c r="DW5" s="123"/>
      <c r="DX5" s="123"/>
      <c r="DY5" s="123"/>
      <c r="DZ5" s="123"/>
      <c r="EA5" s="123"/>
      <c r="EB5" s="123"/>
      <c r="EC5" s="123"/>
      <c r="ED5" s="123"/>
      <c r="EE5" s="123"/>
      <c r="EF5" s="123"/>
      <c r="EG5" s="123"/>
      <c r="EH5" s="123"/>
      <c r="EI5" s="123"/>
      <c r="EJ5" s="123"/>
      <c r="EK5" s="123"/>
      <c r="EL5" s="123"/>
      <c r="EM5" s="123"/>
      <c r="EN5" s="123"/>
      <c r="EO5" s="123"/>
      <c r="EP5" s="123"/>
      <c r="EQ5" s="123"/>
      <c r="ER5" s="123"/>
      <c r="ES5" s="123"/>
      <c r="ET5" s="123"/>
      <c r="EU5" s="123"/>
      <c r="EV5" s="123"/>
      <c r="EW5" s="123"/>
      <c r="EX5" s="123"/>
      <c r="EY5" s="123"/>
      <c r="EZ5" s="123"/>
      <c r="FA5" s="123"/>
      <c r="FB5" s="123"/>
      <c r="FC5" s="123"/>
      <c r="FD5" s="123"/>
      <c r="FE5" s="123"/>
      <c r="FF5" s="123"/>
      <c r="FG5" s="123"/>
      <c r="FH5" s="123"/>
      <c r="FI5" s="123"/>
      <c r="FJ5" s="123"/>
      <c r="FK5" s="123"/>
      <c r="FL5" s="123"/>
      <c r="FM5" s="123"/>
      <c r="FN5" s="123"/>
      <c r="FO5" s="123"/>
      <c r="FP5" s="123"/>
      <c r="FQ5" s="123"/>
      <c r="FR5" s="123"/>
      <c r="FS5" s="123"/>
      <c r="FT5" s="123"/>
      <c r="FU5" s="123"/>
      <c r="FV5" s="123"/>
      <c r="FW5" s="123"/>
      <c r="FX5" s="123"/>
      <c r="FY5" s="123"/>
      <c r="FZ5" s="123"/>
      <c r="GA5" s="123"/>
      <c r="GB5" s="123"/>
      <c r="GC5" s="123"/>
      <c r="GD5" s="123"/>
      <c r="GE5" s="123"/>
      <c r="GF5" s="123"/>
      <c r="GG5" s="123"/>
      <c r="GH5" s="123"/>
      <c r="GI5" s="123"/>
      <c r="GJ5" s="123"/>
      <c r="GK5" s="123"/>
      <c r="GL5" s="123"/>
      <c r="GM5" s="123"/>
      <c r="GN5" s="123"/>
      <c r="GO5" s="123"/>
      <c r="GP5" s="123"/>
      <c r="GQ5" s="123"/>
      <c r="GR5" s="123"/>
      <c r="GS5" s="123"/>
      <c r="GT5" s="123"/>
      <c r="GU5" s="123"/>
      <c r="GV5" s="123"/>
      <c r="GW5" s="123"/>
      <c r="GX5" s="123"/>
      <c r="GY5" s="123"/>
      <c r="GZ5" s="123"/>
      <c r="HA5" s="123"/>
      <c r="HB5" s="123"/>
      <c r="HC5" s="123"/>
      <c r="HD5" s="123"/>
      <c r="HE5" s="123"/>
      <c r="HF5" s="123"/>
      <c r="HG5" s="123"/>
      <c r="HH5" s="123"/>
      <c r="HI5" s="123"/>
      <c r="HJ5" s="123"/>
      <c r="HK5" s="123"/>
      <c r="HL5" s="123"/>
      <c r="HM5" s="123"/>
      <c r="HN5" s="123"/>
      <c r="HO5" s="123"/>
      <c r="HP5" s="123"/>
      <c r="HQ5" s="123"/>
      <c r="HR5" s="123"/>
      <c r="HS5" s="123"/>
      <c r="HT5" s="123"/>
      <c r="HU5" s="123"/>
      <c r="HV5" s="123"/>
      <c r="HW5" s="123"/>
      <c r="HX5" s="123"/>
      <c r="HY5" s="123"/>
      <c r="HZ5" s="123"/>
      <c r="IA5" s="123"/>
      <c r="IB5" s="123"/>
      <c r="IC5" s="123"/>
      <c r="ID5" s="123"/>
      <c r="IE5" s="123"/>
      <c r="IF5" s="123"/>
      <c r="IG5" s="123"/>
      <c r="IH5" s="123"/>
      <c r="II5" s="123"/>
      <c r="IJ5" s="123"/>
      <c r="IK5" s="123"/>
      <c r="IL5" s="123"/>
      <c r="IM5" s="123"/>
      <c r="IN5" s="123"/>
      <c r="IO5" s="123"/>
      <c r="IP5" s="123"/>
      <c r="IQ5" s="123"/>
      <c r="IR5" s="123"/>
      <c r="IS5" s="123"/>
      <c r="IT5" s="123"/>
      <c r="IU5" s="123"/>
      <c r="IV5" s="123"/>
      <c r="IW5" s="123"/>
    </row>
    <row r="6" customFormat="false" ht="24.95" hidden="false" customHeight="true" outlineLevel="0" collapsed="false">
      <c r="A6" s="142" t="s">
        <v>225</v>
      </c>
      <c r="B6" s="130"/>
      <c r="C6" s="130"/>
      <c r="D6" s="186" t="n">
        <f aca="true">VLOOKUP(D4,NSG_Sendouts,CELL("Col",NSG_Deliveries!C5),FALSE())/1000</f>
        <v>34</v>
      </c>
      <c r="E6" s="186" t="n">
        <f aca="true">VLOOKUP(E4,NSG_Sendouts,CELL("Col",NSG_Deliveries!C6),FALSE())/1000</f>
        <v>36</v>
      </c>
      <c r="F6" s="186" t="n">
        <f aca="true">VLOOKUP(F4,NSG_Sendouts,CELL("Col",NSG_Deliveries!C7),FALSE())/1000</f>
        <v>38</v>
      </c>
      <c r="G6" s="186" t="n">
        <f aca="true">VLOOKUP(G4,NSG_Sendouts,CELL("Col",NSG_Deliveries!C8),FALSE())/1000</f>
        <v>38</v>
      </c>
      <c r="H6" s="186" t="n">
        <f aca="true">VLOOKUP(H4,NSG_Sendouts,CELL("Col",NSG_Deliveries!C9),FALSE())/1000</f>
        <v>38</v>
      </c>
      <c r="I6" s="187" t="n">
        <f aca="true">VLOOKUP(I4,NSG_Sendouts,CELL("Col",NSG_Deliveries!C10),FALSE())/1000</f>
        <v>36</v>
      </c>
      <c r="J6" s="123"/>
    </row>
    <row r="7" customFormat="false" ht="24.95" hidden="false" customHeight="true" outlineLevel="0" collapsed="false">
      <c r="A7" s="139" t="s">
        <v>230</v>
      </c>
      <c r="B7" s="130" t="s">
        <v>231</v>
      </c>
      <c r="C7" s="130" t="s">
        <v>74</v>
      </c>
      <c r="D7" s="186" t="n">
        <f aca="false">(NSG_Requirements!$K$7+NSG_Requirements!$L$7+NSG_Requirements!$M$7+NSG_Requirements!$N$7)/1000</f>
        <v>0</v>
      </c>
      <c r="E7" s="186" t="n">
        <f aca="false">(NSG_Requirements!$K$8+NSG_Requirements!$L$8+NSG_Requirements!$M$8+NSG_Requirements!$N$8)/1000</f>
        <v>0</v>
      </c>
      <c r="F7" s="186" t="n">
        <f aca="false">(NSG_Requirements!$K$9+NSG_Requirements!$L$9+NSG_Requirements!$M$9+NSG_Requirements!$N$9)/1000</f>
        <v>0</v>
      </c>
      <c r="G7" s="186" t="n">
        <f aca="false">(NSG_Requirements!$K$10+NSG_Requirements!$L$10+NSG_Requirements!$M$10+NSG_Requirements!$N$10)/1000</f>
        <v>0</v>
      </c>
      <c r="H7" s="186" t="n">
        <f aca="false">(NSG_Requirements!$K$11+NSG_Requirements!$L$11+NSG_Requirements!$M$11+NSG_Requirements!$N$11)/1000</f>
        <v>0</v>
      </c>
      <c r="I7" s="187" t="n">
        <f aca="false">(NSG_Requirements!$K$12+NSG_Requirements!$L$12+NSG_Requirements!$M$12+NSG_Requirements!$N$12)/1000</f>
        <v>0</v>
      </c>
      <c r="J7" s="123"/>
    </row>
    <row r="8" customFormat="false" ht="24.95" hidden="false" customHeight="true" outlineLevel="0" collapsed="false">
      <c r="A8" s="139"/>
      <c r="B8" s="130" t="s">
        <v>233</v>
      </c>
      <c r="C8" s="144" t="s">
        <v>157</v>
      </c>
      <c r="D8" s="186" t="n">
        <f aca="false">NSG_Requirements!J7/1000</f>
        <v>7.801</v>
      </c>
      <c r="E8" s="186" t="n">
        <f aca="false">NSG_Requirements!J8/1000</f>
        <v>5.81</v>
      </c>
      <c r="F8" s="186" t="n">
        <f aca="false">NSG_Requirements!J9/1000</f>
        <v>0</v>
      </c>
      <c r="G8" s="186" t="n">
        <f aca="false">NSG_Requirements!J10/1000</f>
        <v>0</v>
      </c>
      <c r="H8" s="186" t="n">
        <f aca="false">NSG_Requirements!J11/1000</f>
        <v>0</v>
      </c>
      <c r="I8" s="187" t="n">
        <f aca="false">NSG_Requirements!J12/1000</f>
        <v>0</v>
      </c>
      <c r="J8" s="181"/>
    </row>
    <row r="9" customFormat="false" ht="24.95" hidden="false" customHeight="true" outlineLevel="0" collapsed="false">
      <c r="A9" s="139"/>
      <c r="B9" s="130" t="s">
        <v>235</v>
      </c>
      <c r="C9" s="144" t="s">
        <v>157</v>
      </c>
      <c r="D9" s="186" t="n">
        <f aca="false">NSG_Requirements!H7/1000</f>
        <v>2</v>
      </c>
      <c r="E9" s="186" t="n">
        <f aca="false">NSG_Requirements!H8/1000</f>
        <v>2</v>
      </c>
      <c r="F9" s="186" t="n">
        <f aca="false">NSG_Requirements!H9/1000</f>
        <v>2</v>
      </c>
      <c r="G9" s="186" t="n">
        <f aca="false">NSG_Requirements!H10/1000</f>
        <v>2</v>
      </c>
      <c r="H9" s="186" t="n">
        <f aca="false">NSG_Requirements!H11/1000</f>
        <v>2</v>
      </c>
      <c r="I9" s="187" t="n">
        <f aca="false">NSG_Requirements!H12/1000</f>
        <v>2</v>
      </c>
      <c r="J9" s="181"/>
    </row>
    <row r="10" customFormat="false" ht="24.95" hidden="false" customHeight="true" outlineLevel="0" collapsed="false">
      <c r="A10" s="161" t="s">
        <v>263</v>
      </c>
      <c r="B10" s="162" t="s">
        <v>264</v>
      </c>
      <c r="C10" s="162"/>
      <c r="D10" s="188" t="n">
        <f aca="false">NSG_Requirements!B7/1000</f>
        <v>0</v>
      </c>
      <c r="E10" s="188" t="n">
        <f aca="false">NSG_Requirements!B8/1000</f>
        <v>0</v>
      </c>
      <c r="F10" s="188" t="n">
        <f aca="false">NSG_Requirements!B9/1000</f>
        <v>0</v>
      </c>
      <c r="G10" s="188" t="n">
        <f aca="false">NSG_Requirements!B10/1000</f>
        <v>0</v>
      </c>
      <c r="H10" s="188" t="n">
        <f aca="false">NSG_Requirements!B11/1000</f>
        <v>0</v>
      </c>
      <c r="I10" s="189" t="n">
        <f aca="false">NSG_Requirements!B12/1000</f>
        <v>0</v>
      </c>
      <c r="J10" s="181"/>
    </row>
    <row r="11" customFormat="false" ht="24.95" hidden="false" customHeight="true" outlineLevel="0" collapsed="false">
      <c r="A11" s="190" t="s">
        <v>241</v>
      </c>
      <c r="B11" s="171"/>
      <c r="C11" s="171"/>
      <c r="D11" s="191" t="n">
        <f aca="false">SUM(D6:D10)</f>
        <v>43.801</v>
      </c>
      <c r="E11" s="191" t="n">
        <f aca="false">SUM(E6:E10)</f>
        <v>43.81</v>
      </c>
      <c r="F11" s="191" t="n">
        <f aca="false">SUM(F6:F10)</f>
        <v>40</v>
      </c>
      <c r="G11" s="191" t="n">
        <f aca="false">SUM(G6:G10)</f>
        <v>40</v>
      </c>
      <c r="H11" s="191" t="n">
        <f aca="false">SUM(H6:H10)</f>
        <v>40</v>
      </c>
      <c r="I11" s="192" t="n">
        <f aca="false">SUM(I6:I10)</f>
        <v>38</v>
      </c>
      <c r="J11" s="181"/>
    </row>
    <row r="12" customFormat="false" ht="24.95" hidden="false" customHeight="true" outlineLevel="0" collapsed="false">
      <c r="A12" s="193"/>
      <c r="B12" s="194"/>
      <c r="C12" s="194"/>
      <c r="D12" s="195"/>
      <c r="E12" s="195"/>
      <c r="F12" s="195"/>
      <c r="G12" s="195"/>
      <c r="H12" s="195"/>
      <c r="I12" s="195"/>
      <c r="J12" s="123"/>
    </row>
    <row r="13" customFormat="false" ht="24.95" hidden="false" customHeight="true" outlineLevel="0" collapsed="false">
      <c r="A13" s="196" t="s">
        <v>242</v>
      </c>
      <c r="B13" s="157"/>
      <c r="C13" s="157"/>
      <c r="D13" s="197"/>
      <c r="E13" s="197"/>
      <c r="F13" s="197"/>
      <c r="G13" s="197"/>
      <c r="H13" s="197"/>
      <c r="I13" s="198"/>
      <c r="J13" s="181"/>
    </row>
    <row r="14" customFormat="false" ht="24.95" hidden="false" customHeight="true" outlineLevel="0" collapsed="false">
      <c r="A14" s="139" t="s">
        <v>265</v>
      </c>
      <c r="B14" s="130" t="s">
        <v>231</v>
      </c>
      <c r="C14" s="130" t="s">
        <v>266</v>
      </c>
      <c r="D14" s="186" t="n">
        <f aca="false">NSG_Supplies!H7/1000</f>
        <v>0</v>
      </c>
      <c r="E14" s="186" t="n">
        <f aca="false">NSG_Supplies!H8/1000</f>
        <v>0</v>
      </c>
      <c r="F14" s="186" t="n">
        <f aca="false">NSG_Supplies!H9/1000</f>
        <v>0</v>
      </c>
      <c r="G14" s="186" t="n">
        <f aca="false">NSG_Supplies!H10/1000</f>
        <v>0</v>
      </c>
      <c r="H14" s="186" t="n">
        <f aca="false">NSG_Supplies!H11/1000</f>
        <v>0</v>
      </c>
      <c r="I14" s="187" t="n">
        <f aca="false">NSG_Supplies!H12/1000</f>
        <v>0</v>
      </c>
      <c r="J14" s="181"/>
    </row>
    <row r="15" customFormat="false" ht="24.95" hidden="false" customHeight="true" outlineLevel="0" collapsed="false">
      <c r="A15" s="139"/>
      <c r="B15" s="130" t="s">
        <v>233</v>
      </c>
      <c r="C15" s="130" t="s">
        <v>267</v>
      </c>
      <c r="D15" s="186" t="n">
        <f aca="false">NSG_Supplies!L7/1000</f>
        <v>0</v>
      </c>
      <c r="E15" s="186" t="n">
        <f aca="false">NSG_Supplies!L8/1000</f>
        <v>0</v>
      </c>
      <c r="F15" s="186" t="n">
        <f aca="false">NSG_Supplies!L9/1000</f>
        <v>0</v>
      </c>
      <c r="G15" s="186" t="n">
        <f aca="false">NSG_Supplies!L10/1000</f>
        <v>0</v>
      </c>
      <c r="H15" s="186" t="n">
        <f aca="false">NSG_Supplies!L11/1000</f>
        <v>0</v>
      </c>
      <c r="I15" s="187" t="n">
        <f aca="false">NSG_Supplies!L12/1000</f>
        <v>0</v>
      </c>
      <c r="J15" s="181"/>
    </row>
    <row r="16" customFormat="false" ht="24.95" hidden="false" customHeight="true" outlineLevel="0" collapsed="false">
      <c r="A16" s="139"/>
      <c r="B16" s="130"/>
      <c r="C16" s="144" t="s">
        <v>268</v>
      </c>
      <c r="D16" s="186" t="n">
        <f aca="false">NSG_Supplies!E7/1000</f>
        <v>0</v>
      </c>
      <c r="E16" s="186" t="n">
        <f aca="false">NSG_Supplies!E8/1000</f>
        <v>0</v>
      </c>
      <c r="F16" s="186" t="n">
        <f aca="false">NSG_Supplies!E9/1000</f>
        <v>0</v>
      </c>
      <c r="G16" s="186" t="n">
        <f aca="false">NSG_Supplies!E10/1000</f>
        <v>0</v>
      </c>
      <c r="H16" s="186" t="n">
        <f aca="false">NSG_Supplies!E11/1000</f>
        <v>0</v>
      </c>
      <c r="I16" s="187" t="n">
        <f aca="false">NSG_Supplies!E12/1000</f>
        <v>0</v>
      </c>
      <c r="J16" s="123"/>
    </row>
    <row r="17" customFormat="false" ht="24.95" hidden="false" customHeight="true" outlineLevel="0" collapsed="false">
      <c r="A17" s="139"/>
      <c r="B17" s="130" t="s">
        <v>235</v>
      </c>
      <c r="C17" s="144" t="s">
        <v>269</v>
      </c>
      <c r="D17" s="186" t="n">
        <f aca="false">NSG_Supplies!F7/1000</f>
        <v>0</v>
      </c>
      <c r="E17" s="186" t="n">
        <f aca="false">NSG_Supplies!F8/1000</f>
        <v>0</v>
      </c>
      <c r="F17" s="186" t="n">
        <f aca="false">NSG_Supplies!F9/1000</f>
        <v>0</v>
      </c>
      <c r="G17" s="186" t="n">
        <f aca="false">NSG_Supplies!F10/1000</f>
        <v>0</v>
      </c>
      <c r="H17" s="186" t="n">
        <f aca="false">NSG_Supplies!F11/1000</f>
        <v>0</v>
      </c>
      <c r="I17" s="187" t="n">
        <f aca="false">NSG_Supplies!F12/1000</f>
        <v>0</v>
      </c>
      <c r="J17" s="123"/>
    </row>
    <row r="18" customFormat="false" ht="24.95" hidden="false" customHeight="true" outlineLevel="0" collapsed="false">
      <c r="A18" s="139"/>
      <c r="B18" s="130" t="s">
        <v>124</v>
      </c>
      <c r="C18" s="130" t="s">
        <v>270</v>
      </c>
      <c r="D18" s="186" t="n">
        <f aca="false">NSG_Supplies!U7/1000</f>
        <v>0</v>
      </c>
      <c r="E18" s="186" t="n">
        <f aca="false">NSG_Supplies!U8/1000</f>
        <v>0</v>
      </c>
      <c r="F18" s="186" t="n">
        <f aca="false">NSG_Supplies!U9/1000</f>
        <v>0</v>
      </c>
      <c r="G18" s="186" t="n">
        <f aca="false">NSG_Supplies!U10/1000</f>
        <v>0</v>
      </c>
      <c r="H18" s="186" t="n">
        <f aca="false">NSG_Supplies!U11/1000</f>
        <v>0</v>
      </c>
      <c r="I18" s="187" t="n">
        <f aca="false">NSG_Supplies!U12/1000</f>
        <v>0</v>
      </c>
      <c r="J18" s="123"/>
    </row>
    <row r="19" customFormat="false" ht="24.95" hidden="false" customHeight="true" outlineLevel="0" collapsed="false">
      <c r="A19" s="139" t="s">
        <v>271</v>
      </c>
      <c r="B19" s="130" t="s">
        <v>235</v>
      </c>
      <c r="C19" s="199" t="s">
        <v>272</v>
      </c>
      <c r="D19" s="186" t="n">
        <f aca="false">NSG_Supplies!R7/1000</f>
        <v>28.599</v>
      </c>
      <c r="E19" s="186" t="n">
        <f aca="false">NSG_Supplies!R8/1000</f>
        <v>28.599</v>
      </c>
      <c r="F19" s="186" t="n">
        <f aca="false">NSG_Supplies!R9/1000</f>
        <v>28.599</v>
      </c>
      <c r="G19" s="186" t="n">
        <f aca="false">NSG_Supplies!R10/1000</f>
        <v>28.599</v>
      </c>
      <c r="H19" s="186" t="n">
        <f aca="false">NSG_Supplies!R11/1000</f>
        <v>28.599</v>
      </c>
      <c r="I19" s="187" t="n">
        <f aca="false">NSG_Supplies!R12/1000</f>
        <v>28.599</v>
      </c>
      <c r="J19" s="181"/>
    </row>
    <row r="20" customFormat="false" ht="24.95" hidden="false" customHeight="true" outlineLevel="0" collapsed="false">
      <c r="A20" s="139"/>
      <c r="B20" s="130" t="s">
        <v>233</v>
      </c>
      <c r="C20" s="130" t="s">
        <v>273</v>
      </c>
      <c r="D20" s="186" t="n">
        <f aca="false">NSG_Supplies!Q7/1000</f>
        <v>15.215</v>
      </c>
      <c r="E20" s="186" t="n">
        <f aca="false">NSG_Supplies!Q8/1000</f>
        <v>15.215</v>
      </c>
      <c r="F20" s="186" t="n">
        <f aca="false">NSG_Supplies!Q9/1000</f>
        <v>15.215</v>
      </c>
      <c r="G20" s="186" t="n">
        <f aca="false">NSG_Supplies!Q10/1000</f>
        <v>15.215</v>
      </c>
      <c r="H20" s="186" t="n">
        <f aca="false">NSG_Supplies!Q11/1000</f>
        <v>15.215</v>
      </c>
      <c r="I20" s="187" t="n">
        <f aca="false">NSG_Supplies!Q12/1000</f>
        <v>15.215</v>
      </c>
      <c r="J20" s="181"/>
    </row>
    <row r="21" customFormat="false" ht="24.95" hidden="false" customHeight="true" outlineLevel="0" collapsed="false">
      <c r="A21" s="200" t="s">
        <v>255</v>
      </c>
      <c r="B21" s="201"/>
      <c r="C21" s="201"/>
      <c r="D21" s="202" t="n">
        <f aca="false">SUM(D14:D20)</f>
        <v>43.814</v>
      </c>
      <c r="E21" s="202" t="n">
        <f aca="false">SUM(E14:E20)</f>
        <v>43.814</v>
      </c>
      <c r="F21" s="202" t="n">
        <f aca="false">SUM(F14:F20)</f>
        <v>43.814</v>
      </c>
      <c r="G21" s="202" t="n">
        <f aca="false">SUM(G14:G20)</f>
        <v>43.814</v>
      </c>
      <c r="H21" s="202" t="n">
        <f aca="false">SUM(H14:H20)</f>
        <v>43.814</v>
      </c>
      <c r="I21" s="203" t="n">
        <f aca="false">SUM(I14:I20)</f>
        <v>43.814</v>
      </c>
      <c r="J21" s="181"/>
      <c r="K21" s="123"/>
      <c r="L21" s="204"/>
      <c r="M21" s="123"/>
    </row>
    <row r="22" customFormat="false" ht="24.95" hidden="false" customHeight="true" outlineLevel="0" collapsed="false">
      <c r="A22" s="205" t="s">
        <v>256</v>
      </c>
      <c r="B22" s="206"/>
      <c r="C22" s="206"/>
      <c r="D22" s="207" t="n">
        <f aca="false">IF(D21-D11&lt;0,0,D21-D11)</f>
        <v>0.0129999999999981</v>
      </c>
      <c r="E22" s="207" t="n">
        <f aca="false">IF(E21-E11&lt;0,0,E21-E11)</f>
        <v>0.00399999999999778</v>
      </c>
      <c r="F22" s="207" t="n">
        <f aca="false">IF(F21-F11&lt;0,0,F21-F11)</f>
        <v>3.814</v>
      </c>
      <c r="G22" s="207" t="n">
        <f aca="false">IF(G21-G11&lt;0,0,G21-G11)</f>
        <v>3.814</v>
      </c>
      <c r="H22" s="207" t="n">
        <f aca="false">IF(H21-H11&lt;0,0,H21-H11)</f>
        <v>3.814</v>
      </c>
      <c r="I22" s="208" t="n">
        <f aca="false">IF(I21-I11&lt;0,0,I21-I11)</f>
        <v>5.814</v>
      </c>
      <c r="J22" s="181"/>
      <c r="K22" s="123"/>
      <c r="L22" s="204"/>
      <c r="M22" s="123"/>
    </row>
    <row r="23" customFormat="false" ht="24.95" hidden="false" customHeight="true" outlineLevel="0" collapsed="false">
      <c r="A23" s="209" t="s">
        <v>257</v>
      </c>
      <c r="B23" s="171"/>
      <c r="C23" s="171"/>
      <c r="D23" s="210" t="n">
        <f aca="false">IF(D11-D21&lt;0,0,D11-D21)</f>
        <v>0</v>
      </c>
      <c r="E23" s="210" t="n">
        <f aca="false">IF(E11-E21&lt;0,0,E11-E21)</f>
        <v>0</v>
      </c>
      <c r="F23" s="210" t="n">
        <f aca="false">IF(F11-F21&lt;0,0,F11-F21)</f>
        <v>0</v>
      </c>
      <c r="G23" s="210" t="n">
        <f aca="false">IF(G11-G21&lt;0,0,G11-G21)</f>
        <v>0</v>
      </c>
      <c r="H23" s="210" t="n">
        <f aca="false">IF(H11-H21&lt;0,0,H11-H21)</f>
        <v>0</v>
      </c>
      <c r="I23" s="211" t="n">
        <f aca="false">IF(I11-I21&lt;0,0,I11-I21)</f>
        <v>0</v>
      </c>
      <c r="J23" s="181"/>
      <c r="K23" s="123"/>
      <c r="L23" s="123"/>
      <c r="M23" s="123"/>
    </row>
    <row r="24" customFormat="false" ht="24.95" hidden="false" customHeight="true" outlineLevel="0" collapsed="false">
      <c r="A24" s="212" t="s">
        <v>274</v>
      </c>
      <c r="B24" s="213"/>
      <c r="C24" s="213"/>
      <c r="D24" s="214" t="n">
        <f aca="false">NSG_Supplies!S7/1000</f>
        <v>16.725</v>
      </c>
      <c r="E24" s="214" t="n">
        <f aca="false">NSG_Supplies!S8/1000</f>
        <v>16.725</v>
      </c>
      <c r="F24" s="214" t="n">
        <f aca="false">NSG_Supplies!S9/1000</f>
        <v>16.725</v>
      </c>
      <c r="G24" s="214" t="n">
        <f aca="false">NSG_Supplies!S10/1000</f>
        <v>16.725</v>
      </c>
      <c r="H24" s="214" t="n">
        <f aca="false">NSG_Supplies!S11/1000</f>
        <v>16.725</v>
      </c>
      <c r="I24" s="215" t="n">
        <f aca="false">NSG_Supplies!S12/1000</f>
        <v>16.725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6"/>
      <c r="H25" s="216"/>
      <c r="I25" s="216"/>
    </row>
    <row r="26" customFormat="false" ht="24.95" hidden="false" customHeight="true" outlineLevel="0" collapsed="false">
      <c r="A26" s="217" t="s">
        <v>275</v>
      </c>
      <c r="B26" s="218"/>
      <c r="C26" s="218"/>
      <c r="D26" s="219" t="n">
        <f aca="false">Weather_Input!D5</f>
        <v>6.9</v>
      </c>
      <c r="E26" s="219" t="n">
        <f aca="false">Weather_Input!D6</f>
        <v>14</v>
      </c>
      <c r="F26" s="219" t="n">
        <f aca="false">Weather_Input!D7</f>
        <v>14</v>
      </c>
      <c r="G26" s="220"/>
      <c r="H26" s="216"/>
      <c r="I26" s="216"/>
    </row>
    <row r="27" customFormat="false" ht="15.75" hidden="false" customHeight="false" outlineLevel="0" collapsed="false">
      <c r="D27" s="178" t="s">
        <v>2</v>
      </c>
    </row>
    <row r="28" customFormat="false" ht="15" hidden="false" customHeight="false" outlineLevel="0" collapsed="false">
      <c r="D28" s="178" t="s">
        <v>0</v>
      </c>
    </row>
    <row r="33" customFormat="false" ht="15" hidden="false" customHeight="false" outlineLevel="0" collapsed="false">
      <c r="D33" s="178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1" t="s">
        <v>0</v>
      </c>
      <c r="B1" s="222" t="s">
        <v>0</v>
      </c>
      <c r="C1" s="223" t="s">
        <v>84</v>
      </c>
      <c r="D1" s="224"/>
      <c r="E1" s="221" t="s">
        <v>0</v>
      </c>
      <c r="F1" s="223" t="s">
        <v>276</v>
      </c>
      <c r="G1" s="225" t="s">
        <v>0</v>
      </c>
      <c r="H1" s="225"/>
      <c r="I1" s="226" t="s">
        <v>0</v>
      </c>
      <c r="J1" s="227"/>
      <c r="K1" s="227"/>
      <c r="L1" s="228" t="s">
        <v>277</v>
      </c>
      <c r="M1" s="229" t="n">
        <f aca="false">Weather_Input!A5</f>
        <v>37059</v>
      </c>
      <c r="N1" s="230" t="str">
        <f aca="false">CHOOSE(WEEKDAY(M1),"SUN","MON","TUE","WED","THU","FRI","SAT")</f>
        <v>SUN</v>
      </c>
      <c r="O1" s="231"/>
    </row>
    <row r="2" customFormat="false" ht="16.5" hidden="false" customHeight="false" outlineLevel="0" collapsed="false">
      <c r="A2" s="232" t="s">
        <v>278</v>
      </c>
      <c r="B2" s="233" t="n">
        <f aca="false">PGL_Supplies!X7/1000</f>
        <v>18</v>
      </c>
      <c r="C2" s="234"/>
      <c r="D2" s="235"/>
      <c r="E2" s="236" t="s">
        <v>279</v>
      </c>
      <c r="F2" s="237"/>
      <c r="G2" s="238" t="s">
        <v>0</v>
      </c>
      <c r="H2" s="239" t="s">
        <v>0</v>
      </c>
      <c r="I2" s="240" t="s">
        <v>280</v>
      </c>
      <c r="J2" s="241" t="s">
        <v>281</v>
      </c>
      <c r="K2" s="242" t="s">
        <v>282</v>
      </c>
      <c r="L2" s="241" t="s">
        <v>18</v>
      </c>
      <c r="M2" s="242" t="s">
        <v>282</v>
      </c>
      <c r="N2" s="241" t="s">
        <v>18</v>
      </c>
      <c r="O2" s="243" t="s">
        <v>282</v>
      </c>
      <c r="Q2" s="244" t="s">
        <v>0</v>
      </c>
    </row>
    <row r="3" customFormat="false" ht="15.75" hidden="false" customHeight="false" outlineLevel="0" collapsed="false">
      <c r="A3" s="232" t="s">
        <v>283</v>
      </c>
      <c r="B3" s="245" t="n">
        <f aca="false">PGL_Requirements!J7/1000</f>
        <v>0</v>
      </c>
      <c r="C3" s="246" t="s">
        <v>0</v>
      </c>
      <c r="D3" s="247"/>
      <c r="E3" s="236" t="s">
        <v>284</v>
      </c>
      <c r="F3" s="233" t="n">
        <f aca="false">PGL_Supplies!I7/1000</f>
        <v>19.913</v>
      </c>
      <c r="G3" s="248" t="s">
        <v>0</v>
      </c>
      <c r="H3" s="239" t="s">
        <v>0</v>
      </c>
      <c r="I3" s="249" t="s">
        <v>0</v>
      </c>
      <c r="J3" s="250" t="n">
        <f aca="false">Weather_Input!B5</f>
        <v>87</v>
      </c>
      <c r="K3" s="251" t="n">
        <f aca="false">Weather_Input!C5</f>
        <v>66</v>
      </c>
      <c r="L3" s="252" t="s">
        <v>0</v>
      </c>
      <c r="M3" s="253" t="s">
        <v>0</v>
      </c>
      <c r="N3" s="253"/>
      <c r="O3" s="254"/>
    </row>
    <row r="4" customFormat="false" ht="16.5" hidden="false" customHeight="false" outlineLevel="0" collapsed="false">
      <c r="A4" s="255" t="s">
        <v>285</v>
      </c>
      <c r="B4" s="256" t="n">
        <v>0</v>
      </c>
      <c r="C4" s="40"/>
      <c r="D4" s="257"/>
      <c r="E4" s="258" t="s">
        <v>286</v>
      </c>
      <c r="F4" s="259" t="n">
        <v>0</v>
      </c>
      <c r="G4" s="260" t="s">
        <v>0</v>
      </c>
      <c r="H4" s="261"/>
      <c r="I4" s="0" t="s">
        <v>287</v>
      </c>
      <c r="J4" s="262"/>
      <c r="K4" s="263" t="s">
        <v>0</v>
      </c>
      <c r="L4" s="264"/>
      <c r="M4" s="265"/>
      <c r="N4" s="264"/>
      <c r="O4" s="266"/>
    </row>
    <row r="5" customFormat="false" ht="16.5" hidden="false" customHeight="false" outlineLevel="0" collapsed="false">
      <c r="A5" s="267" t="s">
        <v>288</v>
      </c>
      <c r="B5" s="233" t="n">
        <f aca="false">PGL_Supplies!Y7/1000</f>
        <v>103.4</v>
      </c>
      <c r="C5" s="268" t="s">
        <v>0</v>
      </c>
      <c r="D5" s="269"/>
      <c r="E5" s="270" t="s">
        <v>289</v>
      </c>
      <c r="F5" s="271" t="n">
        <f aca="false">F3+F4</f>
        <v>19.913</v>
      </c>
      <c r="G5" s="272" t="s">
        <v>0</v>
      </c>
      <c r="H5" s="273" t="s">
        <v>0</v>
      </c>
      <c r="I5" s="274" t="s">
        <v>290</v>
      </c>
      <c r="J5" s="275" t="s">
        <v>0</v>
      </c>
      <c r="K5" s="276" t="n">
        <f aca="false">PGL_Deliveries!C5/1000</f>
        <v>185</v>
      </c>
      <c r="L5" s="277"/>
      <c r="M5" s="253"/>
      <c r="N5" s="277"/>
      <c r="O5" s="254"/>
    </row>
    <row r="6" customFormat="false" ht="16.5" hidden="false" customHeight="false" outlineLevel="0" collapsed="false">
      <c r="A6" s="278" t="s">
        <v>291</v>
      </c>
      <c r="B6" s="279" t="n">
        <f aca="false">+B5-B3+B2-B4</f>
        <v>121.4</v>
      </c>
      <c r="C6" s="280" t="s">
        <v>0</v>
      </c>
      <c r="D6" s="281"/>
      <c r="E6" s="282" t="s">
        <v>0</v>
      </c>
      <c r="F6" s="283" t="s">
        <v>42</v>
      </c>
      <c r="G6" s="284"/>
      <c r="H6" s="285"/>
      <c r="I6" s="40" t="s">
        <v>292</v>
      </c>
      <c r="J6" s="286"/>
      <c r="K6" s="287" t="n">
        <f aca="false">PGL_Requirements!X7/1000</f>
        <v>0</v>
      </c>
      <c r="L6" s="286"/>
      <c r="M6" s="288"/>
      <c r="N6" s="40"/>
      <c r="O6" s="289"/>
    </row>
    <row r="7" customFormat="false" ht="16.5" hidden="false" customHeight="false" outlineLevel="0" collapsed="false">
      <c r="A7" s="290" t="s">
        <v>0</v>
      </c>
      <c r="B7" s="291" t="s">
        <v>0</v>
      </c>
      <c r="C7" s="292" t="s">
        <v>85</v>
      </c>
      <c r="D7" s="293"/>
      <c r="E7" s="232" t="s">
        <v>293</v>
      </c>
      <c r="F7" s="233" t="n">
        <f aca="false">PGL_Supplies!Q7/1000</f>
        <v>0</v>
      </c>
      <c r="G7" s="294" t="s">
        <v>0</v>
      </c>
      <c r="H7" s="295"/>
      <c r="I7" s="296"/>
      <c r="J7" s="283" t="s">
        <v>0</v>
      </c>
      <c r="K7" s="283" t="s">
        <v>0</v>
      </c>
      <c r="L7" s="296"/>
      <c r="M7" s="296"/>
      <c r="N7" s="296"/>
      <c r="O7" s="297"/>
    </row>
    <row r="8" customFormat="false" ht="15" hidden="false" customHeight="false" outlineLevel="0" collapsed="false">
      <c r="A8" s="232" t="s">
        <v>294</v>
      </c>
      <c r="B8" s="233" t="n">
        <f aca="false">PGL_Requirements!U7/1000</f>
        <v>0</v>
      </c>
      <c r="C8" s="298"/>
      <c r="D8" s="247"/>
      <c r="E8" s="232" t="s">
        <v>295</v>
      </c>
      <c r="F8" s="248" t="n">
        <f aca="false">PGL_Requirements!F7/1000</f>
        <v>4</v>
      </c>
      <c r="G8" s="294" t="s">
        <v>0</v>
      </c>
      <c r="H8" s="295"/>
      <c r="I8" s="299" t="s">
        <v>296</v>
      </c>
      <c r="J8" s="300" t="s">
        <v>0</v>
      </c>
      <c r="K8" s="301" t="n">
        <f aca="false">B4</f>
        <v>0</v>
      </c>
      <c r="L8" s="302"/>
      <c r="M8" s="253"/>
      <c r="N8" s="302"/>
      <c r="O8" s="254" t="s">
        <v>0</v>
      </c>
    </row>
    <row r="9" customFormat="false" ht="15" hidden="false" customHeight="false" outlineLevel="0" collapsed="false">
      <c r="A9" s="232" t="s">
        <v>297</v>
      </c>
      <c r="B9" s="233" t="n">
        <f aca="false">PGL_Supplies!R7/1000</f>
        <v>0</v>
      </c>
      <c r="C9" s="247"/>
      <c r="D9" s="247"/>
      <c r="E9" s="232" t="s">
        <v>298</v>
      </c>
      <c r="F9" s="233" t="n">
        <f aca="false">PGL_Supplies!G7/1000</f>
        <v>0</v>
      </c>
      <c r="G9" s="233"/>
      <c r="H9" s="295"/>
      <c r="I9" s="40" t="s">
        <v>84</v>
      </c>
      <c r="J9" s="262"/>
      <c r="K9" s="303" t="n">
        <f aca="false">+B6</f>
        <v>121.4</v>
      </c>
      <c r="L9" s="262"/>
      <c r="M9" s="265"/>
      <c r="N9" s="264"/>
      <c r="O9" s="304" t="s">
        <v>0</v>
      </c>
    </row>
    <row r="10" customFormat="false" ht="15.75" hidden="false" customHeight="false" outlineLevel="0" collapsed="false">
      <c r="A10" s="232" t="s">
        <v>299</v>
      </c>
      <c r="B10" s="233" t="n">
        <f aca="false">PGL_Requirements!C7/1000</f>
        <v>0.2</v>
      </c>
      <c r="C10" s="262"/>
      <c r="D10" s="305"/>
      <c r="E10" s="232" t="s">
        <v>300</v>
      </c>
      <c r="F10" s="306" t="n">
        <f aca="false">PGL_Supplies!AD7/1000</f>
        <v>4</v>
      </c>
      <c r="G10" s="307"/>
      <c r="H10" s="308"/>
      <c r="I10" s="309" t="s">
        <v>301</v>
      </c>
      <c r="J10" s="310" t="s">
        <v>0</v>
      </c>
      <c r="K10" s="301" t="n">
        <f aca="false">B13</f>
        <v>0</v>
      </c>
      <c r="L10" s="277"/>
      <c r="M10" s="301" t="s">
        <v>0</v>
      </c>
      <c r="N10" s="277"/>
      <c r="O10" s="304" t="s">
        <v>0</v>
      </c>
    </row>
    <row r="11" customFormat="false" ht="16.5" hidden="false" customHeight="false" outlineLevel="0" collapsed="false">
      <c r="A11" s="232" t="s">
        <v>302</v>
      </c>
      <c r="B11" s="233" t="n">
        <f aca="false">PGL_Supplies!C7/1000</f>
        <v>0</v>
      </c>
      <c r="C11" s="262"/>
      <c r="D11" s="305"/>
      <c r="E11" s="311" t="s">
        <v>303</v>
      </c>
      <c r="F11" s="312" t="n">
        <f aca="false">+F10+F9-F8+F7</f>
        <v>0</v>
      </c>
      <c r="G11" s="271" t="s">
        <v>0</v>
      </c>
      <c r="H11" s="313"/>
      <c r="I11" s="309" t="s">
        <v>74</v>
      </c>
      <c r="J11" s="310" t="s">
        <v>0</v>
      </c>
      <c r="K11" s="301" t="n">
        <f aca="false">B21</f>
        <v>-174.482</v>
      </c>
      <c r="L11" s="277"/>
      <c r="M11" s="253" t="s">
        <v>0</v>
      </c>
      <c r="N11" s="277"/>
      <c r="O11" s="254"/>
    </row>
    <row r="12" customFormat="false" ht="16.5" hidden="false" customHeight="false" outlineLevel="0" collapsed="false">
      <c r="A12" s="314" t="s">
        <v>304</v>
      </c>
      <c r="B12" s="233" t="n">
        <f aca="false">PGL_Supplies!Z7/1000</f>
        <v>0.2</v>
      </c>
      <c r="C12" s="40"/>
      <c r="D12" s="315"/>
      <c r="E12" s="316" t="s">
        <v>0</v>
      </c>
      <c r="F12" s="317" t="s">
        <v>305</v>
      </c>
      <c r="G12" s="318"/>
      <c r="H12" s="319"/>
      <c r="I12" s="309" t="s">
        <v>306</v>
      </c>
      <c r="J12" s="310" t="s">
        <v>0</v>
      </c>
      <c r="K12" s="301" t="n">
        <f aca="false">B30</f>
        <v>0</v>
      </c>
      <c r="L12" s="277"/>
      <c r="M12" s="253" t="s">
        <v>0</v>
      </c>
      <c r="N12" s="277"/>
      <c r="O12" s="254"/>
    </row>
    <row r="13" customFormat="false" ht="16.5" hidden="false" customHeight="false" outlineLevel="0" collapsed="false">
      <c r="A13" s="278" t="s">
        <v>291</v>
      </c>
      <c r="B13" s="272" t="n">
        <f aca="false">B12+B11-B10+B9-B8</f>
        <v>0</v>
      </c>
      <c r="C13" s="281"/>
      <c r="D13" s="281"/>
      <c r="E13" s="320" t="s">
        <v>307</v>
      </c>
      <c r="F13" s="237" t="s">
        <v>0</v>
      </c>
      <c r="G13" s="321" t="s">
        <v>0</v>
      </c>
      <c r="H13" s="322" t="s">
        <v>0</v>
      </c>
      <c r="I13" s="309" t="s">
        <v>308</v>
      </c>
      <c r="J13" s="323" t="s">
        <v>0</v>
      </c>
      <c r="K13" s="301" t="n">
        <f aca="false">B36</f>
        <v>234.567</v>
      </c>
      <c r="L13" s="277"/>
      <c r="M13" s="253" t="s">
        <v>0</v>
      </c>
      <c r="N13" s="277"/>
      <c r="O13" s="254"/>
    </row>
    <row r="14" customFormat="false" ht="16.5" hidden="false" customHeight="false" outlineLevel="0" collapsed="false">
      <c r="A14" s="324" t="s">
        <v>0</v>
      </c>
      <c r="B14" s="292" t="s">
        <v>0</v>
      </c>
      <c r="C14" s="292" t="s">
        <v>74</v>
      </c>
      <c r="D14" s="325"/>
      <c r="E14" s="326" t="s">
        <v>309</v>
      </c>
      <c r="F14" s="247"/>
      <c r="G14" s="327"/>
      <c r="H14" s="328"/>
      <c r="I14" s="309" t="s">
        <v>310</v>
      </c>
      <c r="J14" s="310" t="s">
        <v>0</v>
      </c>
      <c r="K14" s="329" t="n">
        <f aca="false">F5</f>
        <v>19.913</v>
      </c>
      <c r="L14" s="277"/>
      <c r="M14" s="253" t="s">
        <v>0</v>
      </c>
      <c r="N14" s="277"/>
      <c r="O14" s="254"/>
    </row>
    <row r="15" customFormat="false" ht="16.5" hidden="false" customHeight="false" outlineLevel="0" collapsed="false">
      <c r="A15" s="232" t="s">
        <v>92</v>
      </c>
      <c r="B15" s="233" t="n">
        <f aca="false">PGL_Requirements!P7/1000</f>
        <v>174.31</v>
      </c>
      <c r="C15" s="247"/>
      <c r="D15" s="330"/>
      <c r="E15" s="331" t="s">
        <v>311</v>
      </c>
      <c r="F15" s="332"/>
      <c r="G15" s="286"/>
      <c r="H15" s="333"/>
      <c r="I15" s="309" t="s">
        <v>312</v>
      </c>
      <c r="J15" s="310" t="s">
        <v>2</v>
      </c>
      <c r="K15" s="301" t="n">
        <f aca="false">F11</f>
        <v>0</v>
      </c>
      <c r="L15" s="277"/>
      <c r="M15" s="253" t="s">
        <v>0</v>
      </c>
      <c r="N15" s="277"/>
      <c r="O15" s="254"/>
    </row>
    <row r="16" customFormat="false" ht="16.5" hidden="false" customHeight="false" outlineLevel="0" collapsed="false">
      <c r="A16" s="232" t="s">
        <v>313</v>
      </c>
      <c r="B16" s="233" t="n">
        <f aca="false">PGL_Supplies!M7/1000</f>
        <v>0</v>
      </c>
      <c r="C16" s="247"/>
      <c r="D16" s="330"/>
      <c r="E16" s="334" t="s">
        <v>0</v>
      </c>
      <c r="F16" s="296" t="s">
        <v>314</v>
      </c>
      <c r="G16" s="335"/>
      <c r="H16" s="336"/>
      <c r="I16" s="309" t="s">
        <v>315</v>
      </c>
      <c r="J16" s="310" t="s">
        <v>2</v>
      </c>
      <c r="K16" s="329" t="n">
        <f aca="false">PGL_Supplies!B7/1000</f>
        <v>0</v>
      </c>
      <c r="L16" s="277"/>
      <c r="M16" s="253" t="s">
        <v>0</v>
      </c>
      <c r="N16" s="277"/>
      <c r="O16" s="254"/>
    </row>
    <row r="17" customFormat="false" ht="15" hidden="false" customHeight="true" outlineLevel="0" collapsed="false">
      <c r="A17" s="232" t="s">
        <v>316</v>
      </c>
      <c r="B17" s="233" t="n">
        <f aca="false">SUM(PGL_Requirements!B7/1000)</f>
        <v>0</v>
      </c>
      <c r="C17" s="247"/>
      <c r="D17" s="295"/>
      <c r="E17" s="337" t="s">
        <v>317</v>
      </c>
      <c r="F17" s="338" t="n">
        <f aca="false">+PGL_Supplies!K7/1000</f>
        <v>0</v>
      </c>
      <c r="G17" s="339" t="s">
        <v>0</v>
      </c>
      <c r="H17" s="340" t="s">
        <v>0</v>
      </c>
      <c r="I17" s="309" t="s">
        <v>318</v>
      </c>
      <c r="J17" s="341" t="s">
        <v>0</v>
      </c>
      <c r="K17" s="246" t="n">
        <f aca="false">-PGL_Requirements!G7/1000</f>
        <v>-22.698</v>
      </c>
      <c r="L17" s="277"/>
      <c r="M17" s="253"/>
      <c r="N17" s="277"/>
      <c r="O17" s="254"/>
    </row>
    <row r="18" customFormat="false" ht="16.5" hidden="false" customHeight="false" outlineLevel="0" collapsed="false">
      <c r="A18" s="232" t="s">
        <v>319</v>
      </c>
      <c r="B18" s="233" t="n">
        <f aca="false">PGL_Supplies!H7/1000</f>
        <v>0.418</v>
      </c>
      <c r="C18" s="247"/>
      <c r="D18" s="295"/>
      <c r="E18" s="282" t="s">
        <v>0</v>
      </c>
      <c r="F18" s="296" t="s">
        <v>320</v>
      </c>
      <c r="G18" s="284"/>
      <c r="H18" s="285"/>
      <c r="I18" s="0" t="s">
        <v>321</v>
      </c>
      <c r="J18" s="262"/>
      <c r="K18" s="342" t="n">
        <f aca="false">-F19</f>
        <v>-0</v>
      </c>
      <c r="L18" s="262"/>
      <c r="M18" s="343"/>
      <c r="N18" s="262"/>
      <c r="O18" s="266"/>
    </row>
    <row r="19" customFormat="false" ht="15.75" hidden="false" customHeight="false" outlineLevel="0" collapsed="false">
      <c r="A19" s="344" t="s">
        <v>322</v>
      </c>
      <c r="B19" s="233" t="n">
        <f aca="false">PGL_Requirements!R7/1000</f>
        <v>0.59</v>
      </c>
      <c r="C19" s="247"/>
      <c r="D19" s="295"/>
      <c r="E19" s="345" t="s">
        <v>323</v>
      </c>
      <c r="F19" s="248" t="n">
        <f aca="false">PGL_Requirements!K7/1000</f>
        <v>0</v>
      </c>
      <c r="G19" s="346" t="s">
        <v>0</v>
      </c>
      <c r="H19" s="347" t="s">
        <v>0</v>
      </c>
      <c r="I19" s="0" t="s">
        <v>226</v>
      </c>
      <c r="J19" s="348"/>
      <c r="K19" s="349" t="n">
        <f aca="false">-F24</f>
        <v>-0</v>
      </c>
      <c r="L19" s="348"/>
      <c r="M19" s="350"/>
      <c r="N19" s="348"/>
      <c r="O19" s="351"/>
    </row>
    <row r="20" customFormat="false" ht="16.5" hidden="false" customHeight="false" outlineLevel="0" collapsed="false">
      <c r="A20" s="232" t="s">
        <v>324</v>
      </c>
      <c r="B20" s="233" t="n">
        <f aca="false">PGL_Requirements!Q7/1000</f>
        <v>2.61465</v>
      </c>
      <c r="C20" s="269"/>
      <c r="D20" s="308"/>
      <c r="E20" s="40"/>
      <c r="F20" s="40"/>
      <c r="G20" s="40"/>
      <c r="H20" s="352"/>
      <c r="I20" s="353" t="s">
        <v>311</v>
      </c>
      <c r="J20" s="354" t="s">
        <v>0</v>
      </c>
      <c r="K20" s="355" t="n">
        <f aca="false">SUM(K8:K19)</f>
        <v>178.7</v>
      </c>
      <c r="L20" s="356" t="s">
        <v>0</v>
      </c>
      <c r="M20" s="355" t="s">
        <v>0</v>
      </c>
      <c r="N20" s="356" t="s">
        <v>0</v>
      </c>
      <c r="O20" s="357"/>
    </row>
    <row r="21" customFormat="false" ht="16.5" hidden="false" customHeight="false" outlineLevel="0" collapsed="false">
      <c r="A21" s="278" t="s">
        <v>289</v>
      </c>
      <c r="B21" s="358" t="n">
        <f aca="false">-B15+B16+B18-B19-B17+B22+B23</f>
        <v>-174.482</v>
      </c>
      <c r="C21" s="359"/>
      <c r="D21" s="313"/>
      <c r="E21" s="360" t="s">
        <v>325</v>
      </c>
      <c r="F21" s="256" t="n">
        <v>0</v>
      </c>
      <c r="G21" s="305"/>
      <c r="H21" s="361"/>
      <c r="I21" s="283" t="s">
        <v>43</v>
      </c>
      <c r="J21" s="362" t="s">
        <v>0</v>
      </c>
      <c r="K21" s="363"/>
      <c r="L21" s="364"/>
      <c r="M21" s="364" t="s">
        <v>326</v>
      </c>
      <c r="N21" s="364"/>
      <c r="O21" s="297"/>
    </row>
    <row r="22" customFormat="false" ht="15" hidden="false" customHeight="false" outlineLevel="0" collapsed="false">
      <c r="A22" s="232" t="s">
        <v>327</v>
      </c>
      <c r="B22" s="233" t="n">
        <v>0</v>
      </c>
      <c r="C22" s="365"/>
      <c r="D22" s="366"/>
      <c r="E22" s="360" t="s">
        <v>328</v>
      </c>
      <c r="F22" s="256" t="n">
        <v>0</v>
      </c>
      <c r="G22" s="305"/>
      <c r="H22" s="361"/>
      <c r="I22" s="309" t="s">
        <v>329</v>
      </c>
      <c r="J22" s="310" t="s">
        <v>0</v>
      </c>
      <c r="K22" s="367" t="n">
        <f aca="false">-PGL_Supplies!J7/1000</f>
        <v>-0</v>
      </c>
      <c r="L22" s="368"/>
      <c r="M22" s="253"/>
      <c r="N22" s="368"/>
      <c r="O22" s="369"/>
    </row>
    <row r="23" customFormat="false" ht="18" hidden="false" customHeight="true" outlineLevel="0" collapsed="false">
      <c r="A23" s="232" t="s">
        <v>330</v>
      </c>
      <c r="B23" s="370" t="n">
        <v>0</v>
      </c>
      <c r="C23" s="371"/>
      <c r="D23" s="372"/>
      <c r="E23" s="373" t="s">
        <v>331</v>
      </c>
      <c r="F23" s="374" t="n">
        <v>0</v>
      </c>
      <c r="G23" s="332"/>
      <c r="H23" s="333"/>
      <c r="I23" s="309" t="s">
        <v>332</v>
      </c>
      <c r="J23" s="310" t="s">
        <v>0</v>
      </c>
      <c r="K23" s="301" t="n">
        <f aca="false">K5+K6-K20</f>
        <v>6.29999999999998</v>
      </c>
      <c r="L23" s="368"/>
      <c r="M23" s="301" t="s">
        <v>0</v>
      </c>
      <c r="N23" s="368"/>
      <c r="O23" s="375"/>
    </row>
    <row r="24" customFormat="false" ht="16.5" hidden="false" customHeight="false" outlineLevel="0" collapsed="false">
      <c r="A24" s="376" t="s">
        <v>333</v>
      </c>
      <c r="B24" s="377" t="n">
        <f aca="false">SUM(B4)</f>
        <v>0</v>
      </c>
      <c r="C24" s="378"/>
      <c r="D24" s="379"/>
      <c r="E24" s="380" t="s">
        <v>334</v>
      </c>
      <c r="F24" s="381" t="n">
        <f aca="false">PGL_Requirements!H7/1000*0.5</f>
        <v>0</v>
      </c>
      <c r="G24" s="346"/>
      <c r="H24" s="382"/>
      <c r="I24" s="383" t="s">
        <v>279</v>
      </c>
      <c r="J24" s="310" t="s">
        <v>0</v>
      </c>
      <c r="K24" s="301"/>
      <c r="L24" s="384" t="s">
        <v>0</v>
      </c>
      <c r="M24" s="385"/>
      <c r="N24" s="384" t="s">
        <v>0</v>
      </c>
      <c r="O24" s="375"/>
    </row>
    <row r="25" customFormat="false" ht="16.5" hidden="false" customHeight="false" outlineLevel="0" collapsed="false">
      <c r="A25" s="324" t="s">
        <v>0</v>
      </c>
      <c r="B25" s="386" t="s">
        <v>0</v>
      </c>
      <c r="C25" s="387" t="s">
        <v>86</v>
      </c>
      <c r="D25" s="285"/>
      <c r="E25" s="388" t="s">
        <v>335</v>
      </c>
      <c r="F25" s="389"/>
      <c r="G25" s="390"/>
      <c r="H25" s="391"/>
      <c r="I25" s="309" t="s">
        <v>336</v>
      </c>
      <c r="J25" s="392" t="s">
        <v>0</v>
      </c>
      <c r="K25" s="393" t="n">
        <f aca="false">SUM(B20+B22+B23)</f>
        <v>2.61465</v>
      </c>
      <c r="L25" s="394"/>
      <c r="M25" s="395"/>
      <c r="N25" s="396" t="s">
        <v>0</v>
      </c>
      <c r="O25" s="369"/>
    </row>
    <row r="26" customFormat="false" ht="17.25" hidden="false" customHeight="false" outlineLevel="0" collapsed="false">
      <c r="A26" s="232" t="s">
        <v>337</v>
      </c>
      <c r="B26" s="233" t="n">
        <f aca="false">PGL_Supplies!D7/1000</f>
        <v>0</v>
      </c>
      <c r="C26" s="397"/>
      <c r="D26" s="295"/>
      <c r="E26" s="40"/>
      <c r="F26" s="398"/>
      <c r="G26" s="40"/>
      <c r="H26" s="399"/>
      <c r="I26" s="400" t="s">
        <v>338</v>
      </c>
      <c r="J26" s="401" t="s">
        <v>0</v>
      </c>
      <c r="K26" s="402" t="n">
        <f aca="false">SUM(K23:K25)</f>
        <v>8.91464999999998</v>
      </c>
      <c r="L26" s="401" t="s">
        <v>0</v>
      </c>
      <c r="M26" s="301"/>
      <c r="N26" s="403" t="s">
        <v>0</v>
      </c>
      <c r="O26" s="404" t="s">
        <v>0</v>
      </c>
    </row>
    <row r="27" customFormat="false" ht="15.75" hidden="false" customHeight="true" outlineLevel="0" collapsed="false">
      <c r="A27" s="232" t="s">
        <v>339</v>
      </c>
      <c r="B27" s="405" t="n">
        <f aca="false">PGL_Supplies!D7/1000</f>
        <v>0</v>
      </c>
      <c r="C27" s="406"/>
      <c r="D27" s="295"/>
      <c r="E27" s="345" t="s">
        <v>340</v>
      </c>
      <c r="F27" s="407"/>
      <c r="G27" s="346"/>
      <c r="H27" s="347"/>
      <c r="I27" s="299" t="s">
        <v>341</v>
      </c>
      <c r="J27" s="408"/>
      <c r="K27" s="367" t="n">
        <f aca="false">SUM(-PGL_Supplies!M7/1000)</f>
        <v>0</v>
      </c>
      <c r="L27" s="409"/>
      <c r="M27" s="410"/>
      <c r="N27" s="411"/>
      <c r="O27" s="412"/>
    </row>
    <row r="28" customFormat="false" ht="15.75" hidden="false" customHeight="false" outlineLevel="0" collapsed="false">
      <c r="A28" s="232" t="s">
        <v>168</v>
      </c>
      <c r="B28" s="405" t="n">
        <f aca="false">PGL_Supplies!AA7/1000</f>
        <v>0</v>
      </c>
      <c r="C28" s="247"/>
      <c r="D28" s="295"/>
      <c r="E28" s="40"/>
      <c r="F28" s="398"/>
      <c r="G28" s="40"/>
      <c r="H28" s="399"/>
      <c r="I28" s="309" t="s">
        <v>342</v>
      </c>
      <c r="J28" s="413"/>
      <c r="K28" s="246" t="n">
        <f aca="false">PGL_Requirements!O7/1000</f>
        <v>2.533</v>
      </c>
      <c r="L28" s="341"/>
      <c r="M28" s="414" t="s">
        <v>0</v>
      </c>
      <c r="N28" s="411"/>
      <c r="O28" s="415" t="s">
        <v>0</v>
      </c>
    </row>
    <row r="29" customFormat="false" ht="15.75" hidden="false" customHeight="false" outlineLevel="0" collapsed="false">
      <c r="A29" s="232" t="s">
        <v>343</v>
      </c>
      <c r="B29" s="233" t="n">
        <f aca="false">PGL_Supplies!S7/1000</f>
        <v>0</v>
      </c>
      <c r="C29" s="397"/>
      <c r="D29" s="295"/>
      <c r="E29" s="416" t="s">
        <v>344</v>
      </c>
      <c r="F29" s="374"/>
      <c r="G29" s="332"/>
      <c r="H29" s="417"/>
      <c r="I29" s="309" t="s">
        <v>345</v>
      </c>
      <c r="J29" s="418"/>
      <c r="K29" s="419" t="n">
        <f aca="false">-PGL_Supplies!L7/1000</f>
        <v>-0</v>
      </c>
      <c r="L29" s="341"/>
      <c r="M29" s="246" t="s">
        <v>0</v>
      </c>
      <c r="N29" s="411"/>
      <c r="O29" s="420" t="s">
        <v>0</v>
      </c>
    </row>
    <row r="30" customFormat="false" ht="16.5" hidden="false" customHeight="false" outlineLevel="0" collapsed="false">
      <c r="A30" s="278" t="s">
        <v>291</v>
      </c>
      <c r="B30" s="271" t="n">
        <f aca="false">-B26+B27+B28+B29</f>
        <v>0</v>
      </c>
      <c r="C30" s="421"/>
      <c r="D30" s="313"/>
      <c r="E30" s="422" t="s">
        <v>346</v>
      </c>
      <c r="F30" s="256"/>
      <c r="G30" s="305"/>
      <c r="H30" s="423"/>
      <c r="I30" s="424" t="s">
        <v>347</v>
      </c>
      <c r="J30" s="425"/>
      <c r="K30" s="287" t="n">
        <f aca="false">-PGL_Supplies!AC7/1000</f>
        <v>-20.668</v>
      </c>
      <c r="L30" s="426"/>
      <c r="M30" s="287" t="n">
        <f aca="false">-PGL_Supplies!AC7/1000</f>
        <v>-20.668</v>
      </c>
      <c r="N30" s="427"/>
      <c r="O30" s="428" t="n">
        <f aca="false">-PGL_Supplies!AC7/1000</f>
        <v>-20.668</v>
      </c>
    </row>
    <row r="31" customFormat="false" ht="16.5" hidden="false" customHeight="false" outlineLevel="0" collapsed="false">
      <c r="A31" s="429" t="s">
        <v>0</v>
      </c>
      <c r="B31" s="430" t="s">
        <v>348</v>
      </c>
      <c r="C31" s="430"/>
      <c r="D31" s="430"/>
      <c r="E31" s="350" t="s">
        <v>349</v>
      </c>
      <c r="F31" s="431"/>
      <c r="G31" s="315"/>
      <c r="H31" s="432"/>
      <c r="I31" s="433" t="s">
        <v>350</v>
      </c>
      <c r="J31" s="433"/>
      <c r="K31" s="433"/>
      <c r="L31" s="433"/>
      <c r="M31" s="433"/>
      <c r="N31" s="433"/>
      <c r="O31" s="433"/>
    </row>
    <row r="32" customFormat="false" ht="16.5" hidden="false" customHeight="false" outlineLevel="0" collapsed="false">
      <c r="A32" s="344" t="s">
        <v>351</v>
      </c>
      <c r="B32" s="248" t="n">
        <f aca="false">PGL_Requirements!E7/1000</f>
        <v>0</v>
      </c>
      <c r="C32" s="327"/>
      <c r="D32" s="248" t="s">
        <v>0</v>
      </c>
      <c r="E32" s="380" t="s">
        <v>352</v>
      </c>
      <c r="F32" s="434"/>
      <c r="G32" s="435"/>
      <c r="H32" s="382"/>
      <c r="I32" s="299" t="s">
        <v>353</v>
      </c>
      <c r="J32" s="365"/>
      <c r="K32" s="436"/>
      <c r="L32" s="437" t="s">
        <v>354</v>
      </c>
      <c r="M32" s="40"/>
      <c r="N32" s="438"/>
      <c r="O32" s="439"/>
    </row>
    <row r="33" customFormat="false" ht="15" hidden="false" customHeight="false" outlineLevel="0" collapsed="false">
      <c r="A33" s="344" t="s">
        <v>355</v>
      </c>
      <c r="B33" s="405" t="n">
        <f aca="false">PGL_Supplies!E7/1000</f>
        <v>13</v>
      </c>
      <c r="C33" s="405" t="s">
        <v>0</v>
      </c>
      <c r="D33" s="440" t="s">
        <v>0</v>
      </c>
      <c r="E33" s="40"/>
      <c r="F33" s="40"/>
      <c r="G33" s="40"/>
      <c r="H33" s="399"/>
      <c r="I33" s="441" t="s">
        <v>356</v>
      </c>
      <c r="J33" s="442"/>
      <c r="K33" s="443"/>
      <c r="L33" s="444" t="s">
        <v>344</v>
      </c>
      <c r="M33" s="265"/>
      <c r="N33" s="262"/>
      <c r="O33" s="266"/>
    </row>
    <row r="34" customFormat="false" ht="15" hidden="false" customHeight="false" outlineLevel="0" collapsed="false">
      <c r="A34" s="232" t="s">
        <v>168</v>
      </c>
      <c r="B34" s="405" t="n">
        <f aca="false">PGL_Supplies!AB7/1000+NSG_Supplies!N7/1000</f>
        <v>211.567</v>
      </c>
      <c r="C34" s="405" t="s">
        <v>0</v>
      </c>
      <c r="D34" s="440" t="s">
        <v>0</v>
      </c>
      <c r="E34" s="40"/>
      <c r="F34" s="40"/>
      <c r="G34" s="40"/>
      <c r="H34" s="399"/>
      <c r="I34" s="445" t="s">
        <v>357</v>
      </c>
      <c r="J34" s="330"/>
      <c r="K34" s="446"/>
      <c r="L34" s="444" t="s">
        <v>358</v>
      </c>
      <c r="M34" s="265"/>
      <c r="N34" s="262"/>
      <c r="O34" s="266"/>
    </row>
    <row r="35" customFormat="false" ht="15.75" hidden="false" customHeight="false" outlineLevel="0" collapsed="false">
      <c r="A35" s="447" t="s">
        <v>359</v>
      </c>
      <c r="B35" s="405" t="n">
        <f aca="false">PGL_Supplies!T7/1000</f>
        <v>20</v>
      </c>
      <c r="C35" s="405" t="s">
        <v>0</v>
      </c>
      <c r="D35" s="257"/>
      <c r="E35" s="40"/>
      <c r="F35" s="40"/>
      <c r="G35" s="40"/>
      <c r="H35" s="399"/>
      <c r="I35" s="445" t="s">
        <v>360</v>
      </c>
      <c r="J35" s="330"/>
      <c r="K35" s="443"/>
      <c r="L35" s="448" t="s">
        <v>361</v>
      </c>
      <c r="M35" s="265"/>
      <c r="N35" s="262"/>
      <c r="O35" s="266"/>
    </row>
    <row r="36" customFormat="false" ht="16.5" hidden="false" customHeight="false" outlineLevel="0" collapsed="false">
      <c r="A36" s="449" t="s">
        <v>362</v>
      </c>
      <c r="B36" s="407" t="n">
        <f aca="false">-B32+B33+B34+B35*0.5</f>
        <v>234.567</v>
      </c>
      <c r="C36" s="346"/>
      <c r="D36" s="450" t="s">
        <v>0</v>
      </c>
      <c r="E36" s="40"/>
      <c r="F36" s="40"/>
      <c r="G36" s="40"/>
      <c r="H36" s="399"/>
      <c r="I36" s="445" t="s">
        <v>363</v>
      </c>
      <c r="J36" s="330"/>
      <c r="K36" s="443"/>
      <c r="L36" s="448" t="s">
        <v>50</v>
      </c>
      <c r="M36" s="265"/>
      <c r="N36" s="262"/>
      <c r="O36" s="266"/>
    </row>
    <row r="37" customFormat="false" ht="15" hidden="false" customHeight="false" outlineLevel="0" collapsed="false">
      <c r="A37" s="451" t="s">
        <v>364</v>
      </c>
      <c r="B37" s="452"/>
      <c r="C37" s="452"/>
      <c r="D37" s="453" t="s">
        <v>0</v>
      </c>
      <c r="E37" s="40"/>
      <c r="F37" s="40"/>
      <c r="G37" s="40"/>
      <c r="H37" s="40"/>
      <c r="I37" s="454" t="s">
        <v>365</v>
      </c>
      <c r="J37" s="330"/>
      <c r="K37" s="443"/>
      <c r="L37" s="455" t="s">
        <v>366</v>
      </c>
      <c r="M37" s="265"/>
      <c r="N37" s="262"/>
      <c r="O37" s="266"/>
    </row>
    <row r="38" customFormat="false" ht="15.75" hidden="false" customHeight="false" outlineLevel="0" collapsed="false">
      <c r="A38" s="456" t="s">
        <v>367</v>
      </c>
      <c r="B38" s="233" t="n">
        <f aca="false">B36-B37-B39</f>
        <v>234.567</v>
      </c>
      <c r="C38" s="457" t="s">
        <v>0</v>
      </c>
      <c r="D38" s="458" t="s">
        <v>0</v>
      </c>
      <c r="E38" s="40"/>
      <c r="F38" s="40"/>
      <c r="G38" s="40"/>
      <c r="H38" s="40"/>
      <c r="I38" s="459" t="s">
        <v>368</v>
      </c>
      <c r="J38" s="330"/>
      <c r="K38" s="443"/>
      <c r="L38" s="298" t="s">
        <v>369</v>
      </c>
      <c r="M38" s="40"/>
      <c r="N38" s="286"/>
      <c r="O38" s="460"/>
    </row>
    <row r="39" customFormat="false" ht="16.5" hidden="false" customHeight="false" outlineLevel="0" collapsed="false">
      <c r="A39" s="461" t="s">
        <v>370</v>
      </c>
      <c r="B39" s="462" t="n">
        <f aca="false">F24</f>
        <v>0</v>
      </c>
      <c r="C39" s="262"/>
      <c r="D39" s="463" t="s">
        <v>0</v>
      </c>
      <c r="E39" s="40"/>
      <c r="F39" s="40"/>
      <c r="G39" s="40"/>
      <c r="H39" s="40"/>
      <c r="I39" s="464" t="s">
        <v>371</v>
      </c>
      <c r="J39" s="465"/>
      <c r="K39" s="466"/>
      <c r="L39" s="380" t="s">
        <v>372</v>
      </c>
      <c r="M39" s="435"/>
      <c r="N39" s="435"/>
      <c r="O39" s="467"/>
    </row>
    <row r="40" customFormat="false" ht="16.5" hidden="false" customHeight="false" outlineLevel="0" collapsed="false">
      <c r="A40" s="468" t="s">
        <v>373</v>
      </c>
      <c r="B40" s="469" t="n">
        <f aca="false">B37+B38+B39</f>
        <v>234.567</v>
      </c>
      <c r="C40" s="470"/>
      <c r="D40" s="471" t="s">
        <v>0</v>
      </c>
      <c r="E40" s="472"/>
      <c r="F40" s="472"/>
      <c r="G40" s="472"/>
      <c r="H40" s="472"/>
      <c r="I40" s="472"/>
      <c r="J40" s="473" t="s">
        <v>374</v>
      </c>
      <c r="K40" s="474"/>
      <c r="L40" s="475" t="s">
        <v>375</v>
      </c>
      <c r="M40" s="472"/>
      <c r="N40" s="472" t="s">
        <v>376</v>
      </c>
      <c r="O40" s="476"/>
    </row>
    <row r="41" customFormat="false" ht="15.75" hidden="false" customHeight="false" outlineLevel="0" collapsed="false">
      <c r="A41" s="477"/>
      <c r="B41" s="477"/>
      <c r="C41" s="477"/>
      <c r="D41" s="477"/>
      <c r="E41" s="477"/>
      <c r="F41" s="477"/>
      <c r="G41" s="477"/>
      <c r="H41" s="477"/>
      <c r="I41" s="477"/>
      <c r="J41" s="478"/>
      <c r="K41" s="478"/>
      <c r="L41" s="479"/>
      <c r="M41" s="477"/>
      <c r="N41" s="477"/>
      <c r="O41" s="477"/>
    </row>
    <row r="42" customFormat="false" ht="15" hidden="false" customHeight="false" outlineLevel="0" collapsed="false">
      <c r="A42" s="480"/>
      <c r="B42" s="40"/>
      <c r="C42" s="40"/>
      <c r="D42" s="481"/>
      <c r="I42" s="40"/>
      <c r="J42" s="482"/>
      <c r="K42" s="298"/>
      <c r="L42" s="483"/>
    </row>
    <row r="43" customFormat="false" ht="15" hidden="false" customHeight="false" outlineLevel="0" collapsed="false">
      <c r="I43" s="40"/>
      <c r="J43" s="482"/>
      <c r="K43" s="298"/>
      <c r="L43" s="483"/>
    </row>
    <row r="44" customFormat="false" ht="15" hidden="false" customHeight="false" outlineLevel="0" collapsed="false">
      <c r="I44" s="40"/>
      <c r="J44" s="234"/>
      <c r="K44" s="234"/>
      <c r="L44" s="483"/>
    </row>
  </sheetData>
  <mergeCells count="3">
    <mergeCell ref="G1:H1"/>
    <mergeCell ref="B31:D31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84" t="s">
        <v>0</v>
      </c>
      <c r="B1" s="485"/>
      <c r="C1" s="485" t="s">
        <v>0</v>
      </c>
      <c r="D1" s="486"/>
      <c r="E1" s="228" t="s">
        <v>277</v>
      </c>
      <c r="F1" s="228" t="str">
        <f aca="false">CHOOSE(WEEKDAY(G1),"SUN","MON","TUE","WED","THU","FRI","SAT")</f>
        <v>SUN</v>
      </c>
      <c r="G1" s="487" t="n">
        <f aca="false">Weather_Input!A5</f>
        <v>37059</v>
      </c>
      <c r="H1" s="228" t="s">
        <v>377</v>
      </c>
      <c r="I1" s="231"/>
    </row>
    <row r="2" customFormat="false" ht="20.25" hidden="false" customHeight="false" outlineLevel="0" collapsed="false">
      <c r="A2" s="488" t="s">
        <v>0</v>
      </c>
      <c r="B2" s="489" t="s">
        <v>378</v>
      </c>
      <c r="C2" s="490" t="s">
        <v>0</v>
      </c>
      <c r="D2" s="38" t="s">
        <v>379</v>
      </c>
      <c r="E2" s="491"/>
      <c r="F2" s="38" t="s">
        <v>380</v>
      </c>
      <c r="G2" s="491"/>
      <c r="H2" s="492" t="s">
        <v>381</v>
      </c>
      <c r="I2" s="493"/>
    </row>
    <row r="3" customFormat="false" ht="20.25" hidden="false" customHeight="false" outlineLevel="0" collapsed="false">
      <c r="A3" s="494" t="s">
        <v>382</v>
      </c>
      <c r="B3" s="495" t="s">
        <v>18</v>
      </c>
      <c r="C3" s="496"/>
      <c r="D3" s="497" t="s">
        <v>18</v>
      </c>
      <c r="E3" s="496" t="s">
        <v>19</v>
      </c>
      <c r="F3" s="497" t="s">
        <v>18</v>
      </c>
      <c r="G3" s="497" t="s">
        <v>19</v>
      </c>
      <c r="H3" s="495" t="s">
        <v>18</v>
      </c>
      <c r="I3" s="498" t="s">
        <v>19</v>
      </c>
    </row>
    <row r="4" customFormat="false" ht="21" hidden="false" customHeight="false" outlineLevel="0" collapsed="false">
      <c r="A4" s="499"/>
      <c r="B4" s="500" t="n">
        <f aca="false">Weather_Input!B5</f>
        <v>87</v>
      </c>
      <c r="C4" s="501" t="n">
        <f aca="false">Weather_Input!C5</f>
        <v>66</v>
      </c>
      <c r="D4" s="502"/>
      <c r="E4" s="503"/>
      <c r="F4" s="502"/>
      <c r="G4" s="503"/>
      <c r="H4" s="504"/>
      <c r="I4" s="505"/>
    </row>
    <row r="5" customFormat="false" ht="24" hidden="false" customHeight="false" outlineLevel="0" collapsed="false">
      <c r="A5" s="506" t="s">
        <v>225</v>
      </c>
      <c r="B5" s="507"/>
      <c r="C5" s="508" t="n">
        <f aca="false">NSG_Deliveries!C5/1000</f>
        <v>34</v>
      </c>
      <c r="D5" s="507"/>
      <c r="E5" s="509"/>
      <c r="F5" s="507"/>
      <c r="G5" s="509" t="s">
        <v>0</v>
      </c>
      <c r="H5" s="507"/>
      <c r="I5" s="510"/>
    </row>
    <row r="6" customFormat="false" ht="12" hidden="false" customHeight="true" outlineLevel="0" collapsed="false">
      <c r="A6" s="511" t="s">
        <v>0</v>
      </c>
      <c r="B6" s="512"/>
      <c r="C6" s="513"/>
      <c r="D6" s="514"/>
      <c r="E6" s="513"/>
      <c r="F6" s="514"/>
      <c r="G6" s="514"/>
      <c r="H6" s="512"/>
      <c r="I6" s="515"/>
    </row>
    <row r="7" customFormat="false" ht="24" hidden="false" customHeight="false" outlineLevel="0" collapsed="false">
      <c r="A7" s="516" t="s">
        <v>128</v>
      </c>
      <c r="B7" s="507"/>
      <c r="C7" s="517" t="n">
        <f aca="false">C5-C9-C11-C12</f>
        <v>0</v>
      </c>
      <c r="D7" s="518"/>
      <c r="E7" s="509"/>
      <c r="F7" s="518"/>
      <c r="G7" s="518" t="s">
        <v>0</v>
      </c>
      <c r="H7" s="507"/>
      <c r="I7" s="510"/>
    </row>
    <row r="8" customFormat="false" ht="12" hidden="false" customHeight="true" outlineLevel="0" collapsed="false">
      <c r="A8" s="511"/>
      <c r="B8" s="519"/>
      <c r="C8" s="513"/>
      <c r="D8" s="514"/>
      <c r="E8" s="513"/>
      <c r="F8" s="514"/>
      <c r="G8" s="514"/>
      <c r="H8" s="512"/>
      <c r="I8" s="515"/>
    </row>
    <row r="9" customFormat="false" ht="21" hidden="false" customHeight="true" outlineLevel="0" collapsed="false">
      <c r="A9" s="520" t="s">
        <v>383</v>
      </c>
      <c r="B9" s="521"/>
      <c r="C9" s="522" t="n">
        <f aca="false">B46</f>
        <v>7.414</v>
      </c>
      <c r="D9" s="523"/>
      <c r="E9" s="524"/>
      <c r="F9" s="523"/>
      <c r="G9" s="523"/>
      <c r="H9" s="521"/>
      <c r="I9" s="525"/>
    </row>
    <row r="10" customFormat="false" ht="12" hidden="false" customHeight="true" outlineLevel="0" collapsed="false">
      <c r="A10" s="526"/>
      <c r="B10" s="519"/>
      <c r="C10" s="513"/>
      <c r="D10" s="527"/>
      <c r="E10" s="528"/>
      <c r="F10" s="527"/>
      <c r="G10" s="527"/>
      <c r="H10" s="519"/>
      <c r="I10" s="529"/>
    </row>
    <row r="11" customFormat="false" ht="23.25" hidden="false" customHeight="false" outlineLevel="0" collapsed="false">
      <c r="A11" s="530" t="s">
        <v>384</v>
      </c>
      <c r="B11" s="531"/>
      <c r="C11" s="532" t="n">
        <f aca="false">B38</f>
        <v>0</v>
      </c>
      <c r="D11" s="523"/>
      <c r="E11" s="524"/>
      <c r="F11" s="523"/>
      <c r="G11" s="523" t="s">
        <v>0</v>
      </c>
      <c r="H11" s="521"/>
      <c r="I11" s="525"/>
    </row>
    <row r="12" customFormat="false" ht="23.25" hidden="false" customHeight="false" outlineLevel="0" collapsed="false">
      <c r="A12" s="533" t="s">
        <v>385</v>
      </c>
      <c r="B12" s="534"/>
      <c r="C12" s="535" t="n">
        <f aca="false">+C5-C9</f>
        <v>26.586</v>
      </c>
      <c r="D12" s="536"/>
      <c r="E12" s="537"/>
      <c r="F12" s="536"/>
      <c r="G12" s="536"/>
      <c r="H12" s="534"/>
      <c r="I12" s="538"/>
    </row>
    <row r="13" customFormat="false" ht="21" hidden="false" customHeight="false" outlineLevel="0" collapsed="false">
      <c r="A13" s="539" t="s">
        <v>151</v>
      </c>
      <c r="B13" s="540"/>
      <c r="C13" s="541"/>
      <c r="D13" s="536"/>
      <c r="E13" s="537"/>
      <c r="F13" s="536"/>
      <c r="G13" s="536"/>
      <c r="H13" s="534"/>
      <c r="I13" s="538"/>
    </row>
    <row r="14" customFormat="false" ht="21" hidden="false" customHeight="false" outlineLevel="0" collapsed="false">
      <c r="A14" s="539" t="s">
        <v>178</v>
      </c>
      <c r="B14" s="542"/>
      <c r="C14" s="543"/>
      <c r="D14" s="542"/>
      <c r="E14" s="543"/>
      <c r="F14" s="542"/>
      <c r="G14" s="542"/>
      <c r="H14" s="544"/>
      <c r="I14" s="545"/>
    </row>
    <row r="15" customFormat="false" ht="24" hidden="false" customHeight="false" outlineLevel="0" collapsed="false">
      <c r="A15" s="546" t="s">
        <v>386</v>
      </c>
      <c r="B15" s="547"/>
      <c r="C15" s="517" t="n">
        <v>0</v>
      </c>
      <c r="D15" s="548"/>
      <c r="E15" s="549"/>
      <c r="F15" s="548"/>
      <c r="G15" s="548" t="s">
        <v>0</v>
      </c>
      <c r="H15" s="547"/>
      <c r="I15" s="550"/>
    </row>
    <row r="16" customFormat="false" ht="21" hidden="false" customHeight="false" outlineLevel="0" collapsed="false">
      <c r="A16" s="551" t="s">
        <v>0</v>
      </c>
      <c r="B16" s="512"/>
      <c r="C16" s="513"/>
      <c r="D16" s="514"/>
      <c r="E16" s="513"/>
      <c r="F16" s="514"/>
      <c r="G16" s="514"/>
      <c r="H16" s="512"/>
      <c r="I16" s="515"/>
    </row>
    <row r="17" customFormat="false" ht="24" hidden="false" customHeight="false" outlineLevel="0" collapsed="false">
      <c r="A17" s="552" t="s">
        <v>387</v>
      </c>
      <c r="B17" s="553"/>
      <c r="C17" s="554" t="s">
        <v>0</v>
      </c>
      <c r="D17" s="555"/>
      <c r="E17" s="556"/>
      <c r="F17" s="555"/>
      <c r="G17" s="555"/>
      <c r="H17" s="553"/>
      <c r="I17" s="557"/>
    </row>
    <row r="18" customFormat="false" ht="21" hidden="false" customHeight="false" outlineLevel="0" collapsed="false">
      <c r="A18" s="558" t="s">
        <v>388</v>
      </c>
      <c r="B18" s="512"/>
      <c r="C18" s="513" t="s">
        <v>0</v>
      </c>
      <c r="D18" s="514"/>
      <c r="E18" s="513"/>
      <c r="F18" s="514"/>
      <c r="G18" s="364" t="s">
        <v>389</v>
      </c>
      <c r="H18" s="512"/>
      <c r="I18" s="559"/>
    </row>
    <row r="19" customFormat="false" ht="24" hidden="false" customHeight="false" outlineLevel="0" collapsed="false">
      <c r="A19" s="560" t="s">
        <v>338</v>
      </c>
      <c r="B19" s="561"/>
      <c r="C19" s="562" t="n">
        <f aca="false">C7+C12</f>
        <v>26.586</v>
      </c>
      <c r="D19" s="563"/>
      <c r="E19" s="564"/>
      <c r="F19" s="563"/>
      <c r="G19" s="563" t="s">
        <v>0</v>
      </c>
      <c r="H19" s="561"/>
      <c r="I19" s="565"/>
    </row>
    <row r="20" customFormat="false" ht="20.25" hidden="false" customHeight="false" outlineLevel="0" collapsed="false">
      <c r="A20" s="566" t="s">
        <v>390</v>
      </c>
      <c r="B20" s="567"/>
      <c r="C20" s="568" t="n">
        <f aca="false">NSG_Requirements!C7/1000</f>
        <v>0</v>
      </c>
      <c r="D20" s="569"/>
      <c r="E20" s="568" t="n">
        <f aca="false">NSG_Requirements!C7/1000</f>
        <v>0</v>
      </c>
      <c r="F20" s="569"/>
      <c r="G20" s="568" t="n">
        <f aca="false">NSG_Requirements!C7/1000</f>
        <v>0</v>
      </c>
      <c r="H20" s="567"/>
      <c r="I20" s="570" t="n">
        <f aca="false">NSG_Requirements!C7/1000</f>
        <v>0</v>
      </c>
    </row>
    <row r="21" customFormat="false" ht="20.25" hidden="false" customHeight="false" outlineLevel="0" collapsed="false">
      <c r="A21" s="571" t="s">
        <v>391</v>
      </c>
      <c r="B21" s="572"/>
      <c r="C21" s="568" t="n">
        <f aca="false">NSG_Requirements!R7/1000</f>
        <v>0</v>
      </c>
      <c r="D21" s="573"/>
      <c r="E21" s="568" t="n">
        <f aca="false">NSG_Requirements!R7/1000</f>
        <v>0</v>
      </c>
      <c r="F21" s="573"/>
      <c r="G21" s="568" t="n">
        <f aca="false">NSG_Requirements!R7/1000</f>
        <v>0</v>
      </c>
      <c r="H21" s="572"/>
      <c r="I21" s="574" t="n">
        <f aca="false">NSG_Requirements!R7/1000</f>
        <v>0</v>
      </c>
    </row>
    <row r="22" customFormat="false" ht="20.25" hidden="false" customHeight="false" outlineLevel="0" collapsed="false">
      <c r="A22" s="571" t="s">
        <v>392</v>
      </c>
      <c r="B22" s="575"/>
      <c r="C22" s="568" t="n">
        <f aca="false">NSG_Supplies!K7/1000</f>
        <v>0</v>
      </c>
      <c r="D22" s="576"/>
      <c r="E22" s="568" t="n">
        <f aca="false">NSG_Supplies!K7/1000</f>
        <v>0</v>
      </c>
      <c r="F22" s="576"/>
      <c r="G22" s="568" t="n">
        <f aca="false">NSG_Supplies!K7/1000</f>
        <v>0</v>
      </c>
      <c r="H22" s="575"/>
      <c r="I22" s="577" t="n">
        <f aca="false">NSG_Supplies!K7/1000</f>
        <v>0</v>
      </c>
    </row>
    <row r="23" customFormat="false" ht="20.25" hidden="false" customHeight="false" outlineLevel="0" collapsed="false">
      <c r="A23" s="566" t="s">
        <v>393</v>
      </c>
      <c r="B23" s="575"/>
      <c r="C23" s="578" t="n">
        <f aca="false">-(PGL_Requirements!$Y$7+PGL_Requirements!$Z$7+PGL_Requirements!$AA$7+PGL_Requirements!$AB$7)/1000+(NSG_Requirements!$Y$7+NSG_Requirements!$Z$7+NSG_Requirements!$AA$7)/1000</f>
        <v>0</v>
      </c>
      <c r="D23" s="579"/>
      <c r="E23" s="578" t="n">
        <f aca="false">-(PGL_Requirements!$Y$7+PGL_Requirements!$Z$7+PGL_Requirements!$AA$7+PGL_Requirements!$AB$7)/1000+(NSG_Requirements!$Y$7+NSG_Requirements!$Z$7+NSG_Requirements!$AA$7)/1000</f>
        <v>0</v>
      </c>
      <c r="F23" s="579"/>
      <c r="G23" s="578" t="n">
        <f aca="false">-(PGL_Requirements!$Y$7+PGL_Requirements!$Z$7+PGL_Requirements!$AA$7+PGL_Requirements!$AB$7)/1000+(NSG_Requirements!$Y$7+NSG_Requirements!$Z$7+NSG_Requirements!$AA$7)/1000</f>
        <v>0</v>
      </c>
      <c r="H23" s="572"/>
      <c r="I23" s="58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66" t="s">
        <v>342</v>
      </c>
      <c r="B24" s="575"/>
      <c r="C24" s="568" t="n">
        <f aca="false">NSG_Requirements!H7/1000</f>
        <v>2</v>
      </c>
      <c r="D24" s="576"/>
      <c r="E24" s="568" t="s">
        <v>0</v>
      </c>
      <c r="F24" s="576"/>
      <c r="G24" s="568" t="s">
        <v>0</v>
      </c>
      <c r="H24" s="575"/>
      <c r="I24" s="568" t="s">
        <v>0</v>
      </c>
    </row>
    <row r="25" customFormat="false" ht="20.25" hidden="false" customHeight="false" outlineLevel="0" collapsed="false">
      <c r="A25" s="566" t="s">
        <v>345</v>
      </c>
      <c r="B25" s="572"/>
      <c r="C25" s="568" t="n">
        <f aca="false">-NSG_Supplies!F7/1000</f>
        <v>-0</v>
      </c>
      <c r="D25" s="573"/>
      <c r="E25" s="568" t="s">
        <v>0</v>
      </c>
      <c r="F25" s="573"/>
      <c r="G25" s="568" t="s">
        <v>0</v>
      </c>
      <c r="H25" s="572"/>
      <c r="I25" s="568" t="s">
        <v>0</v>
      </c>
    </row>
    <row r="26" customFormat="false" ht="20.25" hidden="false" customHeight="false" outlineLevel="0" collapsed="false">
      <c r="A26" s="566" t="s">
        <v>347</v>
      </c>
      <c r="B26" s="575"/>
      <c r="C26" s="568" t="n">
        <f aca="false">-NSG_Supplies!R7/1000</f>
        <v>-28.599</v>
      </c>
      <c r="D26" s="576"/>
      <c r="E26" s="568" t="n">
        <f aca="false">-NSG_Supplies!R7/1000</f>
        <v>-28.599</v>
      </c>
      <c r="F26" s="576"/>
      <c r="G26" s="568" t="n">
        <f aca="false">-NSG_Supplies!R7/1000</f>
        <v>-28.599</v>
      </c>
      <c r="H26" s="575"/>
      <c r="I26" s="577" t="n">
        <f aca="false">-NSG_Supplies!R7/1000</f>
        <v>-28.599</v>
      </c>
    </row>
    <row r="27" customFormat="false" ht="20.25" hidden="false" customHeight="false" outlineLevel="0" collapsed="false">
      <c r="A27" s="566" t="s">
        <v>394</v>
      </c>
      <c r="B27" s="575"/>
      <c r="C27" s="568" t="n">
        <v>0</v>
      </c>
      <c r="D27" s="576"/>
      <c r="E27" s="568" t="n">
        <v>0</v>
      </c>
      <c r="F27" s="576"/>
      <c r="G27" s="568" t="n">
        <v>0</v>
      </c>
      <c r="H27" s="575"/>
      <c r="I27" s="577" t="n">
        <v>0</v>
      </c>
    </row>
    <row r="28" customFormat="false" ht="21" hidden="false" customHeight="false" outlineLevel="0" collapsed="false">
      <c r="A28" s="581" t="s">
        <v>395</v>
      </c>
      <c r="B28" s="582"/>
      <c r="C28" s="568" t="n">
        <f aca="false">-NSG_Supplies!H7/1000+NSG_Requirements!L7/1000</f>
        <v>0</v>
      </c>
      <c r="D28" s="573"/>
      <c r="E28" s="568" t="n">
        <f aca="false">-NSG_Supplies!H7/1000+NSG_Requirements!L7/1000</f>
        <v>0</v>
      </c>
      <c r="F28" s="573"/>
      <c r="G28" s="568" t="n">
        <f aca="false">-NSG_Supplies!H7/1000+NSG_Requirements!L7/1000</f>
        <v>0</v>
      </c>
      <c r="H28" s="582"/>
      <c r="I28" s="583" t="n">
        <f aca="false">-NSG_Supplies!H7/1000+NSG_Requirements!L7/1000</f>
        <v>0</v>
      </c>
    </row>
    <row r="29" customFormat="false" ht="24" hidden="false" customHeight="false" outlineLevel="0" collapsed="false">
      <c r="A29" s="584"/>
      <c r="B29" s="585"/>
      <c r="C29" s="586" t="s">
        <v>384</v>
      </c>
      <c r="D29" s="585"/>
      <c r="E29" s="587"/>
      <c r="F29" s="585"/>
      <c r="G29" s="588" t="s">
        <v>0</v>
      </c>
      <c r="H29" s="585"/>
      <c r="I29" s="589"/>
    </row>
    <row r="30" customFormat="false" ht="20.25" hidden="false" customHeight="false" outlineLevel="0" collapsed="false">
      <c r="A30" s="590" t="s">
        <v>396</v>
      </c>
      <c r="B30" s="591" t="n">
        <f aca="false">NSG_Requirements!O7/1000</f>
        <v>0</v>
      </c>
      <c r="C30" s="592" t="s">
        <v>0</v>
      </c>
      <c r="D30" s="593"/>
      <c r="E30" s="594"/>
      <c r="F30" s="595" t="s">
        <v>397</v>
      </c>
      <c r="G30" s="596"/>
      <c r="H30" s="596"/>
      <c r="I30" s="597"/>
    </row>
    <row r="31" customFormat="false" ht="20.25" hidden="false" customHeight="false" outlineLevel="0" collapsed="false">
      <c r="A31" s="598" t="s">
        <v>398</v>
      </c>
      <c r="B31" s="599" t="n">
        <f aca="false">NSG_Supplies!L7/1000+PGL_Requirements!V7/1000</f>
        <v>0</v>
      </c>
      <c r="C31" s="576"/>
      <c r="D31" s="600"/>
      <c r="E31" s="601"/>
      <c r="F31" s="579"/>
      <c r="G31" s="573"/>
      <c r="H31" s="573"/>
      <c r="I31" s="597"/>
    </row>
    <row r="32" customFormat="false" ht="20.25" hidden="false" customHeight="false" outlineLevel="0" collapsed="false">
      <c r="A32" s="598" t="s">
        <v>399</v>
      </c>
      <c r="B32" s="599" t="n">
        <f aca="false">NSG_Supplies!M7/1000</f>
        <v>0</v>
      </c>
      <c r="C32" s="573"/>
      <c r="D32" s="602"/>
      <c r="E32" s="603"/>
      <c r="F32" s="579"/>
      <c r="G32" s="573"/>
      <c r="H32" s="573"/>
      <c r="I32" s="597"/>
    </row>
    <row r="33" customFormat="false" ht="20.25" hidden="false" customHeight="false" outlineLevel="0" collapsed="false">
      <c r="A33" s="590" t="s">
        <v>400</v>
      </c>
      <c r="B33" s="604" t="n">
        <f aca="false">(NSG_Requirements!S7+NSG_Requirements!T7+NSG_Requirements!U7)/1000</f>
        <v>0</v>
      </c>
      <c r="C33" s="576"/>
      <c r="D33" s="600"/>
      <c r="E33" s="601"/>
      <c r="F33" s="579"/>
      <c r="G33" s="573"/>
      <c r="H33" s="573"/>
      <c r="I33" s="597"/>
    </row>
    <row r="34" customFormat="false" ht="20.25" hidden="false" customHeight="false" outlineLevel="0" collapsed="false">
      <c r="A34" s="590" t="s">
        <v>401</v>
      </c>
      <c r="B34" s="599" t="n">
        <f aca="false">NSG_Requirements!D7/1000</f>
        <v>0</v>
      </c>
      <c r="C34" s="576"/>
      <c r="D34" s="600"/>
      <c r="E34" s="601"/>
      <c r="F34" s="579"/>
      <c r="G34" s="573"/>
      <c r="H34" s="573"/>
      <c r="I34" s="597"/>
    </row>
    <row r="35" customFormat="false" ht="20.25" hidden="false" customHeight="false" outlineLevel="0" collapsed="false">
      <c r="A35" s="598" t="s">
        <v>402</v>
      </c>
      <c r="B35" s="604" t="n">
        <f aca="false">NSG_Requirements!B7/1000</f>
        <v>0</v>
      </c>
      <c r="C35" s="576"/>
      <c r="D35" s="600"/>
      <c r="E35" s="601"/>
      <c r="F35" s="579"/>
      <c r="G35" s="573"/>
      <c r="H35" s="573"/>
      <c r="I35" s="597"/>
    </row>
    <row r="36" customFormat="false" ht="20.25" hidden="false" customHeight="false" outlineLevel="0" collapsed="false">
      <c r="A36" s="598" t="s">
        <v>403</v>
      </c>
      <c r="B36" s="604" t="n">
        <f aca="false">NSG_Supplies!B7/1000</f>
        <v>0</v>
      </c>
      <c r="C36" s="576"/>
      <c r="D36" s="600"/>
      <c r="E36" s="601"/>
      <c r="F36" s="579"/>
      <c r="G36" s="573"/>
      <c r="H36" s="573"/>
      <c r="I36" s="597"/>
    </row>
    <row r="37" customFormat="false" ht="21" hidden="false" customHeight="false" outlineLevel="0" collapsed="false">
      <c r="A37" s="590" t="s">
        <v>168</v>
      </c>
      <c r="B37" s="599" t="n">
        <f aca="false">NSG_Supplies!P7/1000</f>
        <v>0</v>
      </c>
      <c r="C37" s="605"/>
      <c r="D37" s="606"/>
      <c r="E37" s="607"/>
      <c r="F37" s="579"/>
      <c r="G37" s="573"/>
      <c r="H37" s="573"/>
      <c r="I37" s="597"/>
    </row>
    <row r="38" customFormat="false" ht="21" hidden="false" customHeight="false" outlineLevel="0" collapsed="false">
      <c r="A38" s="608" t="s">
        <v>404</v>
      </c>
      <c r="B38" s="609" t="n">
        <f aca="false">-B30+B31+B32-B33-B34-B35+B36+B37</f>
        <v>0</v>
      </c>
      <c r="C38" s="579"/>
      <c r="D38" s="610"/>
      <c r="E38" s="611"/>
      <c r="F38" s="579"/>
      <c r="G38" s="573"/>
      <c r="H38" s="573"/>
      <c r="I38" s="597"/>
    </row>
    <row r="39" customFormat="false" ht="24" hidden="false" customHeight="false" outlineLevel="0" collapsed="false">
      <c r="A39" s="584"/>
      <c r="B39" s="585"/>
      <c r="C39" s="586" t="s">
        <v>405</v>
      </c>
      <c r="D39" s="585"/>
      <c r="E39" s="587"/>
      <c r="F39" s="579"/>
      <c r="G39" s="573"/>
      <c r="H39" s="573"/>
      <c r="I39" s="597"/>
    </row>
    <row r="40" customFormat="false" ht="20.25" hidden="false" customHeight="false" outlineLevel="0" collapsed="false">
      <c r="A40" s="566" t="s">
        <v>406</v>
      </c>
      <c r="B40" s="612" t="n">
        <v>0</v>
      </c>
      <c r="C40" s="579"/>
      <c r="D40" s="613"/>
      <c r="E40" s="614"/>
      <c r="F40" s="579"/>
      <c r="G40" s="573"/>
      <c r="H40" s="573"/>
      <c r="I40" s="597"/>
    </row>
    <row r="41" customFormat="false" ht="20.25" hidden="false" customHeight="false" outlineLevel="0" collapsed="false">
      <c r="A41" s="566" t="s">
        <v>407</v>
      </c>
      <c r="B41" s="615" t="n">
        <f aca="false">NSG_Requirements!J7/1000</f>
        <v>7.801</v>
      </c>
      <c r="C41" s="576"/>
      <c r="D41" s="600"/>
      <c r="E41" s="601"/>
      <c r="F41" s="579"/>
      <c r="G41" s="573"/>
      <c r="H41" s="573"/>
      <c r="I41" s="597"/>
    </row>
    <row r="42" customFormat="false" ht="20.25" hidden="false" customHeight="false" outlineLevel="0" collapsed="false">
      <c r="A42" s="566" t="s">
        <v>408</v>
      </c>
      <c r="B42" s="616" t="n">
        <f aca="false">NSG_Supplies!E7/1000</f>
        <v>0</v>
      </c>
      <c r="C42" s="579"/>
      <c r="D42" s="617"/>
      <c r="E42" s="618"/>
      <c r="F42" s="579"/>
      <c r="G42" s="573"/>
      <c r="H42" s="573"/>
      <c r="I42" s="597"/>
    </row>
    <row r="43" customFormat="false" ht="20.25" hidden="false" customHeight="false" outlineLevel="0" collapsed="false">
      <c r="A43" s="566" t="s">
        <v>409</v>
      </c>
      <c r="B43" s="615" t="n">
        <v>0</v>
      </c>
      <c r="C43" s="576"/>
      <c r="D43" s="600"/>
      <c r="E43" s="601"/>
      <c r="F43" s="579"/>
      <c r="G43" s="573"/>
      <c r="H43" s="573"/>
      <c r="I43" s="597"/>
    </row>
    <row r="44" customFormat="false" ht="20.25" hidden="false" customHeight="false" outlineLevel="0" collapsed="false">
      <c r="A44" s="566" t="s">
        <v>410</v>
      </c>
      <c r="B44" s="615" t="n">
        <v>0</v>
      </c>
      <c r="C44" s="576"/>
      <c r="D44" s="600"/>
      <c r="E44" s="601"/>
      <c r="F44" s="579"/>
      <c r="G44" s="573"/>
      <c r="H44" s="573"/>
      <c r="I44" s="597"/>
    </row>
    <row r="45" customFormat="false" ht="21" hidden="false" customHeight="false" outlineLevel="0" collapsed="false">
      <c r="A45" s="314" t="s">
        <v>411</v>
      </c>
      <c r="B45" s="616" t="n">
        <f aca="false">NSG_Supplies!Q7/1000</f>
        <v>15.215</v>
      </c>
      <c r="C45" s="579"/>
      <c r="D45" s="617"/>
      <c r="E45" s="618"/>
      <c r="F45" s="579"/>
      <c r="G45" s="573"/>
      <c r="H45" s="573"/>
      <c r="I45" s="597"/>
    </row>
    <row r="46" customFormat="false" ht="21" hidden="false" customHeight="false" outlineLevel="0" collapsed="false">
      <c r="A46" s="608" t="s">
        <v>404</v>
      </c>
      <c r="B46" s="619" t="n">
        <f aca="false">B45+B42-B41</f>
        <v>7.414</v>
      </c>
      <c r="C46" s="620"/>
      <c r="D46" s="621"/>
      <c r="E46" s="622"/>
      <c r="F46" s="579"/>
      <c r="G46" s="573"/>
      <c r="H46" s="573"/>
      <c r="I46" s="597"/>
    </row>
    <row r="47" customFormat="false" ht="24" hidden="false" customHeight="false" outlineLevel="0" collapsed="false">
      <c r="A47" s="584"/>
      <c r="B47" s="585"/>
      <c r="C47" s="586" t="s">
        <v>86</v>
      </c>
      <c r="D47" s="585"/>
      <c r="E47" s="587"/>
      <c r="F47" s="579"/>
      <c r="G47" s="573"/>
      <c r="H47" s="573"/>
      <c r="I47" s="597"/>
    </row>
    <row r="48" customFormat="false" ht="20.25" hidden="false" customHeight="false" outlineLevel="0" collapsed="false">
      <c r="A48" s="566" t="s">
        <v>412</v>
      </c>
      <c r="B48" s="623" t="n">
        <f aca="false">(NSG_Requirements!V7+NSG_Requirements!W7+NSG_Requirements!X7)/1000</f>
        <v>0</v>
      </c>
      <c r="C48" s="624"/>
      <c r="D48" s="600"/>
      <c r="E48" s="601"/>
      <c r="F48" s="579"/>
      <c r="G48" s="573"/>
      <c r="H48" s="573"/>
      <c r="I48" s="597"/>
    </row>
    <row r="49" customFormat="false" ht="20.25" hidden="false" customHeight="false" outlineLevel="0" collapsed="false">
      <c r="A49" s="566" t="s">
        <v>413</v>
      </c>
      <c r="B49" s="625" t="n">
        <f aca="false">NSG_Requirements!M7/1000</f>
        <v>0</v>
      </c>
      <c r="C49" s="626"/>
      <c r="D49" s="626"/>
      <c r="E49" s="627"/>
      <c r="F49" s="579"/>
      <c r="G49" s="573"/>
      <c r="H49" s="573"/>
      <c r="I49" s="597"/>
    </row>
    <row r="50" customFormat="false" ht="20.25" hidden="false" customHeight="false" outlineLevel="0" collapsed="false">
      <c r="A50" s="566" t="s">
        <v>401</v>
      </c>
      <c r="B50" s="625" t="n">
        <f aca="false">NSG_Requirements!E7/1000</f>
        <v>0</v>
      </c>
      <c r="C50" s="628"/>
      <c r="D50" s="617"/>
      <c r="E50" s="618"/>
      <c r="F50" s="579"/>
      <c r="G50" s="573"/>
      <c r="H50" s="573"/>
      <c r="I50" s="597"/>
    </row>
    <row r="51" customFormat="false" ht="21" hidden="false" customHeight="false" outlineLevel="0" collapsed="false">
      <c r="A51" s="566" t="s">
        <v>168</v>
      </c>
      <c r="B51" s="629" t="n">
        <f aca="false">NSG_Supplies!O7/1000</f>
        <v>0</v>
      </c>
      <c r="C51" s="624"/>
      <c r="D51" s="600"/>
      <c r="E51" s="601"/>
      <c r="F51" s="579"/>
      <c r="G51" s="573"/>
      <c r="H51" s="573"/>
      <c r="I51" s="597"/>
    </row>
    <row r="52" customFormat="false" ht="24" hidden="false" customHeight="false" outlineLevel="0" collapsed="false">
      <c r="A52" s="584"/>
      <c r="B52" s="585"/>
      <c r="C52" s="586" t="s">
        <v>414</v>
      </c>
      <c r="D52" s="585"/>
      <c r="E52" s="587"/>
      <c r="F52" s="579"/>
      <c r="G52" s="573"/>
      <c r="H52" s="573"/>
      <c r="I52" s="597"/>
    </row>
    <row r="53" customFormat="false" ht="20.25" hidden="false" customHeight="false" outlineLevel="0" collapsed="false">
      <c r="A53" s="630" t="s">
        <v>415</v>
      </c>
      <c r="B53" s="631"/>
      <c r="C53" s="579"/>
      <c r="D53" s="613"/>
      <c r="E53" s="614"/>
      <c r="F53" s="579"/>
      <c r="G53" s="573"/>
      <c r="H53" s="573"/>
      <c r="I53" s="597"/>
    </row>
    <row r="54" customFormat="false" ht="21" hidden="false" customHeight="false" outlineLevel="0" collapsed="false">
      <c r="A54" s="632" t="s">
        <v>416</v>
      </c>
      <c r="B54" s="633"/>
      <c r="C54" s="634"/>
      <c r="D54" s="635"/>
      <c r="E54" s="636"/>
      <c r="F54" s="637"/>
      <c r="G54" s="638"/>
      <c r="H54" s="639"/>
      <c r="I54" s="64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1" width="24.77"/>
    <col collapsed="false" customWidth="true" hidden="false" outlineLevel="0" max="8" min="2" style="641" width="12.77"/>
    <col collapsed="false" customWidth="true" hidden="false" outlineLevel="0" max="9" min="9" style="641" width="14.11"/>
    <col collapsed="false" customWidth="false" hidden="false" outlineLevel="0" max="11" min="10" style="641" width="8.88"/>
    <col collapsed="false" customWidth="true" hidden="false" outlineLevel="0" max="12" min="12" style="641" width="24.77"/>
    <col collapsed="false" customWidth="true" hidden="false" outlineLevel="0" max="20" min="13" style="641" width="12.77"/>
    <col collapsed="false" customWidth="false" hidden="false" outlineLevel="0" max="257" min="21" style="641" width="8.88"/>
  </cols>
  <sheetData>
    <row r="1" customFormat="false" ht="17.1" hidden="false" customHeight="true" outlineLevel="0" collapsed="false">
      <c r="A1" s="642" t="s">
        <v>0</v>
      </c>
      <c r="B1" s="643"/>
      <c r="C1" s="643"/>
      <c r="D1" s="643"/>
      <c r="E1" s="644" t="s">
        <v>277</v>
      </c>
      <c r="F1" s="645" t="n">
        <f aca="false">Weather_Input!A5</f>
        <v>37059</v>
      </c>
      <c r="G1" s="646" t="s">
        <v>0</v>
      </c>
      <c r="H1" s="643"/>
      <c r="I1" s="647"/>
    </row>
    <row r="2" customFormat="false" ht="17.1" hidden="false" customHeight="true" outlineLevel="0" collapsed="false">
      <c r="A2" s="648" t="s">
        <v>0</v>
      </c>
      <c r="B2" s="240"/>
      <c r="C2" s="240"/>
      <c r="D2" s="240" t="s">
        <v>0</v>
      </c>
      <c r="E2" s="240"/>
      <c r="F2" s="240"/>
      <c r="G2" s="240"/>
      <c r="H2" s="240" t="s">
        <v>0</v>
      </c>
      <c r="I2" s="369"/>
    </row>
    <row r="3" customFormat="false" ht="17.1" hidden="false" customHeight="true" outlineLevel="0" collapsed="false">
      <c r="A3" s="648"/>
      <c r="B3" s="649" t="s">
        <v>417</v>
      </c>
      <c r="C3" s="650" t="n">
        <v>44</v>
      </c>
      <c r="D3" s="240"/>
      <c r="E3" s="240"/>
      <c r="F3" s="650" t="s">
        <v>418</v>
      </c>
      <c r="G3" s="650"/>
      <c r="H3" s="240" t="s">
        <v>419</v>
      </c>
      <c r="I3" s="369"/>
    </row>
    <row r="4" customFormat="false" ht="17.1" hidden="false" customHeight="true" outlineLevel="0" collapsed="false">
      <c r="A4" s="651" t="s">
        <v>420</v>
      </c>
      <c r="B4" s="651" t="s">
        <v>420</v>
      </c>
      <c r="C4" s="368" t="s">
        <v>282</v>
      </c>
      <c r="D4" s="368" t="s">
        <v>18</v>
      </c>
      <c r="E4" s="368" t="s">
        <v>282</v>
      </c>
      <c r="F4" s="368" t="s">
        <v>18</v>
      </c>
      <c r="G4" s="368" t="s">
        <v>282</v>
      </c>
      <c r="H4" s="368" t="s">
        <v>18</v>
      </c>
      <c r="I4" s="254" t="s">
        <v>282</v>
      </c>
    </row>
    <row r="5" customFormat="false" ht="17.1" hidden="false" customHeight="true" outlineLevel="0" collapsed="false">
      <c r="A5" s="651" t="s">
        <v>421</v>
      </c>
      <c r="B5" s="368" t="n">
        <f aca="false">Weather_Input!B5</f>
        <v>87</v>
      </c>
      <c r="C5" s="368" t="n">
        <f aca="false">Weather_Input!C5</f>
        <v>66</v>
      </c>
      <c r="D5" s="368"/>
      <c r="E5" s="368"/>
      <c r="F5" s="368"/>
      <c r="G5" s="368"/>
      <c r="H5" s="368"/>
      <c r="I5" s="254"/>
    </row>
    <row r="6" customFormat="false" ht="17.1" hidden="false" customHeight="true" outlineLevel="0" collapsed="false">
      <c r="A6" s="651" t="s">
        <v>422</v>
      </c>
      <c r="B6" s="252"/>
      <c r="C6" s="253"/>
      <c r="D6" s="253"/>
      <c r="E6" s="253"/>
      <c r="F6" s="253"/>
      <c r="G6" s="253"/>
      <c r="H6" s="253"/>
      <c r="I6" s="254"/>
    </row>
    <row r="7" customFormat="false" ht="17.1" hidden="false" customHeight="true" outlineLevel="0" collapsed="false">
      <c r="A7" s="648" t="s">
        <v>423</v>
      </c>
      <c r="B7" s="652"/>
      <c r="C7" s="653"/>
      <c r="D7" s="240"/>
      <c r="E7" s="652"/>
      <c r="F7" s="653"/>
      <c r="G7" s="653"/>
      <c r="H7" s="653"/>
      <c r="I7" s="369"/>
    </row>
    <row r="8" customFormat="false" ht="17.1" hidden="false" customHeight="true" outlineLevel="0" collapsed="false">
      <c r="A8" s="654" t="s">
        <v>424</v>
      </c>
      <c r="B8" s="655" t="n">
        <f aca="false">PGL_Deliveries!C5/1000</f>
        <v>185</v>
      </c>
      <c r="C8" s="656" t="n">
        <f aca="false">NSG_Deliveries!C5/1000</f>
        <v>34</v>
      </c>
      <c r="D8" s="655" t="s">
        <v>0</v>
      </c>
      <c r="E8" s="657"/>
      <c r="F8" s="658"/>
      <c r="G8" s="658"/>
      <c r="H8" s="658"/>
      <c r="I8" s="647"/>
    </row>
    <row r="9" customFormat="false" ht="17.1" hidden="false" customHeight="true" outlineLevel="0" collapsed="false">
      <c r="A9" s="659"/>
      <c r="B9" s="660" t="s">
        <v>63</v>
      </c>
      <c r="C9" s="660" t="s">
        <v>124</v>
      </c>
      <c r="D9" s="661"/>
      <c r="E9" s="661"/>
      <c r="F9" s="661"/>
      <c r="G9" s="661"/>
      <c r="H9" s="661"/>
      <c r="I9" s="662"/>
    </row>
    <row r="10" customFormat="false" ht="17.1" hidden="false" customHeight="true" outlineLevel="0" collapsed="false">
      <c r="A10" s="663" t="s">
        <v>85</v>
      </c>
      <c r="B10" s="310" t="n">
        <f aca="false">B62</f>
        <v>0</v>
      </c>
      <c r="C10" s="252"/>
      <c r="D10" s="368"/>
      <c r="E10" s="252"/>
      <c r="F10" s="252"/>
      <c r="G10" s="252"/>
      <c r="H10" s="252"/>
      <c r="I10" s="254" t="s">
        <v>0</v>
      </c>
    </row>
    <row r="11" customFormat="false" ht="17.1" hidden="false" customHeight="true" outlineLevel="0" collapsed="false">
      <c r="A11" s="648" t="s">
        <v>425</v>
      </c>
      <c r="B11" s="310" t="n">
        <f aca="false">+B54</f>
        <v>133.673</v>
      </c>
      <c r="C11" s="664" t="s">
        <v>0</v>
      </c>
      <c r="D11" s="368"/>
      <c r="E11" s="664" t="str">
        <f aca="false">+C11</f>
        <v> </v>
      </c>
      <c r="F11" s="252"/>
      <c r="G11" s="664" t="str">
        <f aca="false">+C11</f>
        <v> </v>
      </c>
      <c r="H11" s="252"/>
      <c r="I11" s="304" t="str">
        <f aca="false">+C11</f>
        <v> </v>
      </c>
    </row>
    <row r="12" customFormat="false" ht="17.1" hidden="false" customHeight="true" outlineLevel="0" collapsed="false">
      <c r="A12" s="648" t="s">
        <v>426</v>
      </c>
      <c r="B12" s="310" t="n">
        <f aca="false">PGL_Supplies!K7/1000</f>
        <v>0</v>
      </c>
      <c r="C12" s="664"/>
      <c r="D12" s="368"/>
      <c r="E12" s="252"/>
      <c r="F12" s="252"/>
      <c r="G12" s="252"/>
      <c r="H12" s="252"/>
      <c r="I12" s="254"/>
    </row>
    <row r="13" customFormat="false" ht="17.1" hidden="false" customHeight="true" outlineLevel="0" collapsed="false">
      <c r="A13" s="648" t="s">
        <v>94</v>
      </c>
      <c r="B13" s="310" t="n">
        <f aca="false">PGL_Supplies!I7/1000</f>
        <v>19.913</v>
      </c>
      <c r="C13" s="252"/>
      <c r="D13" s="665"/>
      <c r="E13" s="252"/>
      <c r="F13" s="252"/>
      <c r="G13" s="252"/>
      <c r="H13" s="252"/>
      <c r="I13" s="254"/>
    </row>
    <row r="14" customFormat="false" ht="17.1" hidden="false" customHeight="true" outlineLevel="0" collapsed="false">
      <c r="A14" s="648" t="s">
        <v>427</v>
      </c>
      <c r="B14" s="323" t="n">
        <f aca="false">+B72</f>
        <v>-70.91</v>
      </c>
      <c r="C14" s="252"/>
      <c r="D14" s="368"/>
      <c r="E14" s="252"/>
      <c r="F14" s="252"/>
      <c r="G14" s="252"/>
      <c r="H14" s="252"/>
      <c r="I14" s="254"/>
    </row>
    <row r="15" customFormat="false" ht="17.1" hidden="false" customHeight="true" outlineLevel="0" collapsed="false">
      <c r="A15" s="648" t="s">
        <v>67</v>
      </c>
      <c r="B15" s="310" t="n">
        <f aca="false">+B46</f>
        <v>0.418</v>
      </c>
      <c r="C15" s="252" t="s">
        <v>0</v>
      </c>
      <c r="D15" s="368" t="s">
        <v>0</v>
      </c>
      <c r="E15" s="252"/>
      <c r="F15" s="665"/>
      <c r="G15" s="252"/>
      <c r="H15" s="252"/>
      <c r="I15" s="254"/>
    </row>
    <row r="16" customFormat="false" ht="17.1" hidden="false" customHeight="true" outlineLevel="0" collapsed="false">
      <c r="A16" s="648" t="s">
        <v>428</v>
      </c>
      <c r="B16" s="310" t="n">
        <f aca="false">PGL_Requirements!G7/1000</f>
        <v>22.698</v>
      </c>
      <c r="C16" s="252"/>
      <c r="D16" s="368"/>
      <c r="E16" s="252"/>
      <c r="F16" s="666" t="s">
        <v>0</v>
      </c>
      <c r="G16" s="252"/>
      <c r="H16" s="252"/>
      <c r="I16" s="254"/>
    </row>
    <row r="17" customFormat="false" ht="17.1" hidden="false" customHeight="true" outlineLevel="0" collapsed="false">
      <c r="A17" s="648" t="s">
        <v>429</v>
      </c>
      <c r="B17" s="310" t="n">
        <f aca="false">PGL_Supplies!B7/1000</f>
        <v>0</v>
      </c>
      <c r="C17" s="252"/>
      <c r="D17" s="240"/>
      <c r="E17" s="252"/>
      <c r="F17" s="252"/>
      <c r="G17" s="252"/>
      <c r="H17" s="252"/>
      <c r="I17" s="667"/>
    </row>
    <row r="18" customFormat="false" ht="17.1" hidden="false" customHeight="true" outlineLevel="0" collapsed="false">
      <c r="A18" s="668" t="s">
        <v>430</v>
      </c>
      <c r="B18" s="669" t="n">
        <f aca="false">-B10-B11-B12-B13-B14-B15+B16-B17</f>
        <v>-60.396</v>
      </c>
      <c r="C18" s="670" t="n">
        <f aca="false">-I63</f>
        <v>-0</v>
      </c>
      <c r="D18" s="671" t="s">
        <v>0</v>
      </c>
      <c r="E18" s="670" t="n">
        <f aca="false">-I63</f>
        <v>-0</v>
      </c>
      <c r="F18" s="671" t="s">
        <v>0</v>
      </c>
      <c r="G18" s="670" t="n">
        <f aca="false">-I63</f>
        <v>-0</v>
      </c>
      <c r="H18" s="671" t="s">
        <v>0</v>
      </c>
      <c r="I18" s="672"/>
    </row>
    <row r="19" customFormat="false" ht="17.1" hidden="false" customHeight="true" outlineLevel="0" collapsed="false">
      <c r="A19" s="673" t="s">
        <v>75</v>
      </c>
      <c r="B19" s="300" t="n">
        <f aca="false">-PGL_Supplies!J7/1000</f>
        <v>-0</v>
      </c>
      <c r="C19" s="674" t="n">
        <f aca="false">-NSG_Supplies!U7/1000</f>
        <v>-0</v>
      </c>
      <c r="D19" s="643"/>
      <c r="E19" s="657"/>
      <c r="F19" s="643"/>
      <c r="G19" s="657"/>
      <c r="H19" s="658"/>
      <c r="I19" s="254"/>
    </row>
    <row r="20" customFormat="false" ht="17.1" hidden="false" customHeight="true" outlineLevel="0" collapsed="false">
      <c r="A20" s="673" t="s">
        <v>431</v>
      </c>
      <c r="B20" s="310" t="n">
        <f aca="false">B8+B18+B19</f>
        <v>124.604</v>
      </c>
      <c r="C20" s="675" t="n">
        <f aca="false">C8+C18+C19</f>
        <v>34</v>
      </c>
      <c r="D20" s="368"/>
      <c r="E20" s="252"/>
      <c r="F20" s="368"/>
      <c r="G20" s="252"/>
      <c r="H20" s="253"/>
      <c r="I20" s="369"/>
    </row>
    <row r="21" customFormat="false" ht="17.1" hidden="false" customHeight="true" outlineLevel="0" collapsed="false">
      <c r="A21" s="673" t="s">
        <v>432</v>
      </c>
      <c r="B21" s="310" t="n">
        <v>0</v>
      </c>
      <c r="C21" s="252"/>
      <c r="D21" s="368"/>
      <c r="E21" s="252"/>
      <c r="F21" s="368"/>
      <c r="G21" s="252"/>
      <c r="H21" s="253"/>
      <c r="I21" s="375"/>
    </row>
    <row r="22" customFormat="false" ht="17.1" hidden="false" customHeight="true" outlineLevel="0" collapsed="false">
      <c r="A22" s="673" t="s">
        <v>433</v>
      </c>
      <c r="B22" s="310" t="n">
        <f aca="false">+B44</f>
        <v>2.61465</v>
      </c>
      <c r="C22" s="252"/>
      <c r="D22" s="368"/>
      <c r="E22" s="252"/>
      <c r="F22" s="384" t="s">
        <v>0</v>
      </c>
      <c r="G22" s="666"/>
      <c r="H22" s="676" t="s">
        <v>0</v>
      </c>
      <c r="I22" s="369"/>
    </row>
    <row r="23" customFormat="false" ht="17.1" hidden="false" customHeight="true" outlineLevel="0" collapsed="false">
      <c r="A23" s="677" t="s">
        <v>434</v>
      </c>
      <c r="B23" s="678" t="n">
        <f aca="false">B20+B21+B22</f>
        <v>127.21865</v>
      </c>
      <c r="C23" s="679" t="n">
        <f aca="false">C20</f>
        <v>34</v>
      </c>
      <c r="D23" s="368"/>
      <c r="E23" s="252"/>
      <c r="F23" s="680"/>
      <c r="G23" s="252"/>
      <c r="H23" s="681" t="s">
        <v>0</v>
      </c>
      <c r="I23" s="682" t="s">
        <v>0</v>
      </c>
    </row>
    <row r="24" customFormat="false" ht="17.1" hidden="false" customHeight="true" outlineLevel="0" collapsed="false">
      <c r="A24" s="683" t="s">
        <v>435</v>
      </c>
      <c r="B24" s="666" t="n">
        <f aca="false">-NSG_Requirements!$L$7/1000</f>
        <v>-0</v>
      </c>
      <c r="C24" s="666" t="n">
        <f aca="false">NSG_Requirements!$L$7/1000</f>
        <v>0</v>
      </c>
      <c r="D24" s="341" t="n">
        <f aca="false">B24</f>
        <v>-0</v>
      </c>
      <c r="E24" s="666" t="n">
        <f aca="false">C24</f>
        <v>0</v>
      </c>
      <c r="F24" s="341" t="n">
        <f aca="false">B24</f>
        <v>-0</v>
      </c>
      <c r="G24" s="666" t="n">
        <f aca="false">C24</f>
        <v>0</v>
      </c>
      <c r="H24" s="684" t="n">
        <f aca="false">B24</f>
        <v>-0</v>
      </c>
      <c r="I24" s="685" t="n">
        <f aca="false">C24</f>
        <v>0</v>
      </c>
    </row>
    <row r="25" customFormat="false" ht="17.1" hidden="false" customHeight="true" outlineLevel="0" collapsed="false">
      <c r="A25" s="659"/>
      <c r="B25" s="661"/>
      <c r="C25" s="661" t="s">
        <v>0</v>
      </c>
      <c r="D25" s="661"/>
      <c r="E25" s="661"/>
      <c r="F25" s="661"/>
      <c r="G25" s="661"/>
      <c r="H25" s="661"/>
      <c r="I25" s="662"/>
    </row>
    <row r="26" customFormat="false" ht="17.25" hidden="false" customHeight="true" outlineLevel="0" collapsed="false">
      <c r="A26" s="686" t="s">
        <v>436</v>
      </c>
      <c r="B26" s="687" t="n">
        <f aca="false">PGL_Requirements!L7/1000</f>
        <v>0</v>
      </c>
      <c r="C26" s="687" t="n">
        <f aca="false">NSG_Requirements!C7/1000</f>
        <v>0</v>
      </c>
      <c r="D26" s="687" t="n">
        <f aca="false">B26</f>
        <v>0</v>
      </c>
      <c r="E26" s="687" t="n">
        <f aca="false">+C26</f>
        <v>0</v>
      </c>
      <c r="F26" s="687" t="n">
        <f aca="false">B26</f>
        <v>0</v>
      </c>
      <c r="G26" s="687" t="n">
        <f aca="false">+C26</f>
        <v>0</v>
      </c>
      <c r="H26" s="688" t="n">
        <f aca="false">B26</f>
        <v>0</v>
      </c>
      <c r="I26" s="689" t="n">
        <f aca="false">+C26</f>
        <v>0</v>
      </c>
    </row>
    <row r="27" customFormat="false" ht="17.25" hidden="false" customHeight="true" outlineLevel="0" collapsed="false">
      <c r="A27" s="686" t="s">
        <v>437</v>
      </c>
      <c r="B27" s="687" t="n">
        <f aca="false">PGL_Requirements!R7/1000</f>
        <v>0.59</v>
      </c>
      <c r="C27" s="687" t="n">
        <f aca="false">NSG_Requirements!P7/1000</f>
        <v>0</v>
      </c>
      <c r="D27" s="687" t="n">
        <f aca="false">PGL_Requirements!R7/1000</f>
        <v>0.59</v>
      </c>
      <c r="E27" s="687" t="n">
        <f aca="false">NSG_Requirements!P7/1000</f>
        <v>0</v>
      </c>
      <c r="F27" s="687" t="n">
        <f aca="false">PGL_Requirements!R7/1000</f>
        <v>0.59</v>
      </c>
      <c r="G27" s="687" t="n">
        <f aca="false">NSG_Requirements!P7/1000</f>
        <v>0</v>
      </c>
      <c r="H27" s="688" t="n">
        <f aca="false">+B27</f>
        <v>0.59</v>
      </c>
      <c r="I27" s="689" t="n">
        <f aca="false">+C27</f>
        <v>0</v>
      </c>
    </row>
    <row r="28" customFormat="false" ht="17.1" hidden="false" customHeight="true" outlineLevel="0" collapsed="false">
      <c r="A28" s="690" t="s">
        <v>438</v>
      </c>
      <c r="B28" s="691" t="n">
        <v>0</v>
      </c>
      <c r="C28" s="691" t="n">
        <v>0</v>
      </c>
      <c r="D28" s="691" t="n">
        <v>0</v>
      </c>
      <c r="E28" s="691" t="n">
        <v>0</v>
      </c>
      <c r="F28" s="691" t="n">
        <v>0</v>
      </c>
      <c r="G28" s="691" t="n">
        <f aca="false">C28</f>
        <v>0</v>
      </c>
      <c r="H28" s="692" t="n">
        <f aca="false">B28</f>
        <v>0</v>
      </c>
      <c r="I28" s="693" t="n">
        <f aca="false">C28</f>
        <v>0</v>
      </c>
    </row>
    <row r="29" customFormat="false" ht="17.1" hidden="false" customHeight="true" outlineLevel="0" collapsed="false">
      <c r="A29" s="690" t="s">
        <v>439</v>
      </c>
      <c r="B29" s="694" t="n">
        <f aca="false">-PGL_Supplies!N7/1000</f>
        <v>-0</v>
      </c>
      <c r="C29" s="694" t="n">
        <f aca="false">-NSG_Supplies!I7/1000</f>
        <v>-0</v>
      </c>
      <c r="D29" s="691" t="n">
        <f aca="false">-PGL_Supplies!N7/1000</f>
        <v>-0</v>
      </c>
      <c r="E29" s="691" t="n">
        <f aca="false">-NSG_Supplies!I7/1000</f>
        <v>-0</v>
      </c>
      <c r="F29" s="691" t="n">
        <f aca="false">-PGL_Supplies!N7/1000</f>
        <v>-0</v>
      </c>
      <c r="G29" s="691" t="n">
        <f aca="false">-NSG_Supplies!I7/1000</f>
        <v>-0</v>
      </c>
      <c r="H29" s="692" t="n">
        <f aca="false">-PGL_Supplies!N7/1000</f>
        <v>-0</v>
      </c>
      <c r="I29" s="693" t="n">
        <f aca="false">-NSG_Supplies!I7/1000</f>
        <v>-0</v>
      </c>
    </row>
    <row r="30" customFormat="false" ht="17.1" hidden="false" customHeight="true" outlineLevel="0" collapsed="false">
      <c r="A30" s="690" t="s">
        <v>440</v>
      </c>
      <c r="B30" s="691" t="n">
        <f aca="false">-PGL_Supplies!O7/1000</f>
        <v>-0</v>
      </c>
      <c r="C30" s="691" t="n">
        <f aca="false">-NSG_Supplies!J7/1000</f>
        <v>-0</v>
      </c>
      <c r="D30" s="691" t="n">
        <f aca="false">-PGL_Supplies!O7/1000</f>
        <v>-0</v>
      </c>
      <c r="E30" s="691" t="n">
        <f aca="false">-NSG_Supplies!J7/1000</f>
        <v>-0</v>
      </c>
      <c r="F30" s="691" t="n">
        <f aca="false">-PGL_Supplies!O7/1000</f>
        <v>-0</v>
      </c>
      <c r="G30" s="691" t="n">
        <f aca="false">-NSG_Supplies!J7/1000</f>
        <v>-0</v>
      </c>
      <c r="H30" s="692" t="n">
        <f aca="false">-PGL_Supplies!O7/1000</f>
        <v>-0</v>
      </c>
      <c r="I30" s="693" t="n">
        <f aca="false">-NSG_Supplies!J7/1000</f>
        <v>-0</v>
      </c>
    </row>
    <row r="31" customFormat="false" ht="17.1" hidden="false" customHeight="true" outlineLevel="0" collapsed="false">
      <c r="A31" s="695" t="s">
        <v>441</v>
      </c>
      <c r="B31" s="696" t="n">
        <f aca="false">(PGL_Requirements!$Y$7+PGL_Requirements!$Z$7+PGL_Requirements!$AA$7)/1000+(NSG_Requirements!$Y$7+NSG_Requirements!$Z$7+NSG_Requirements!$AA$7)/1000</f>
        <v>0</v>
      </c>
      <c r="C31" s="696" t="n">
        <f aca="false">-(PGL_Requirements!$Y$7+PGL_Requirements!$Z$7+PGL_Requirements!$AA$7)/1000+(NSG_Requirements!$Y$7+NSG_Requirements!$Z$7+NSG_Requirements!$AA$7)/1000</f>
        <v>0</v>
      </c>
      <c r="D31" s="687" t="n">
        <f aca="false">+B31</f>
        <v>0</v>
      </c>
      <c r="E31" s="691" t="n">
        <f aca="false">+C31</f>
        <v>0</v>
      </c>
      <c r="F31" s="687" t="n">
        <f aca="false">+B31</f>
        <v>0</v>
      </c>
      <c r="G31" s="691" t="n">
        <f aca="false">+E31</f>
        <v>0</v>
      </c>
      <c r="H31" s="688" t="n">
        <f aca="false">+B31</f>
        <v>0</v>
      </c>
      <c r="I31" s="689" t="n">
        <f aca="false">+C31</f>
        <v>0</v>
      </c>
    </row>
    <row r="32" customFormat="false" ht="17.1" hidden="false" customHeight="true" outlineLevel="0" collapsed="false">
      <c r="A32" s="690" t="s">
        <v>347</v>
      </c>
      <c r="B32" s="691" t="n">
        <f aca="false">-PGL_Supplies!AC7/1000</f>
        <v>-20.668</v>
      </c>
      <c r="C32" s="691" t="n">
        <f aca="false">-NSG_Supplies!R7/1000</f>
        <v>-28.599</v>
      </c>
      <c r="D32" s="691" t="n">
        <f aca="false">B32</f>
        <v>-20.668</v>
      </c>
      <c r="E32" s="691" t="n">
        <f aca="false">C32</f>
        <v>-28.599</v>
      </c>
      <c r="F32" s="691" t="n">
        <f aca="false">B32</f>
        <v>-20.668</v>
      </c>
      <c r="G32" s="691" t="n">
        <f aca="false">C32</f>
        <v>-28.599</v>
      </c>
      <c r="H32" s="692" t="n">
        <f aca="false">B32</f>
        <v>-20.668</v>
      </c>
      <c r="I32" s="693" t="n">
        <f aca="false">C32</f>
        <v>-28.599</v>
      </c>
    </row>
    <row r="33" customFormat="false" ht="17.1" hidden="false" customHeight="true" outlineLevel="0" collapsed="false">
      <c r="A33" s="690" t="s">
        <v>442</v>
      </c>
      <c r="B33" s="691" t="n">
        <f aca="false">-PGL_Supplies!X7/1000</f>
        <v>-18</v>
      </c>
      <c r="C33" s="691" t="n">
        <f aca="false">-NSG_Supplies!S7/1000</f>
        <v>-16.725</v>
      </c>
      <c r="D33" s="691" t="n">
        <f aca="false">B33</f>
        <v>-18</v>
      </c>
      <c r="E33" s="691" t="n">
        <f aca="false">C33</f>
        <v>-16.725</v>
      </c>
      <c r="F33" s="691" t="n">
        <f aca="false">B33</f>
        <v>-18</v>
      </c>
      <c r="G33" s="691" t="n">
        <f aca="false">C33</f>
        <v>-16.725</v>
      </c>
      <c r="H33" s="692" t="n">
        <f aca="false">B33</f>
        <v>-18</v>
      </c>
      <c r="I33" s="693" t="n">
        <f aca="false">C33</f>
        <v>-16.725</v>
      </c>
    </row>
    <row r="34" customFormat="false" ht="17.1" hidden="false" customHeight="true" outlineLevel="0" collapsed="false">
      <c r="A34" s="686" t="s">
        <v>443</v>
      </c>
      <c r="B34" s="687" t="n">
        <f aca="false">PGL_Requirements!S7/1000</f>
        <v>0</v>
      </c>
      <c r="C34" s="687" t="s">
        <v>0</v>
      </c>
      <c r="D34" s="687" t="n">
        <f aca="false">+B34</f>
        <v>0</v>
      </c>
      <c r="E34" s="247"/>
      <c r="F34" s="687" t="n">
        <f aca="false">+D34</f>
        <v>0</v>
      </c>
      <c r="G34" s="247"/>
      <c r="H34" s="688" t="n">
        <f aca="false">+B34</f>
        <v>0</v>
      </c>
      <c r="I34" s="689" t="str">
        <f aca="false">+C34</f>
        <v> </v>
      </c>
    </row>
    <row r="35" customFormat="false" ht="17.1" hidden="false" customHeight="true" outlineLevel="0" collapsed="false">
      <c r="A35" s="697" t="s">
        <v>444</v>
      </c>
      <c r="B35" s="687" t="n">
        <f aca="false">PGL_Requirements!O7/1000</f>
        <v>2.533</v>
      </c>
      <c r="C35" s="687" t="n">
        <f aca="false">NSG_Requirements!H7/1000</f>
        <v>2</v>
      </c>
      <c r="D35" s="247"/>
      <c r="E35" s="247"/>
      <c r="F35" s="247"/>
      <c r="G35" s="247"/>
      <c r="H35" s="698"/>
      <c r="I35" s="699"/>
    </row>
    <row r="36" customFormat="false" ht="17.1" hidden="false" customHeight="true" outlineLevel="0" collapsed="false">
      <c r="A36" s="697" t="s">
        <v>445</v>
      </c>
      <c r="B36" s="691" t="n">
        <f aca="false">-PGL_Supplies!L7/1000</f>
        <v>-0</v>
      </c>
      <c r="C36" s="691" t="n">
        <f aca="false">-NSG_Supplies!F7/1000</f>
        <v>-0</v>
      </c>
      <c r="D36" s="247"/>
      <c r="E36" s="247"/>
      <c r="F36" s="247"/>
      <c r="G36" s="247"/>
      <c r="H36" s="698"/>
      <c r="I36" s="699"/>
    </row>
    <row r="37" customFormat="false" ht="17.1" hidden="false" customHeight="true" outlineLevel="0" collapsed="false">
      <c r="A37" s="690" t="s">
        <v>446</v>
      </c>
      <c r="B37" s="687" t="n">
        <f aca="false">PGL_Requirements!M7/1000</f>
        <v>0</v>
      </c>
      <c r="C37" s="700" t="s">
        <v>0</v>
      </c>
      <c r="D37" s="687" t="n">
        <f aca="false">PGL_Requirements!M7/1000</f>
        <v>0</v>
      </c>
      <c r="E37" s="247"/>
      <c r="F37" s="687" t="n">
        <f aca="false">PGL_Requirements!M7/1000</f>
        <v>0</v>
      </c>
      <c r="G37" s="687" t="s">
        <v>0</v>
      </c>
      <c r="H37" s="698"/>
      <c r="I37" s="701"/>
    </row>
    <row r="38" customFormat="false" ht="17.1" hidden="false" customHeight="true" outlineLevel="0" collapsed="false">
      <c r="A38" s="702" t="s">
        <v>447</v>
      </c>
      <c r="B38" s="687" t="e">
        <f aca="false">#REF!/1000</f>
        <v>#REF!</v>
      </c>
      <c r="C38" s="691" t="n">
        <f aca="false">NSG_Supplies!K7/1000</f>
        <v>0</v>
      </c>
      <c r="D38" s="247"/>
      <c r="E38" s="247"/>
      <c r="F38" s="247"/>
      <c r="G38" s="247"/>
      <c r="H38" s="233" t="e">
        <f aca="false">B38</f>
        <v>#REF!</v>
      </c>
      <c r="I38" s="701"/>
    </row>
    <row r="39" customFormat="false" ht="17.1" hidden="false" customHeight="true" outlineLevel="0" collapsed="false">
      <c r="A39" s="290" t="s">
        <v>0</v>
      </c>
      <c r="B39" s="703" t="s">
        <v>448</v>
      </c>
      <c r="C39" s="704"/>
      <c r="D39" s="705"/>
      <c r="E39" s="706"/>
      <c r="F39" s="433" t="s">
        <v>350</v>
      </c>
      <c r="G39" s="433"/>
      <c r="H39" s="433"/>
      <c r="I39" s="433"/>
    </row>
    <row r="40" customFormat="false" ht="17.1" hidden="false" customHeight="true" outlineLevel="0" collapsed="false">
      <c r="A40" s="232" t="s">
        <v>99</v>
      </c>
      <c r="B40" s="691" t="n">
        <f aca="false">PGL_Requirements!P7/1000</f>
        <v>174.31</v>
      </c>
      <c r="C40" s="691" t="s">
        <v>0</v>
      </c>
      <c r="D40" s="707"/>
      <c r="E40" s="701"/>
      <c r="F40" s="708" t="s">
        <v>449</v>
      </c>
      <c r="G40" s="247"/>
      <c r="H40" s="709"/>
      <c r="I40" s="710"/>
    </row>
    <row r="41" customFormat="false" ht="17.1" hidden="false" customHeight="true" outlineLevel="0" collapsed="false">
      <c r="A41" s="232" t="s">
        <v>450</v>
      </c>
      <c r="B41" s="233" t="n">
        <f aca="false">PGL_Supplies!M7/1000</f>
        <v>0</v>
      </c>
      <c r="C41" s="691" t="s">
        <v>0</v>
      </c>
      <c r="D41" s="247"/>
      <c r="E41" s="701"/>
      <c r="F41" s="711" t="s">
        <v>451</v>
      </c>
      <c r="G41" s="247"/>
      <c r="H41" s="698"/>
      <c r="I41" s="710"/>
    </row>
    <row r="42" customFormat="false" ht="17.1" hidden="false" customHeight="true" outlineLevel="0" collapsed="false">
      <c r="A42" s="232" t="s">
        <v>452</v>
      </c>
      <c r="B42" s="691" t="n">
        <f aca="false">PGL_Requirements!B7/1000</f>
        <v>0</v>
      </c>
      <c r="C42" s="691" t="s">
        <v>0</v>
      </c>
      <c r="D42" s="247"/>
      <c r="E42" s="701"/>
      <c r="F42" s="711" t="s">
        <v>453</v>
      </c>
      <c r="G42" s="247"/>
      <c r="H42" s="698"/>
      <c r="I42" s="710"/>
    </row>
    <row r="43" customFormat="false" ht="17.1" hidden="false" customHeight="true" outlineLevel="0" collapsed="false">
      <c r="A43" s="232" t="s">
        <v>454</v>
      </c>
      <c r="B43" s="691" t="n">
        <f aca="false">PGL_Supplies!H7/1000</f>
        <v>0.418</v>
      </c>
      <c r="C43" s="247"/>
      <c r="D43" s="247"/>
      <c r="E43" s="701"/>
      <c r="F43" s="711" t="s">
        <v>455</v>
      </c>
      <c r="G43" s="247"/>
      <c r="H43" s="698"/>
      <c r="I43" s="710"/>
    </row>
    <row r="44" customFormat="false" ht="17.1" hidden="false" customHeight="true" outlineLevel="0" collapsed="false">
      <c r="A44" s="232" t="s">
        <v>433</v>
      </c>
      <c r="B44" s="712" t="n">
        <f aca="false">+B48+B47+B45</f>
        <v>2.61465</v>
      </c>
      <c r="C44" s="713"/>
      <c r="D44" s="247"/>
      <c r="E44" s="701"/>
      <c r="F44" s="711" t="s">
        <v>456</v>
      </c>
      <c r="G44" s="247"/>
      <c r="H44" s="698"/>
      <c r="I44" s="710"/>
    </row>
    <row r="45" customFormat="false" ht="17.1" hidden="false" customHeight="true" outlineLevel="0" collapsed="false">
      <c r="A45" s="232" t="s">
        <v>101</v>
      </c>
      <c r="B45" s="691" t="n">
        <f aca="false">PGL_Requirements!Q7/1000</f>
        <v>2.61465</v>
      </c>
      <c r="C45" s="247"/>
      <c r="D45" s="247"/>
      <c r="E45" s="701"/>
      <c r="F45" s="714" t="s">
        <v>457</v>
      </c>
      <c r="G45" s="247"/>
      <c r="H45" s="698"/>
      <c r="I45" s="710"/>
    </row>
    <row r="46" customFormat="false" ht="17.1" hidden="false" customHeight="true" outlineLevel="0" collapsed="false">
      <c r="A46" s="690" t="s">
        <v>458</v>
      </c>
      <c r="B46" s="691" t="n">
        <f aca="false">+B47+B43+B41</f>
        <v>0.418</v>
      </c>
      <c r="C46" s="247"/>
      <c r="D46" s="247"/>
      <c r="E46" s="701"/>
      <c r="F46" s="711" t="s">
        <v>459</v>
      </c>
      <c r="G46" s="247"/>
      <c r="H46" s="698"/>
      <c r="I46" s="710"/>
    </row>
    <row r="47" customFormat="false" ht="17.1" hidden="false" customHeight="true" outlineLevel="0" collapsed="false">
      <c r="A47" s="232" t="s">
        <v>330</v>
      </c>
      <c r="B47" s="715" t="n">
        <v>0</v>
      </c>
      <c r="C47" s="247"/>
      <c r="D47" s="247"/>
      <c r="E47" s="701"/>
      <c r="F47" s="711" t="s">
        <v>460</v>
      </c>
      <c r="G47" s="247"/>
      <c r="H47" s="698"/>
      <c r="I47" s="710"/>
    </row>
    <row r="48" customFormat="false" ht="17.1" hidden="false" customHeight="true" outlineLevel="0" collapsed="false">
      <c r="A48" s="232" t="s">
        <v>327</v>
      </c>
      <c r="B48" s="716" t="n">
        <v>0</v>
      </c>
      <c r="C48" s="717"/>
      <c r="D48" s="717"/>
      <c r="E48" s="718"/>
      <c r="F48" s="711" t="s">
        <v>461</v>
      </c>
      <c r="G48" s="247"/>
      <c r="H48" s="698"/>
      <c r="I48" s="710"/>
    </row>
    <row r="49" customFormat="false" ht="17.1" hidden="false" customHeight="true" outlineLevel="0" collapsed="false">
      <c r="A49" s="719" t="s">
        <v>0</v>
      </c>
      <c r="B49" s="720" t="s">
        <v>462</v>
      </c>
      <c r="C49" s="720"/>
      <c r="D49" s="720"/>
      <c r="E49" s="721" t="s">
        <v>0</v>
      </c>
      <c r="F49" s="722" t="s">
        <v>463</v>
      </c>
      <c r="G49" s="269"/>
      <c r="H49" s="723"/>
      <c r="I49" s="710"/>
    </row>
    <row r="50" customFormat="false" ht="17.1" hidden="false" customHeight="true" outlineLevel="0" collapsed="false">
      <c r="A50" s="232" t="s">
        <v>464</v>
      </c>
      <c r="B50" s="233" t="n">
        <f aca="false">PGL_Supplies!V7/1000+PGL_Supplies!D7/1000</f>
        <v>133.673</v>
      </c>
      <c r="C50" s="247"/>
      <c r="D50" s="247"/>
      <c r="E50" s="247"/>
      <c r="F50" s="690" t="s">
        <v>465</v>
      </c>
      <c r="G50" s="724"/>
      <c r="H50" s="397"/>
      <c r="I50" s="710"/>
    </row>
    <row r="51" customFormat="false" ht="17.1" hidden="false" customHeight="true" outlineLevel="0" collapsed="false">
      <c r="A51" s="232" t="s">
        <v>466</v>
      </c>
      <c r="B51" s="233" t="n">
        <f aca="false">PGL_Supplies!AA7/1000</f>
        <v>0</v>
      </c>
      <c r="C51" s="713"/>
      <c r="D51" s="247"/>
      <c r="E51" s="247"/>
      <c r="F51" s="725" t="s">
        <v>467</v>
      </c>
      <c r="G51" s="724"/>
      <c r="H51" s="698"/>
      <c r="I51" s="710"/>
    </row>
    <row r="52" customFormat="false" ht="17.1" hidden="false" customHeight="true" outlineLevel="0" collapsed="false">
      <c r="A52" s="232" t="s">
        <v>468</v>
      </c>
      <c r="B52" s="233" t="n">
        <f aca="false">NSG_Supplies!O7/1000+PGL_Supplies!Q7/1000</f>
        <v>0</v>
      </c>
      <c r="C52" s="247"/>
      <c r="D52" s="247"/>
      <c r="E52" s="247"/>
      <c r="F52" s="726" t="s">
        <v>469</v>
      </c>
      <c r="G52" s="727"/>
      <c r="H52" s="728"/>
      <c r="I52" s="710"/>
    </row>
    <row r="53" customFormat="false" ht="17.1" hidden="false" customHeight="true" outlineLevel="0" collapsed="false">
      <c r="A53" s="344" t="s">
        <v>470</v>
      </c>
      <c r="B53" s="233" t="n">
        <f aca="false">PGL_Requirements!J7/1000+NSG_Requirements!E7/1000</f>
        <v>0</v>
      </c>
      <c r="C53" s="247"/>
      <c r="D53" s="247"/>
      <c r="E53" s="247"/>
      <c r="F53" s="722" t="s">
        <v>372</v>
      </c>
      <c r="G53" s="729"/>
      <c r="H53" s="713"/>
      <c r="I53" s="710"/>
    </row>
    <row r="54" customFormat="false" ht="17.1" hidden="false" customHeight="true" outlineLevel="0" collapsed="false">
      <c r="A54" s="690" t="s">
        <v>471</v>
      </c>
      <c r="B54" s="730" t="n">
        <f aca="false">SUM(B50+B51+B52-B53)</f>
        <v>133.673</v>
      </c>
      <c r="C54" s="233"/>
      <c r="D54" s="247"/>
      <c r="E54" s="247"/>
      <c r="F54" s="731" t="s">
        <v>472</v>
      </c>
      <c r="G54" s="731"/>
      <c r="H54" s="731"/>
      <c r="I54" s="731"/>
    </row>
    <row r="55" customFormat="false" ht="17.1" hidden="false" customHeight="true" outlineLevel="0" collapsed="false">
      <c r="A55" s="719" t="s">
        <v>0</v>
      </c>
      <c r="B55" s="732" t="s">
        <v>85</v>
      </c>
      <c r="C55" s="732"/>
      <c r="D55" s="732"/>
      <c r="E55" s="732"/>
      <c r="F55" s="326" t="s">
        <v>473</v>
      </c>
      <c r="G55" s="247"/>
      <c r="H55" s="733"/>
      <c r="I55" s="693" t="n">
        <f aca="false">NSG_Supplies!P7/1000</f>
        <v>0</v>
      </c>
    </row>
    <row r="56" customFormat="false" ht="17.1" hidden="false" customHeight="true" outlineLevel="0" collapsed="false">
      <c r="A56" s="232" t="s">
        <v>442</v>
      </c>
      <c r="B56" s="233" t="n">
        <f aca="false">PGL_Supplies!U7/1000</f>
        <v>0</v>
      </c>
      <c r="C56" s="247"/>
      <c r="D56" s="247"/>
      <c r="E56" s="247"/>
      <c r="F56" s="326" t="s">
        <v>474</v>
      </c>
      <c r="G56" s="247"/>
      <c r="H56" s="734" t="n">
        <f aca="false">NSG_Requirements!B7/1000</f>
        <v>0</v>
      </c>
      <c r="I56" s="693" t="n">
        <f aca="false">NSG_Supplies!B7/1000</f>
        <v>0</v>
      </c>
    </row>
    <row r="57" customFormat="false" ht="17.1" hidden="false" customHeight="true" outlineLevel="0" collapsed="false">
      <c r="A57" s="232" t="s">
        <v>475</v>
      </c>
      <c r="B57" s="233" t="n">
        <f aca="false">PGL_Supplies!Z7/1000+PGL_Supplies!C7/1000-PGL_Requirements!C7/1000</f>
        <v>0</v>
      </c>
      <c r="C57" s="247"/>
      <c r="D57" s="247"/>
      <c r="E57" s="247"/>
      <c r="F57" s="326" t="s">
        <v>476</v>
      </c>
      <c r="G57" s="247"/>
      <c r="H57" s="734" t="n">
        <f aca="false">NSG_Requirements!S7/1000</f>
        <v>0</v>
      </c>
      <c r="I57" s="735"/>
    </row>
    <row r="58" customFormat="false" ht="17.1" hidden="false" customHeight="true" outlineLevel="0" collapsed="false">
      <c r="A58" s="232" t="s">
        <v>477</v>
      </c>
      <c r="B58" s="233" t="n">
        <f aca="false">PGL_Requirements!U7/1000</f>
        <v>0</v>
      </c>
      <c r="C58" s="247"/>
      <c r="D58" s="247"/>
      <c r="E58" s="247"/>
      <c r="F58" s="326" t="s">
        <v>478</v>
      </c>
      <c r="G58" s="247"/>
      <c r="H58" s="736"/>
      <c r="I58" s="737" t="n">
        <f aca="false">PGL_Requirements!V7/1000</f>
        <v>0</v>
      </c>
    </row>
    <row r="59" customFormat="false" ht="17.1" hidden="false" customHeight="true" outlineLevel="0" collapsed="false">
      <c r="A59" s="232" t="s">
        <v>479</v>
      </c>
      <c r="B59" s="233" t="n">
        <f aca="false">PGL_Supplies!R7/1000</f>
        <v>0</v>
      </c>
      <c r="C59" s="247"/>
      <c r="D59" s="247"/>
      <c r="E59" s="247"/>
      <c r="F59" s="738" t="s">
        <v>470</v>
      </c>
      <c r="G59" s="247"/>
      <c r="H59" s="739" t="n">
        <f aca="false">NSG_Requirements!D7/1000</f>
        <v>0</v>
      </c>
      <c r="I59" s="740"/>
    </row>
    <row r="60" customFormat="false" ht="17.1" hidden="false" customHeight="true" outlineLevel="0" collapsed="false">
      <c r="A60" s="344" t="s">
        <v>470</v>
      </c>
      <c r="B60" s="233" t="n">
        <f aca="false">PGL_Requirements!I7/1000</f>
        <v>0</v>
      </c>
      <c r="C60" s="247"/>
      <c r="D60" s="247"/>
      <c r="E60" s="247"/>
      <c r="F60" s="741" t="s">
        <v>480</v>
      </c>
      <c r="G60" s="724"/>
      <c r="H60" s="739" t="n">
        <f aca="false">NSG_Requirements!O7/1000</f>
        <v>0</v>
      </c>
      <c r="I60" s="693" t="n">
        <f aca="false">+NSG_Supplies!L7/1000</f>
        <v>0</v>
      </c>
    </row>
    <row r="61" customFormat="false" ht="17.1" hidden="false" customHeight="true" outlineLevel="0" collapsed="false">
      <c r="A61" s="232" t="s">
        <v>481</v>
      </c>
      <c r="B61" s="742" t="n">
        <f aca="false">(NSG_Requirements!$S$7+NSG_Requirements!$T$7+NSG_Requirements!$U$7+NSG_Requirements!$N$7)/1000</f>
        <v>0</v>
      </c>
      <c r="C61" s="247"/>
      <c r="D61" s="247"/>
      <c r="E61" s="247"/>
      <c r="F61" s="743" t="s">
        <v>482</v>
      </c>
      <c r="G61" s="717"/>
      <c r="H61" s="744"/>
      <c r="I61" s="745" t="n">
        <f aca="false">NSG_Supplies!M7/1000</f>
        <v>0</v>
      </c>
    </row>
    <row r="62" customFormat="false" ht="17.1" hidden="false" customHeight="true" outlineLevel="0" collapsed="false">
      <c r="A62" s="690" t="s">
        <v>471</v>
      </c>
      <c r="B62" s="730" t="n">
        <f aca="false">B56+B57-B58+B59-B60+B61</f>
        <v>0</v>
      </c>
      <c r="C62" s="746"/>
      <c r="D62" s="746"/>
      <c r="E62" s="746"/>
      <c r="F62" s="747" t="s">
        <v>483</v>
      </c>
      <c r="G62" s="247"/>
      <c r="H62" s="736"/>
      <c r="I62" s="748" t="n">
        <v>0</v>
      </c>
    </row>
    <row r="63" customFormat="false" ht="17.1" hidden="false" customHeight="true" outlineLevel="0" collapsed="false">
      <c r="A63" s="719" t="s">
        <v>0</v>
      </c>
      <c r="B63" s="720"/>
      <c r="C63" s="720" t="s">
        <v>484</v>
      </c>
      <c r="D63" s="720"/>
      <c r="E63" s="749" t="s">
        <v>0</v>
      </c>
      <c r="F63" s="722" t="s">
        <v>485</v>
      </c>
      <c r="G63" s="247"/>
      <c r="H63" s="736"/>
      <c r="I63" s="689" t="n">
        <f aca="false">I58+I60+I56-H56</f>
        <v>0</v>
      </c>
    </row>
    <row r="64" customFormat="false" ht="17.1" hidden="false" customHeight="true" outlineLevel="0" collapsed="false">
      <c r="A64" s="232" t="s">
        <v>442</v>
      </c>
      <c r="B64" s="233" t="n">
        <f aca="false">PGL_Supplies!Y7/1000</f>
        <v>103.4</v>
      </c>
      <c r="C64" s="247"/>
      <c r="D64" s="247"/>
      <c r="E64" s="750"/>
      <c r="F64" s="731" t="s">
        <v>486</v>
      </c>
      <c r="G64" s="731"/>
      <c r="H64" s="731"/>
      <c r="I64" s="731"/>
    </row>
    <row r="65" customFormat="false" ht="17.1" hidden="false" customHeight="true" outlineLevel="0" collapsed="false">
      <c r="A65" s="232" t="s">
        <v>487</v>
      </c>
      <c r="B65" s="233" t="n">
        <f aca="false">PGL_Supplies!AD7/1000+PGL_Supplies!G7/1000-PGL_Requirements!F7/1000</f>
        <v>0</v>
      </c>
      <c r="C65" s="294" t="s">
        <v>0</v>
      </c>
      <c r="D65" s="247"/>
      <c r="E65" s="751"/>
      <c r="F65" s="752" t="s">
        <v>488</v>
      </c>
      <c r="G65" s="753"/>
      <c r="H65" s="754"/>
      <c r="I65" s="755" t="n">
        <f aca="false">NSG_Supplies!O7/1000</f>
        <v>0</v>
      </c>
    </row>
    <row r="66" customFormat="false" ht="17.1" hidden="false" customHeight="true" outlineLevel="0" collapsed="false">
      <c r="A66" s="232" t="s">
        <v>489</v>
      </c>
      <c r="B66" s="233" t="n">
        <f aca="false">PGL_Supplies!AE7/1000</f>
        <v>0</v>
      </c>
      <c r="C66" s="294" t="s">
        <v>0</v>
      </c>
      <c r="D66" s="247"/>
      <c r="E66" s="751"/>
      <c r="F66" s="753" t="s">
        <v>490</v>
      </c>
      <c r="G66" s="753"/>
      <c r="H66" s="756" t="n">
        <f aca="false">NSG_Requirements!M7/1000</f>
        <v>0</v>
      </c>
      <c r="I66" s="735"/>
    </row>
    <row r="67" customFormat="false" ht="17.1" hidden="false" customHeight="true" outlineLevel="0" collapsed="false">
      <c r="A67" s="232" t="s">
        <v>491</v>
      </c>
      <c r="B67" s="248" t="n">
        <f aca="false">PGL_Requirements!T7/1000</f>
        <v>0</v>
      </c>
      <c r="C67" s="757" t="s">
        <v>0</v>
      </c>
      <c r="D67" s="247"/>
      <c r="E67" s="751"/>
      <c r="F67" s="753" t="s">
        <v>492</v>
      </c>
      <c r="G67" s="753"/>
      <c r="H67" s="742" t="n">
        <f aca="false">(NSG_Requirements!$Y$7+NSG_Requirements!$Z$7+NSG_Requirements!$AA$7)/1000</f>
        <v>0</v>
      </c>
      <c r="I67" s="75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32" t="s">
        <v>493</v>
      </c>
      <c r="B68" s="233" t="n">
        <f aca="false">PGL_Supplies!P7/1000</f>
        <v>0</v>
      </c>
      <c r="C68" s="294" t="s">
        <v>0</v>
      </c>
      <c r="D68" s="247"/>
      <c r="E68" s="751"/>
      <c r="F68" s="759"/>
      <c r="G68" s="759"/>
      <c r="H68" s="760"/>
      <c r="I68" s="761"/>
    </row>
    <row r="69" customFormat="false" ht="17.1" hidden="false" customHeight="true" outlineLevel="0" collapsed="false">
      <c r="A69" s="344" t="s">
        <v>470</v>
      </c>
      <c r="B69" s="248" t="n">
        <f aca="false">PGL_Requirements!N7/1000</f>
        <v>0</v>
      </c>
      <c r="C69" s="757" t="s">
        <v>0</v>
      </c>
      <c r="D69" s="247"/>
      <c r="E69" s="762"/>
      <c r="F69" s="763" t="s">
        <v>494</v>
      </c>
      <c r="G69" s="754" t="s">
        <v>0</v>
      </c>
      <c r="H69" s="707" t="s">
        <v>495</v>
      </c>
      <c r="I69" s="751"/>
    </row>
    <row r="70" customFormat="false" ht="17.1" hidden="false" customHeight="true" outlineLevel="0" collapsed="false">
      <c r="A70" s="232" t="s">
        <v>496</v>
      </c>
      <c r="B70" s="248" t="n">
        <f aca="false">PGL_Requirements!P7/1000</f>
        <v>174.31</v>
      </c>
      <c r="C70" s="757" t="s">
        <v>0</v>
      </c>
      <c r="D70" s="247"/>
      <c r="E70" s="751"/>
      <c r="F70" s="763" t="s">
        <v>497</v>
      </c>
      <c r="G70" s="754" t="s">
        <v>0</v>
      </c>
      <c r="H70" s="764" t="s">
        <v>498</v>
      </c>
      <c r="I70" s="765"/>
    </row>
    <row r="71" customFormat="false" ht="17.1" hidden="false" customHeight="true" outlineLevel="0" collapsed="false">
      <c r="A71" s="232" t="s">
        <v>499</v>
      </c>
      <c r="B71" s="248" t="n">
        <f aca="false">PGL_Requirements!F7/1000</f>
        <v>4</v>
      </c>
      <c r="C71" s="294" t="s">
        <v>0</v>
      </c>
      <c r="D71" s="247"/>
      <c r="E71" s="751"/>
      <c r="F71" s="753" t="s">
        <v>500</v>
      </c>
      <c r="G71" s="754" t="s">
        <v>0</v>
      </c>
      <c r="H71" s="766"/>
      <c r="I71" s="751" t="s">
        <v>0</v>
      </c>
    </row>
    <row r="72" customFormat="false" ht="17.1" hidden="false" customHeight="true" outlineLevel="0" collapsed="false">
      <c r="A72" s="767" t="s">
        <v>471</v>
      </c>
      <c r="B72" s="768" t="n">
        <f aca="false">+B65+B64+B66+B68-B67-B69-B70</f>
        <v>-70.91</v>
      </c>
      <c r="C72" s="768" t="s">
        <v>0</v>
      </c>
      <c r="D72" s="769"/>
      <c r="E72" s="770"/>
      <c r="F72" s="771"/>
      <c r="G72" s="772"/>
      <c r="H72" s="773"/>
      <c r="I72" s="774"/>
    </row>
    <row r="73" customFormat="false" ht="17.1" hidden="false" customHeight="true" outlineLevel="0" collapsed="false">
      <c r="A73" s="731" t="s">
        <v>501</v>
      </c>
      <c r="B73" s="731"/>
      <c r="C73" s="731"/>
      <c r="D73" s="713"/>
      <c r="E73" s="713"/>
      <c r="F73" s="775" t="s">
        <v>502</v>
      </c>
      <c r="G73" s="776" t="str">
        <f aca="false">CHOOSE(WEEKDAY(H73),"SUN","MON","TUE","WED","THU","FRI","SAT")</f>
        <v>SUN</v>
      </c>
      <c r="H73" s="777" t="n">
        <f aca="false">Weather_Input!A5</f>
        <v>37059</v>
      </c>
      <c r="I73" s="778"/>
    </row>
    <row r="74" customFormat="false" ht="17.1" hidden="false" customHeight="true" outlineLevel="0" collapsed="false">
      <c r="A74" s="752" t="s">
        <v>503</v>
      </c>
      <c r="B74" s="247" t="s">
        <v>0</v>
      </c>
      <c r="C74" s="701"/>
      <c r="D74" s="779"/>
      <c r="E74" s="713"/>
      <c r="F74" s="713"/>
      <c r="G74" s="713"/>
      <c r="H74" s="713"/>
      <c r="I74" s="778"/>
    </row>
    <row r="75" customFormat="false" ht="17.1" hidden="false" customHeight="true" outlineLevel="0" collapsed="false">
      <c r="A75" s="326" t="s">
        <v>504</v>
      </c>
      <c r="B75" s="247"/>
      <c r="C75" s="701"/>
      <c r="D75" s="780"/>
      <c r="E75" s="753"/>
      <c r="F75" s="753"/>
      <c r="G75" s="753"/>
      <c r="H75" s="713"/>
      <c r="I75" s="778"/>
    </row>
    <row r="76" customFormat="false" ht="17.1" hidden="false" customHeight="true" outlineLevel="0" collapsed="false">
      <c r="A76" s="781" t="s">
        <v>505</v>
      </c>
      <c r="B76" s="717"/>
      <c r="C76" s="718"/>
      <c r="D76" s="782" t="s">
        <v>506</v>
      </c>
      <c r="E76" s="783"/>
      <c r="F76" s="784" t="s">
        <v>507</v>
      </c>
      <c r="G76" s="785"/>
      <c r="H76" s="786" t="s">
        <v>377</v>
      </c>
      <c r="I76" s="787" t="s">
        <v>377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4"/>
      <c r="G78" s="234"/>
      <c r="I78" s="0"/>
    </row>
    <row r="79" customFormat="false" ht="15" hidden="false" customHeight="false" outlineLevel="0" collapsed="false">
      <c r="B79" s="0"/>
      <c r="C79" s="0"/>
      <c r="D79" s="0"/>
      <c r="E79" s="0"/>
      <c r="F79" s="234"/>
      <c r="G79" s="234"/>
    </row>
    <row r="80" customFormat="false" ht="15" hidden="false" customHeight="false" outlineLevel="0" collapsed="false">
      <c r="B80" s="0"/>
      <c r="C80" s="0"/>
      <c r="D80" s="0"/>
      <c r="E80" s="0"/>
      <c r="F80" s="234"/>
      <c r="G80" s="234"/>
      <c r="J80" s="0"/>
    </row>
    <row r="81" customFormat="false" ht="12" hidden="false" customHeight="false" outlineLevel="0" collapsed="false">
      <c r="B81" s="234"/>
      <c r="C81" s="234"/>
      <c r="D81" s="234"/>
      <c r="E81" s="234"/>
      <c r="F81" s="234"/>
      <c r="G81" s="234"/>
    </row>
    <row r="82" customFormat="false" ht="12" hidden="false" customHeight="false" outlineLevel="0" collapsed="false">
      <c r="B82" s="234"/>
      <c r="C82" s="234"/>
      <c r="D82" s="234"/>
      <c r="E82" s="234"/>
      <c r="F82" s="234"/>
      <c r="G82" s="234"/>
    </row>
    <row r="83" customFormat="false" ht="12" hidden="false" customHeight="false" outlineLevel="0" collapsed="false">
      <c r="B83" s="234"/>
      <c r="C83" s="234"/>
      <c r="D83" s="234"/>
      <c r="E83" s="234"/>
      <c r="F83" s="234"/>
      <c r="G83" s="234"/>
    </row>
    <row r="84" customFormat="false" ht="12" hidden="false" customHeight="false" outlineLevel="0" collapsed="false">
      <c r="B84" s="234"/>
      <c r="C84" s="234"/>
      <c r="D84" s="234"/>
      <c r="E84" s="234"/>
      <c r="F84" s="234"/>
      <c r="G84" s="234"/>
    </row>
    <row r="85" customFormat="false" ht="12" hidden="false" customHeight="false" outlineLevel="0" collapsed="false">
      <c r="B85" s="234"/>
      <c r="C85" s="234"/>
      <c r="D85" s="234"/>
      <c r="E85" s="234"/>
      <c r="F85" s="234"/>
      <c r="G85" s="234"/>
    </row>
    <row r="86" customFormat="false" ht="12" hidden="false" customHeight="false" outlineLevel="0" collapsed="false">
      <c r="B86" s="234"/>
      <c r="C86" s="234"/>
      <c r="D86" s="234"/>
      <c r="E86" s="234"/>
      <c r="F86" s="234"/>
      <c r="G86" s="234"/>
    </row>
    <row r="87" customFormat="false" ht="12" hidden="false" customHeight="false" outlineLevel="0" collapsed="false">
      <c r="B87" s="234"/>
      <c r="C87" s="234"/>
      <c r="D87" s="234"/>
      <c r="E87" s="234"/>
      <c r="F87" s="234"/>
      <c r="G87" s="234"/>
    </row>
    <row r="88" customFormat="false" ht="12" hidden="false" customHeight="false" outlineLevel="0" collapsed="false">
      <c r="B88" s="234"/>
      <c r="C88" s="234"/>
      <c r="D88" s="234"/>
      <c r="E88" s="234"/>
      <c r="F88" s="234"/>
      <c r="G88" s="234"/>
    </row>
    <row r="89" customFormat="false" ht="12.75" hidden="false" customHeight="false" outlineLevel="0" collapsed="false">
      <c r="B89" s="234"/>
      <c r="C89" s="234"/>
      <c r="D89" s="234"/>
      <c r="E89" s="234"/>
      <c r="F89" s="234"/>
      <c r="G89" s="234"/>
    </row>
    <row r="90" customFormat="false" ht="16.5" hidden="false" customHeight="false" outlineLevel="0" collapsed="false">
      <c r="A90" s="788" t="s">
        <v>508</v>
      </c>
      <c r="B90" s="227"/>
      <c r="C90" s="227"/>
      <c r="D90" s="227"/>
      <c r="E90" s="228" t="s">
        <v>277</v>
      </c>
      <c r="F90" s="789" t="n">
        <f aca="false">Weather_Input!L5</f>
        <v>1</v>
      </c>
      <c r="G90" s="790" t="s">
        <v>0</v>
      </c>
      <c r="H90" s="791"/>
      <c r="I90" s="231"/>
    </row>
    <row r="91" customFormat="false" ht="15.75" hidden="false" customHeight="false" outlineLevel="0" collapsed="false">
      <c r="A91" s="648"/>
      <c r="B91" s="792" t="s">
        <v>509</v>
      </c>
      <c r="C91" s="253" t="s">
        <v>0</v>
      </c>
      <c r="D91" s="793" t="s">
        <v>510</v>
      </c>
      <c r="E91" s="794"/>
      <c r="F91" s="795" t="s">
        <v>511</v>
      </c>
      <c r="G91" s="794"/>
      <c r="H91" s="795" t="s">
        <v>419</v>
      </c>
      <c r="I91" s="369"/>
    </row>
    <row r="92" customFormat="false" ht="15" hidden="false" customHeight="false" outlineLevel="0" collapsed="false">
      <c r="A92" s="673" t="s">
        <v>512</v>
      </c>
      <c r="B92" s="793" t="s">
        <v>281</v>
      </c>
      <c r="C92" s="240" t="s">
        <v>282</v>
      </c>
      <c r="D92" s="793" t="s">
        <v>18</v>
      </c>
      <c r="E92" s="240" t="s">
        <v>282</v>
      </c>
      <c r="F92" s="793" t="s">
        <v>18</v>
      </c>
      <c r="G92" s="240" t="s">
        <v>282</v>
      </c>
      <c r="H92" s="793" t="s">
        <v>18</v>
      </c>
      <c r="I92" s="369" t="s">
        <v>282</v>
      </c>
    </row>
    <row r="93" customFormat="false" ht="15.75" hidden="false" customHeight="false" outlineLevel="0" collapsed="false">
      <c r="A93" s="648" t="s">
        <v>0</v>
      </c>
      <c r="B93" s="252"/>
      <c r="C93" s="368"/>
      <c r="D93" s="277"/>
      <c r="E93" s="277"/>
      <c r="F93" s="252"/>
      <c r="G93" s="253"/>
      <c r="H93" s="253"/>
      <c r="I93" s="254"/>
    </row>
    <row r="94" customFormat="false" ht="16.5" hidden="false" customHeight="false" outlineLevel="0" collapsed="false">
      <c r="A94" s="648" t="s">
        <v>290</v>
      </c>
      <c r="B94" s="796" t="s">
        <v>0</v>
      </c>
      <c r="C94" s="797" t="s">
        <v>0</v>
      </c>
      <c r="D94" s="798" t="s">
        <v>0</v>
      </c>
      <c r="E94" s="799"/>
      <c r="F94" s="800"/>
      <c r="G94" s="653"/>
      <c r="H94" s="800"/>
      <c r="I94" s="369"/>
    </row>
    <row r="95" customFormat="false" ht="16.5" hidden="false" customHeight="false" outlineLevel="0" collapsed="false">
      <c r="A95" s="801"/>
      <c r="B95" s="283" t="s">
        <v>0</v>
      </c>
      <c r="C95" s="283" t="s">
        <v>0</v>
      </c>
      <c r="D95" s="296"/>
      <c r="E95" s="296"/>
      <c r="F95" s="296"/>
      <c r="G95" s="296"/>
      <c r="H95" s="296"/>
      <c r="I95" s="297"/>
    </row>
    <row r="96" customFormat="false" ht="15" hidden="false" customHeight="false" outlineLevel="0" collapsed="false">
      <c r="A96" s="673" t="s">
        <v>426</v>
      </c>
      <c r="B96" s="300" t="s">
        <v>0</v>
      </c>
      <c r="C96" s="802" t="e">
        <f aca="false">I150</f>
        <v>#REF!</v>
      </c>
      <c r="D96" s="302"/>
      <c r="E96" s="253"/>
      <c r="F96" s="302"/>
      <c r="G96" s="253"/>
      <c r="H96" s="302"/>
      <c r="I96" s="254" t="s">
        <v>0</v>
      </c>
    </row>
    <row r="97" customFormat="false" ht="15" hidden="false" customHeight="false" outlineLevel="0" collapsed="false">
      <c r="A97" s="673" t="s">
        <v>85</v>
      </c>
      <c r="B97" s="310" t="s">
        <v>0</v>
      </c>
      <c r="C97" s="802" t="n">
        <f aca="false">B133</f>
        <v>2.533</v>
      </c>
      <c r="D97" s="277"/>
      <c r="E97" s="301" t="n">
        <f aca="false">+C97</f>
        <v>2.533</v>
      </c>
      <c r="F97" s="277"/>
      <c r="G97" s="301" t="n">
        <f aca="false">+C97</f>
        <v>2.533</v>
      </c>
      <c r="H97" s="277"/>
      <c r="I97" s="304" t="n">
        <f aca="false">+C97</f>
        <v>2.533</v>
      </c>
    </row>
    <row r="98" customFormat="false" ht="15" hidden="false" customHeight="false" outlineLevel="0" collapsed="false">
      <c r="A98" s="673" t="s">
        <v>74</v>
      </c>
      <c r="B98" s="310" t="s">
        <v>0</v>
      </c>
      <c r="C98" s="802" t="n">
        <f aca="false">B149</f>
        <v>0.418</v>
      </c>
      <c r="D98" s="277"/>
      <c r="E98" s="253"/>
      <c r="F98" s="277"/>
      <c r="G98" s="253"/>
      <c r="H98" s="277"/>
      <c r="I98" s="254"/>
    </row>
    <row r="99" customFormat="false" ht="15" hidden="false" customHeight="false" outlineLevel="0" collapsed="false">
      <c r="A99" s="673" t="s">
        <v>86</v>
      </c>
      <c r="B99" s="310" t="s">
        <v>0</v>
      </c>
      <c r="C99" s="802" t="n">
        <f aca="false">B141</f>
        <v>133.673</v>
      </c>
      <c r="D99" s="803"/>
      <c r="E99" s="253"/>
      <c r="F99" s="277"/>
      <c r="G99" s="253"/>
      <c r="H99" s="277"/>
      <c r="I99" s="254"/>
    </row>
    <row r="100" customFormat="false" ht="15" hidden="false" customHeight="false" outlineLevel="0" collapsed="false">
      <c r="A100" s="673" t="s">
        <v>348</v>
      </c>
      <c r="B100" s="323" t="s">
        <v>0</v>
      </c>
      <c r="C100" s="802" t="n">
        <f aca="false">I157+I158</f>
        <v>0</v>
      </c>
      <c r="D100" s="277"/>
      <c r="E100" s="253"/>
      <c r="F100" s="277"/>
      <c r="G100" s="253"/>
      <c r="H100" s="277"/>
      <c r="I100" s="254"/>
    </row>
    <row r="101" customFormat="false" ht="15" hidden="false" customHeight="false" outlineLevel="0" collapsed="false">
      <c r="A101" s="673" t="s">
        <v>310</v>
      </c>
      <c r="B101" s="310" t="s">
        <v>0</v>
      </c>
      <c r="C101" s="802" t="e">
        <f aca="false">I146</f>
        <v>#REF!</v>
      </c>
      <c r="D101" s="277" t="s">
        <v>0</v>
      </c>
      <c r="E101" s="253"/>
      <c r="F101" s="277"/>
      <c r="G101" s="253"/>
      <c r="H101" s="277"/>
      <c r="I101" s="254"/>
    </row>
    <row r="102" customFormat="false" ht="15" hidden="false" customHeight="false" outlineLevel="0" collapsed="false">
      <c r="A102" s="673" t="s">
        <v>42</v>
      </c>
      <c r="B102" s="310" t="s">
        <v>2</v>
      </c>
      <c r="C102" s="802" t="n">
        <f aca="false">B162</f>
        <v>103.4</v>
      </c>
      <c r="D102" s="277"/>
      <c r="E102" s="253"/>
      <c r="F102" s="277"/>
      <c r="G102" s="253"/>
      <c r="H102" s="277"/>
      <c r="I102" s="254"/>
    </row>
    <row r="103" customFormat="false" ht="15" hidden="false" customHeight="false" outlineLevel="0" collapsed="false">
      <c r="A103" s="673" t="s">
        <v>151</v>
      </c>
      <c r="B103" s="310" t="s">
        <v>0</v>
      </c>
      <c r="C103" s="802" t="n">
        <f aca="false">PGL_Requirements!G7/1000</f>
        <v>22.698</v>
      </c>
      <c r="D103" s="803"/>
      <c r="E103" s="253"/>
      <c r="F103" s="277"/>
      <c r="G103" s="253"/>
      <c r="H103" s="277"/>
      <c r="I103" s="254"/>
    </row>
    <row r="104" customFormat="false" ht="15.75" hidden="false" customHeight="false" outlineLevel="0" collapsed="false">
      <c r="A104" s="673" t="s">
        <v>178</v>
      </c>
      <c r="B104" s="804" t="s">
        <v>0</v>
      </c>
      <c r="C104" s="802" t="n">
        <f aca="false">PGL_Supplies!B7/1000</f>
        <v>0</v>
      </c>
      <c r="D104" s="793"/>
      <c r="E104" s="253"/>
      <c r="F104" s="277"/>
      <c r="G104" s="253"/>
      <c r="H104" s="277"/>
      <c r="I104" s="254"/>
    </row>
    <row r="105" customFormat="false" ht="16.5" hidden="false" customHeight="false" outlineLevel="0" collapsed="false">
      <c r="A105" s="805" t="s">
        <v>513</v>
      </c>
      <c r="B105" s="354" t="s">
        <v>0</v>
      </c>
      <c r="C105" s="355" t="s">
        <v>0</v>
      </c>
      <c r="D105" s="356" t="s">
        <v>0</v>
      </c>
      <c r="E105" s="806" t="s">
        <v>0</v>
      </c>
      <c r="F105" s="356" t="s">
        <v>0</v>
      </c>
      <c r="G105" s="806" t="s">
        <v>0</v>
      </c>
      <c r="H105" s="356" t="s">
        <v>0</v>
      </c>
      <c r="I105" s="357"/>
    </row>
    <row r="106" customFormat="false" ht="16.5" hidden="false" customHeight="false" outlineLevel="0" collapsed="false">
      <c r="A106" s="316" t="s">
        <v>43</v>
      </c>
      <c r="B106" s="362" t="n">
        <f aca="false">-PGL_Supplies!U7/1000</f>
        <v>-0</v>
      </c>
      <c r="C106" s="807" t="n">
        <f aca="false">-NSG_Supplies!AF7/1000</f>
        <v>-0</v>
      </c>
      <c r="D106" s="364"/>
      <c r="E106" s="808"/>
      <c r="F106" s="364"/>
      <c r="G106" s="808"/>
      <c r="H106" s="809"/>
      <c r="I106" s="810"/>
    </row>
    <row r="107" customFormat="false" ht="15" hidden="false" customHeight="false" outlineLevel="0" collapsed="false">
      <c r="A107" s="673" t="s">
        <v>514</v>
      </c>
      <c r="B107" s="310" t="e">
        <f aca="false">B94+B105+B106</f>
        <v>#VALUE!</v>
      </c>
      <c r="C107" s="675" t="e">
        <f aca="false">C94+C105+C106</f>
        <v>#VALUE!</v>
      </c>
      <c r="D107" s="368"/>
      <c r="E107" s="252"/>
      <c r="F107" s="368"/>
      <c r="G107" s="252"/>
      <c r="H107" s="253"/>
      <c r="I107" s="369"/>
    </row>
    <row r="108" customFormat="false" ht="15" hidden="false" customHeight="false" outlineLevel="0" collapsed="false">
      <c r="A108" s="673" t="s">
        <v>332</v>
      </c>
      <c r="B108" s="310" t="n">
        <v>0</v>
      </c>
      <c r="C108" s="252"/>
      <c r="D108" s="368"/>
      <c r="E108" s="252"/>
      <c r="F108" s="368"/>
      <c r="G108" s="252"/>
      <c r="H108" s="253"/>
      <c r="I108" s="375"/>
    </row>
    <row r="109" customFormat="false" ht="15" hidden="false" customHeight="false" outlineLevel="0" collapsed="false">
      <c r="A109" s="673" t="s">
        <v>279</v>
      </c>
      <c r="B109" s="310" t="n">
        <f aca="false">+B129</f>
        <v>0.2</v>
      </c>
      <c r="C109" s="252"/>
      <c r="D109" s="368"/>
      <c r="E109" s="252"/>
      <c r="F109" s="384" t="s">
        <v>0</v>
      </c>
      <c r="G109" s="666"/>
      <c r="H109" s="676" t="s">
        <v>0</v>
      </c>
      <c r="I109" s="369"/>
    </row>
    <row r="110" customFormat="false" ht="15.75" hidden="false" customHeight="false" outlineLevel="0" collapsed="false">
      <c r="A110" s="811" t="s">
        <v>336</v>
      </c>
      <c r="B110" s="678" t="e">
        <f aca="false">B107+B108+B109</f>
        <v>#VALUE!</v>
      </c>
      <c r="C110" s="679" t="e">
        <f aca="false">C107</f>
        <v>#VALUE!</v>
      </c>
      <c r="D110" s="368"/>
      <c r="E110" s="252"/>
      <c r="F110" s="680"/>
      <c r="G110" s="252"/>
      <c r="H110" s="681" t="s">
        <v>0</v>
      </c>
      <c r="I110" s="682" t="s">
        <v>0</v>
      </c>
    </row>
    <row r="111" customFormat="false" ht="16.5" hidden="false" customHeight="false" outlineLevel="0" collapsed="false">
      <c r="A111" s="812" t="s">
        <v>338</v>
      </c>
      <c r="B111" s="666" t="n">
        <f aca="false">-NSG_Requirements!$L$7/1000</f>
        <v>-0</v>
      </c>
      <c r="C111" s="666" t="n">
        <f aca="false">NSG_Requirements!$L$7/1000</f>
        <v>0</v>
      </c>
      <c r="D111" s="341" t="n">
        <f aca="false">B111</f>
        <v>-0</v>
      </c>
      <c r="E111" s="666" t="n">
        <f aca="false">C111</f>
        <v>0</v>
      </c>
      <c r="F111" s="341" t="n">
        <f aca="false">B111</f>
        <v>-0</v>
      </c>
      <c r="G111" s="666" t="n">
        <f aca="false">C111</f>
        <v>0</v>
      </c>
      <c r="H111" s="684" t="n">
        <f aca="false">B111</f>
        <v>-0</v>
      </c>
      <c r="I111" s="685" t="n">
        <f aca="false">C111</f>
        <v>0</v>
      </c>
    </row>
    <row r="112" customFormat="false" ht="15" hidden="false" customHeight="false" outlineLevel="0" collapsed="false">
      <c r="A112" s="673" t="s">
        <v>515</v>
      </c>
      <c r="B112" s="666"/>
      <c r="C112" s="666"/>
      <c r="D112" s="341"/>
      <c r="E112" s="666"/>
      <c r="F112" s="341"/>
      <c r="G112" s="666"/>
      <c r="H112" s="411"/>
      <c r="I112" s="813"/>
    </row>
    <row r="113" customFormat="false" ht="15.75" hidden="false" customHeight="false" outlineLevel="0" collapsed="false">
      <c r="A113" s="232" t="s">
        <v>390</v>
      </c>
      <c r="B113" s="687" t="n">
        <f aca="false">PGL_Requirements!V7/1000</f>
        <v>0</v>
      </c>
      <c r="C113" s="687" t="n">
        <f aca="false">NSG_Requirements!Q7/1000</f>
        <v>0</v>
      </c>
      <c r="D113" s="687" t="n">
        <f aca="false">B113</f>
        <v>0</v>
      </c>
      <c r="E113" s="687" t="n">
        <f aca="false">+C113</f>
        <v>0</v>
      </c>
      <c r="F113" s="687" t="n">
        <f aca="false">B113</f>
        <v>0</v>
      </c>
      <c r="G113" s="687" t="n">
        <f aca="false">+C113</f>
        <v>0</v>
      </c>
      <c r="H113" s="688" t="n">
        <f aca="false">B113</f>
        <v>0</v>
      </c>
      <c r="I113" s="689" t="n">
        <f aca="false">+C113</f>
        <v>0</v>
      </c>
    </row>
    <row r="114" customFormat="false" ht="15.75" hidden="false" customHeight="false" outlineLevel="0" collapsed="false">
      <c r="A114" s="232" t="s">
        <v>516</v>
      </c>
      <c r="B114" s="687" t="n">
        <f aca="false">PGL_Requirements!AC7/1000</f>
        <v>0</v>
      </c>
      <c r="C114" s="687" t="n">
        <f aca="false">NSG_Requirements!AA7/1000</f>
        <v>0</v>
      </c>
      <c r="D114" s="687" t="n">
        <f aca="false">PGL_Requirements!AC7/1000</f>
        <v>0</v>
      </c>
      <c r="E114" s="687" t="n">
        <f aca="false">NSG_Requirements!AA7/1000</f>
        <v>0</v>
      </c>
      <c r="F114" s="687" t="n">
        <f aca="false">PGL_Requirements!AC7/1000</f>
        <v>0</v>
      </c>
      <c r="G114" s="687" t="n">
        <f aca="false">NSG_Requirements!AA7/1000</f>
        <v>0</v>
      </c>
      <c r="H114" s="688" t="n">
        <f aca="false">+B114</f>
        <v>0</v>
      </c>
      <c r="I114" s="689" t="n">
        <f aca="false">+C114</f>
        <v>0</v>
      </c>
    </row>
    <row r="115" customFormat="false" ht="15" hidden="false" customHeight="false" outlineLevel="0" collapsed="false">
      <c r="A115" s="232" t="s">
        <v>517</v>
      </c>
      <c r="B115" s="691" t="n">
        <v>0</v>
      </c>
      <c r="C115" s="691" t="n">
        <v>0</v>
      </c>
      <c r="D115" s="691" t="n">
        <v>0</v>
      </c>
      <c r="E115" s="691" t="n">
        <v>0</v>
      </c>
      <c r="F115" s="691" t="n">
        <v>0</v>
      </c>
      <c r="G115" s="691" t="n">
        <f aca="false">C115</f>
        <v>0</v>
      </c>
      <c r="H115" s="692" t="n">
        <f aca="false">B115</f>
        <v>0</v>
      </c>
      <c r="I115" s="693" t="n">
        <f aca="false">C115</f>
        <v>0</v>
      </c>
    </row>
    <row r="116" customFormat="false" ht="15" hidden="false" customHeight="false" outlineLevel="0" collapsed="false">
      <c r="A116" s="232" t="s">
        <v>391</v>
      </c>
      <c r="B116" s="694" t="n">
        <f aca="false">-PGL_Supplies!Z7/1000</f>
        <v>-0.2</v>
      </c>
      <c r="C116" s="694" t="n">
        <f aca="false">-NSG_Supplies!W7/1000</f>
        <v>-0</v>
      </c>
      <c r="D116" s="691" t="n">
        <f aca="false">-PGL_Supplies!Z7/1000</f>
        <v>-0.2</v>
      </c>
      <c r="E116" s="691" t="n">
        <f aca="false">-NSG_Supplies!W7/1000</f>
        <v>-0</v>
      </c>
      <c r="F116" s="691" t="n">
        <f aca="false">-PGL_Supplies!Z7/1000</f>
        <v>-0.2</v>
      </c>
      <c r="G116" s="691" t="n">
        <f aca="false">-NSG_Supplies!W7/1000</f>
        <v>-0</v>
      </c>
      <c r="H116" s="692" t="n">
        <f aca="false">-PGL_Supplies!Z7/1000</f>
        <v>-0.2</v>
      </c>
      <c r="I116" s="693" t="n">
        <f aca="false">-NSG_Supplies!W7/1000</f>
        <v>-0</v>
      </c>
    </row>
    <row r="117" customFormat="false" ht="15" hidden="false" customHeight="false" outlineLevel="0" collapsed="false">
      <c r="A117" s="232" t="s">
        <v>393</v>
      </c>
      <c r="B117" s="691" t="n">
        <f aca="false">-PGL_Supplies!AA7/1000</f>
        <v>-0</v>
      </c>
      <c r="C117" s="691" t="n">
        <f aca="false">-NSG_Supplies!X7/1000</f>
        <v>-0</v>
      </c>
      <c r="D117" s="691" t="n">
        <f aca="false">-PGL_Supplies!AA7/1000</f>
        <v>-0</v>
      </c>
      <c r="E117" s="691" t="n">
        <f aca="false">-NSG_Supplies!X7/1000</f>
        <v>-0</v>
      </c>
      <c r="F117" s="691" t="n">
        <f aca="false">-PGL_Supplies!AA7/1000</f>
        <v>-0</v>
      </c>
      <c r="G117" s="691" t="n">
        <f aca="false">-NSG_Supplies!X7/1000</f>
        <v>-0</v>
      </c>
      <c r="H117" s="692" t="n">
        <f aca="false">-PGL_Supplies!AA7/1000</f>
        <v>-0</v>
      </c>
      <c r="I117" s="693" t="n">
        <f aca="false">-NSG_Supplies!X7/1000</f>
        <v>-0</v>
      </c>
    </row>
    <row r="118" customFormat="false" ht="15.75" hidden="false" customHeight="false" outlineLevel="0" collapsed="false">
      <c r="A118" s="232" t="s">
        <v>342</v>
      </c>
      <c r="B118" s="696" t="n">
        <f aca="false">(PGL_Requirements!$Y$7+PGL_Requirements!$Z$7+PGL_Requirements!$AA$7)/1000+(NSG_Requirements!$V$7+NSG_Requirements!$W$7+NSG_Requirements!$X$7)/1000</f>
        <v>0</v>
      </c>
      <c r="C118" s="696" t="n">
        <f aca="false">-(PGL_Requirements!$Y$7+PGL_Requirements!$Z$7+PGL_Requirements!$AA$7)/1000+(NSG_Requirements!$V$7+NSG_Requirements!$W$7+NSG_Requirements!$X$7)/1000</f>
        <v>0</v>
      </c>
      <c r="D118" s="687" t="n">
        <f aca="false">+B118</f>
        <v>0</v>
      </c>
      <c r="E118" s="691" t="n">
        <f aca="false">+C118</f>
        <v>0</v>
      </c>
      <c r="F118" s="687" t="n">
        <f aca="false">+B118</f>
        <v>0</v>
      </c>
      <c r="G118" s="691" t="n">
        <f aca="false">+E118</f>
        <v>0</v>
      </c>
      <c r="H118" s="688" t="n">
        <f aca="false">+B118</f>
        <v>0</v>
      </c>
      <c r="I118" s="689" t="n">
        <f aca="false">+C118</f>
        <v>0</v>
      </c>
    </row>
    <row r="119" customFormat="false" ht="15" hidden="false" customHeight="false" outlineLevel="0" collapsed="false">
      <c r="A119" s="232" t="s">
        <v>345</v>
      </c>
      <c r="B119" s="691" t="n">
        <f aca="false">-PGL_Supplies!AN7/1000</f>
        <v>-0</v>
      </c>
      <c r="C119" s="691" t="n">
        <f aca="false">-NSG_Supplies!AD7/1000</f>
        <v>-0</v>
      </c>
      <c r="D119" s="691" t="n">
        <f aca="false">B119</f>
        <v>-0</v>
      </c>
      <c r="E119" s="691" t="n">
        <f aca="false">C119</f>
        <v>-0</v>
      </c>
      <c r="F119" s="691" t="n">
        <f aca="false">B119</f>
        <v>-0</v>
      </c>
      <c r="G119" s="691" t="n">
        <f aca="false">C119</f>
        <v>-0</v>
      </c>
      <c r="H119" s="692" t="n">
        <f aca="false">B119</f>
        <v>-0</v>
      </c>
      <c r="I119" s="693" t="n">
        <f aca="false">C119</f>
        <v>-0</v>
      </c>
    </row>
    <row r="120" customFormat="false" ht="15" hidden="false" customHeight="false" outlineLevel="0" collapsed="false">
      <c r="A120" s="232" t="s">
        <v>347</v>
      </c>
      <c r="B120" s="691" t="n">
        <f aca="false">-PGL_Supplies!AJ7/1000</f>
        <v>-0</v>
      </c>
      <c r="C120" s="691" t="n">
        <f aca="false">-NSG_Supplies!AE7/1000</f>
        <v>-0</v>
      </c>
      <c r="D120" s="691" t="n">
        <f aca="false">B120</f>
        <v>-0</v>
      </c>
      <c r="E120" s="691" t="n">
        <f aca="false">C120</f>
        <v>-0</v>
      </c>
      <c r="F120" s="691" t="n">
        <f aca="false">B120</f>
        <v>-0</v>
      </c>
      <c r="G120" s="691" t="n">
        <f aca="false">C120</f>
        <v>-0</v>
      </c>
      <c r="H120" s="692" t="n">
        <f aca="false">B120</f>
        <v>-0</v>
      </c>
      <c r="I120" s="693" t="n">
        <f aca="false">C120</f>
        <v>-0</v>
      </c>
    </row>
    <row r="121" customFormat="false" ht="15.75" hidden="false" customHeight="false" outlineLevel="0" collapsed="false">
      <c r="A121" s="232" t="s">
        <v>394</v>
      </c>
      <c r="B121" s="687" t="n">
        <f aca="false">PGL_Requirements!AD7/1000</f>
        <v>0</v>
      </c>
      <c r="C121" s="687" t="s">
        <v>0</v>
      </c>
      <c r="D121" s="687" t="n">
        <f aca="false">+B121</f>
        <v>0</v>
      </c>
      <c r="E121" s="247"/>
      <c r="F121" s="687" t="n">
        <f aca="false">+D121</f>
        <v>0</v>
      </c>
      <c r="G121" s="247"/>
      <c r="H121" s="688" t="n">
        <f aca="false">+B121</f>
        <v>0</v>
      </c>
      <c r="I121" s="689" t="str">
        <f aca="false">+C121</f>
        <v> </v>
      </c>
    </row>
    <row r="122" customFormat="false" ht="15.75" hidden="false" customHeight="false" outlineLevel="0" collapsed="false">
      <c r="A122" s="232" t="s">
        <v>518</v>
      </c>
      <c r="B122" s="687" t="n">
        <f aca="false">PGL_Requirements!Y7/1000</f>
        <v>0</v>
      </c>
      <c r="C122" s="687" t="n">
        <f aca="false">NSG_Requirements!U7/1000</f>
        <v>0</v>
      </c>
      <c r="D122" s="247"/>
      <c r="E122" s="247"/>
      <c r="F122" s="247"/>
      <c r="G122" s="247"/>
      <c r="H122" s="698"/>
      <c r="I122" s="699"/>
    </row>
    <row r="123" customFormat="false" ht="15" hidden="false" customHeight="false" outlineLevel="0" collapsed="false">
      <c r="A123" s="232" t="s">
        <v>519</v>
      </c>
      <c r="B123" s="691" t="n">
        <f aca="false">-PGL_Supplies!X7/1000</f>
        <v>-18</v>
      </c>
      <c r="C123" s="691" t="n">
        <f aca="false">-NSG_Supplies!S7/1000</f>
        <v>-16.725</v>
      </c>
      <c r="D123" s="247"/>
      <c r="E123" s="247"/>
      <c r="F123" s="247"/>
      <c r="G123" s="247"/>
      <c r="H123" s="698"/>
      <c r="I123" s="699"/>
    </row>
    <row r="124" customFormat="false" ht="16.5" hidden="false" customHeight="false" outlineLevel="0" collapsed="false">
      <c r="A124" s="290" t="s">
        <v>0</v>
      </c>
      <c r="B124" s="703" t="s">
        <v>0</v>
      </c>
      <c r="C124" s="732" t="s">
        <v>85</v>
      </c>
      <c r="D124" s="705"/>
      <c r="E124" s="706"/>
      <c r="F124" s="433" t="s">
        <v>350</v>
      </c>
      <c r="G124" s="433"/>
      <c r="H124" s="433"/>
      <c r="I124" s="433"/>
    </row>
    <row r="125" customFormat="false" ht="15" hidden="false" customHeight="false" outlineLevel="0" collapsed="false">
      <c r="A125" s="232" t="s">
        <v>396</v>
      </c>
      <c r="B125" s="691" t="n">
        <f aca="false">PGL_Requirements!U7/1000</f>
        <v>0</v>
      </c>
      <c r="F125" s="337" t="s">
        <v>0</v>
      </c>
      <c r="G125" s="814"/>
      <c r="H125" s="815"/>
      <c r="I125" s="710"/>
    </row>
    <row r="126" customFormat="false" ht="15" hidden="false" customHeight="false" outlineLevel="0" collapsed="false">
      <c r="A126" s="232" t="s">
        <v>520</v>
      </c>
      <c r="B126" s="233" t="n">
        <f aca="false">PGL_Supplies!R7/1000</f>
        <v>0</v>
      </c>
      <c r="C126" s="691" t="s">
        <v>0</v>
      </c>
      <c r="D126" s="247"/>
      <c r="E126" s="701"/>
      <c r="F126" s="232" t="s">
        <v>353</v>
      </c>
      <c r="G126" s="816"/>
      <c r="H126" s="330"/>
      <c r="I126" s="710"/>
    </row>
    <row r="127" customFormat="false" ht="15" hidden="false" customHeight="false" outlineLevel="0" collapsed="false">
      <c r="A127" s="232" t="s">
        <v>521</v>
      </c>
      <c r="B127" s="691" t="n">
        <f aca="false">PGL_Requirements!O7/1000</f>
        <v>2.533</v>
      </c>
      <c r="C127" s="691" t="s">
        <v>0</v>
      </c>
      <c r="D127" s="247"/>
      <c r="E127" s="701"/>
      <c r="F127" s="232" t="s">
        <v>356</v>
      </c>
      <c r="G127" s="816"/>
      <c r="H127" s="698"/>
      <c r="I127" s="710"/>
    </row>
    <row r="128" customFormat="false" ht="15" hidden="false" customHeight="false" outlineLevel="0" collapsed="false">
      <c r="A128" s="232" t="s">
        <v>390</v>
      </c>
      <c r="B128" s="691" t="n">
        <f aca="false">PGL_Requirements!I7/1000</f>
        <v>0</v>
      </c>
      <c r="C128" s="691" t="s">
        <v>0</v>
      </c>
      <c r="D128" s="247"/>
      <c r="E128" s="701"/>
      <c r="F128" s="232" t="s">
        <v>357</v>
      </c>
      <c r="G128" s="816"/>
      <c r="H128" s="698"/>
      <c r="I128" s="710"/>
    </row>
    <row r="129" customFormat="false" ht="15" hidden="false" customHeight="false" outlineLevel="0" collapsed="false">
      <c r="A129" s="232" t="s">
        <v>299</v>
      </c>
      <c r="B129" s="691" t="n">
        <f aca="false">PGL_Requirements!C7/1000</f>
        <v>0.2</v>
      </c>
      <c r="C129" s="247"/>
      <c r="D129" s="247"/>
      <c r="E129" s="701"/>
      <c r="F129" s="232" t="s">
        <v>360</v>
      </c>
      <c r="G129" s="816"/>
      <c r="H129" s="698"/>
      <c r="I129" s="710"/>
    </row>
    <row r="130" customFormat="false" ht="15" hidden="false" customHeight="false" outlineLevel="0" collapsed="false">
      <c r="A130" s="232" t="s">
        <v>302</v>
      </c>
      <c r="B130" s="691" t="n">
        <f aca="false">PGL_Requirements!AA7/1000</f>
        <v>0</v>
      </c>
      <c r="C130" s="298"/>
      <c r="D130" s="247"/>
      <c r="E130" s="701"/>
      <c r="F130" s="232" t="s">
        <v>363</v>
      </c>
      <c r="G130" s="816"/>
      <c r="H130" s="698"/>
      <c r="I130" s="710"/>
    </row>
    <row r="131" customFormat="false" ht="15" hidden="false" customHeight="false" outlineLevel="0" collapsed="false">
      <c r="A131" s="8" t="s">
        <v>168</v>
      </c>
      <c r="B131" s="233" t="n">
        <f aca="false">PGL_Supplies!Z7/1000</f>
        <v>0.2</v>
      </c>
      <c r="C131" s="247"/>
      <c r="D131" s="247"/>
      <c r="E131" s="701"/>
      <c r="F131" s="344" t="s">
        <v>365</v>
      </c>
      <c r="G131" s="816"/>
      <c r="H131" s="698"/>
      <c r="I131" s="710"/>
    </row>
    <row r="132" customFormat="false" ht="15.75" hidden="false" customHeight="false" outlineLevel="0" collapsed="false">
      <c r="A132" s="232" t="s">
        <v>442</v>
      </c>
      <c r="B132" s="233" t="n">
        <f aca="false">PGL_Supplies!U7/1000</f>
        <v>0</v>
      </c>
      <c r="C132" s="269"/>
      <c r="D132" s="269"/>
      <c r="E132" s="817"/>
      <c r="F132" s="232" t="s">
        <v>368</v>
      </c>
      <c r="G132" s="816"/>
      <c r="H132" s="698"/>
      <c r="I132" s="710"/>
    </row>
    <row r="133" customFormat="false" ht="16.5" hidden="false" customHeight="false" outlineLevel="0" collapsed="false">
      <c r="A133" s="278" t="s">
        <v>291</v>
      </c>
      <c r="B133" s="272" t="n">
        <f aca="false">B126+B127+B130+B131+B132-B125-B128-B129</f>
        <v>2.533</v>
      </c>
      <c r="C133" s="281"/>
      <c r="D133" s="281"/>
      <c r="E133" s="818"/>
      <c r="F133" s="232" t="s">
        <v>371</v>
      </c>
      <c r="G133" s="816"/>
      <c r="H133" s="698"/>
      <c r="I133" s="710"/>
    </row>
    <row r="134" customFormat="false" ht="15.75" hidden="false" customHeight="false" outlineLevel="0" collapsed="false">
      <c r="A134" s="324" t="s">
        <v>0</v>
      </c>
      <c r="B134" s="386" t="s">
        <v>0</v>
      </c>
      <c r="C134" s="819" t="s">
        <v>86</v>
      </c>
      <c r="D134" s="325"/>
      <c r="E134" s="325" t="s">
        <v>0</v>
      </c>
      <c r="F134" s="820" t="s">
        <v>522</v>
      </c>
      <c r="G134" s="821"/>
      <c r="H134" s="698"/>
      <c r="I134" s="710"/>
    </row>
    <row r="135" customFormat="false" ht="15" hidden="false" customHeight="false" outlineLevel="0" collapsed="false">
      <c r="A135" s="232" t="s">
        <v>390</v>
      </c>
      <c r="B135" s="822" t="n">
        <f aca="false">PGL_Requirements!J7</f>
        <v>0</v>
      </c>
      <c r="C135" s="234"/>
      <c r="D135" s="234"/>
      <c r="E135" s="234"/>
      <c r="F135" s="823" t="s">
        <v>344</v>
      </c>
      <c r="G135" s="821"/>
      <c r="H135" s="723"/>
      <c r="I135" s="710"/>
    </row>
    <row r="136" customFormat="false" ht="15" hidden="false" customHeight="false" outlineLevel="0" collapsed="false">
      <c r="A136" s="232" t="s">
        <v>523</v>
      </c>
      <c r="B136" s="233" t="n">
        <f aca="false">NSG_Supplies!O7/1011</f>
        <v>0</v>
      </c>
      <c r="C136" s="247"/>
      <c r="D136" s="247"/>
      <c r="E136" s="247"/>
      <c r="F136" s="232" t="s">
        <v>358</v>
      </c>
      <c r="G136" s="816"/>
      <c r="H136" s="397"/>
      <c r="I136" s="710"/>
    </row>
    <row r="137" customFormat="false" ht="15" hidden="false" customHeight="false" outlineLevel="0" collapsed="false">
      <c r="A137" s="232" t="s">
        <v>524</v>
      </c>
      <c r="B137" s="233" t="n">
        <f aca="false">PGL_Supplies!AA7/1000</f>
        <v>0</v>
      </c>
      <c r="C137" s="298"/>
      <c r="D137" s="247"/>
      <c r="E137" s="247"/>
      <c r="F137" s="232" t="s">
        <v>361</v>
      </c>
      <c r="G137" s="816"/>
      <c r="H137" s="698"/>
      <c r="I137" s="710"/>
    </row>
    <row r="138" customFormat="false" ht="15" hidden="false" customHeight="false" outlineLevel="0" collapsed="false">
      <c r="A138" s="232" t="s">
        <v>337</v>
      </c>
      <c r="B138" s="822" t="n">
        <f aca="false">PGL_Requirements!D7</f>
        <v>0</v>
      </c>
      <c r="C138" s="247"/>
      <c r="D138" s="247"/>
      <c r="E138" s="247"/>
      <c r="F138" s="232" t="s">
        <v>50</v>
      </c>
      <c r="G138" s="816"/>
      <c r="H138" s="397"/>
      <c r="I138" s="710"/>
    </row>
    <row r="139" customFormat="false" ht="15" hidden="false" customHeight="false" outlineLevel="0" collapsed="false">
      <c r="A139" s="232" t="s">
        <v>525</v>
      </c>
      <c r="B139" s="233" t="n">
        <f aca="false">PGL_Supplies!D7/1000</f>
        <v>0</v>
      </c>
      <c r="C139" s="247"/>
      <c r="D139" s="247"/>
      <c r="E139" s="247"/>
      <c r="F139" s="344" t="s">
        <v>366</v>
      </c>
      <c r="G139" s="824"/>
      <c r="H139" s="825"/>
      <c r="I139" s="710"/>
    </row>
    <row r="140" customFormat="false" ht="15.75" hidden="false" customHeight="false" outlineLevel="0" collapsed="false">
      <c r="A140" s="232" t="s">
        <v>442</v>
      </c>
      <c r="B140" s="233" t="n">
        <f aca="false">PGL_Supplies!V7/1000</f>
        <v>133.673</v>
      </c>
      <c r="C140" s="269"/>
      <c r="D140" s="269"/>
      <c r="E140" s="269"/>
      <c r="F140" s="344" t="s">
        <v>369</v>
      </c>
      <c r="G140" s="824"/>
      <c r="H140" s="371"/>
      <c r="I140" s="710"/>
    </row>
    <row r="141" customFormat="false" ht="16.5" hidden="false" customHeight="false" outlineLevel="0" collapsed="false">
      <c r="A141" s="278" t="s">
        <v>291</v>
      </c>
      <c r="B141" s="826" t="n">
        <f aca="false">-B135+B136+B137-B138+B139+B140</f>
        <v>133.673</v>
      </c>
      <c r="C141" s="338"/>
      <c r="D141" s="281"/>
      <c r="E141" s="313"/>
      <c r="F141" s="380" t="s">
        <v>372</v>
      </c>
      <c r="G141" s="827"/>
      <c r="H141" s="828"/>
      <c r="I141" s="710"/>
    </row>
    <row r="142" customFormat="false" ht="16.5" hidden="false" customHeight="false" outlineLevel="0" collapsed="false">
      <c r="A142" s="324" t="s">
        <v>0</v>
      </c>
      <c r="B142" s="292" t="s">
        <v>0</v>
      </c>
      <c r="C142" s="819" t="s">
        <v>74</v>
      </c>
      <c r="D142" s="325"/>
      <c r="E142" s="325"/>
      <c r="F142" s="829" t="s">
        <v>0</v>
      </c>
      <c r="G142" s="830" t="s">
        <v>526</v>
      </c>
      <c r="H142" s="831" t="s">
        <v>0</v>
      </c>
      <c r="I142" s="831"/>
    </row>
    <row r="143" customFormat="false" ht="15" hidden="false" customHeight="false" outlineLevel="0" collapsed="false">
      <c r="A143" s="232" t="s">
        <v>92</v>
      </c>
      <c r="B143" s="233" t="n">
        <f aca="false">PGL_Requirements!P7/1000</f>
        <v>174.31</v>
      </c>
      <c r="C143" s="247"/>
      <c r="D143" s="247"/>
      <c r="E143" s="247"/>
      <c r="F143" s="236" t="s">
        <v>279</v>
      </c>
      <c r="G143" s="832"/>
      <c r="H143" s="238" t="s">
        <v>0</v>
      </c>
      <c r="I143" s="737" t="n">
        <f aca="false">NSG_Supplies!AC7/1000</f>
        <v>0</v>
      </c>
    </row>
    <row r="144" customFormat="false" ht="15" hidden="false" customHeight="false" outlineLevel="0" collapsed="false">
      <c r="A144" s="232" t="s">
        <v>313</v>
      </c>
      <c r="B144" s="233" t="n">
        <f aca="false">PGL_Supplies!M7/1000</f>
        <v>0</v>
      </c>
      <c r="C144" s="247"/>
      <c r="D144" s="247"/>
      <c r="E144" s="247"/>
      <c r="F144" s="326" t="s">
        <v>284</v>
      </c>
      <c r="G144" s="247"/>
      <c r="H144" s="248" t="s">
        <v>0</v>
      </c>
      <c r="I144" s="737" t="n">
        <f aca="false">NSG_Supplies!O7/1000</f>
        <v>0</v>
      </c>
    </row>
    <row r="145" customFormat="false" ht="15.75" hidden="false" customHeight="false" outlineLevel="0" collapsed="false">
      <c r="A145" s="232" t="s">
        <v>316</v>
      </c>
      <c r="B145" s="233" t="n">
        <f aca="false">PGL_Requirements!B7/1000</f>
        <v>0</v>
      </c>
      <c r="C145" s="247"/>
      <c r="D145" s="247"/>
      <c r="E145" s="247"/>
      <c r="F145" s="258" t="s">
        <v>286</v>
      </c>
      <c r="G145" s="727"/>
      <c r="H145" s="260" t="s">
        <v>0</v>
      </c>
      <c r="I145" s="778"/>
    </row>
    <row r="146" customFormat="false" ht="15.75" hidden="false" customHeight="false" outlineLevel="0" collapsed="false">
      <c r="A146" s="232" t="s">
        <v>319</v>
      </c>
      <c r="B146" s="233" t="n">
        <f aca="false">PGL_Supplies!H7/1000</f>
        <v>0.418</v>
      </c>
      <c r="C146" s="247"/>
      <c r="D146" s="247"/>
      <c r="E146" s="247"/>
      <c r="F146" s="833" t="s">
        <v>289</v>
      </c>
      <c r="G146" s="281"/>
      <c r="H146" s="272" t="s">
        <v>0</v>
      </c>
      <c r="I146" s="834" t="e">
        <f aca="false">#REF!/1000</f>
        <v>#REF!</v>
      </c>
    </row>
    <row r="147" customFormat="false" ht="16.5" hidden="false" customHeight="false" outlineLevel="0" collapsed="false">
      <c r="A147" s="344" t="s">
        <v>336</v>
      </c>
      <c r="B147" s="233" t="s">
        <v>0</v>
      </c>
      <c r="C147" s="247"/>
      <c r="D147" s="247"/>
      <c r="E147" s="247"/>
      <c r="F147" s="731" t="s">
        <v>314</v>
      </c>
      <c r="G147" s="731"/>
      <c r="H147" s="731"/>
      <c r="I147" s="731"/>
    </row>
    <row r="148" customFormat="false" ht="15.75" hidden="false" customHeight="false" outlineLevel="0" collapsed="false">
      <c r="A148" s="232" t="s">
        <v>527</v>
      </c>
      <c r="B148" s="233" t="n">
        <f aca="false">PGL_Requirements!Q7/1000</f>
        <v>2.61465</v>
      </c>
      <c r="C148" s="269"/>
      <c r="D148" s="269"/>
      <c r="E148" s="269"/>
      <c r="F148" s="337" t="s">
        <v>317</v>
      </c>
      <c r="G148" s="814"/>
      <c r="H148" s="835" t="s">
        <v>0</v>
      </c>
      <c r="I148" s="836" t="n">
        <f aca="false">+NSG_Supplies!Z7/1000</f>
        <v>0</v>
      </c>
    </row>
    <row r="149" customFormat="false" ht="16.5" hidden="false" customHeight="false" outlineLevel="0" collapsed="false">
      <c r="A149" s="278" t="s">
        <v>289</v>
      </c>
      <c r="B149" s="837" t="n">
        <f aca="false">B144+B146</f>
        <v>0.418</v>
      </c>
      <c r="C149" s="359"/>
      <c r="D149" s="359"/>
      <c r="E149" s="818"/>
      <c r="F149" s="232" t="s">
        <v>0</v>
      </c>
      <c r="G149" s="816"/>
      <c r="H149" s="838" t="s">
        <v>0</v>
      </c>
      <c r="I149" s="839" t="n">
        <f aca="false">NSG_Supplies!AA7/1000</f>
        <v>0</v>
      </c>
    </row>
    <row r="150" customFormat="false" ht="15.75" hidden="false" customHeight="false" outlineLevel="0" collapsed="false">
      <c r="A150" s="232" t="s">
        <v>327</v>
      </c>
      <c r="B150" s="840" t="n">
        <f aca="false">PGL_Deliveries!AE5</f>
        <v>0</v>
      </c>
      <c r="C150" s="365"/>
      <c r="D150" s="365"/>
      <c r="E150" s="841"/>
      <c r="F150" s="833" t="s">
        <v>289</v>
      </c>
      <c r="G150" s="281"/>
      <c r="H150" s="272" t="s">
        <v>0</v>
      </c>
      <c r="I150" s="834" t="e">
        <f aca="false">#REF!/1000</f>
        <v>#REF!</v>
      </c>
    </row>
    <row r="151" customFormat="false" ht="16.5" hidden="false" customHeight="false" outlineLevel="0" collapsed="false">
      <c r="A151" s="232" t="s">
        <v>330</v>
      </c>
      <c r="B151" s="840" t="n">
        <f aca="false">PGL_Deliveries!AG5</f>
        <v>0</v>
      </c>
      <c r="C151" s="746"/>
      <c r="D151" s="746"/>
      <c r="E151" s="746"/>
      <c r="F151" s="731" t="s">
        <v>348</v>
      </c>
      <c r="G151" s="731"/>
      <c r="H151" s="731"/>
      <c r="I151" s="731"/>
    </row>
    <row r="152" customFormat="false" ht="15.75" hidden="false" customHeight="false" outlineLevel="0" collapsed="false">
      <c r="A152" s="719" t="s">
        <v>0</v>
      </c>
      <c r="B152" s="720"/>
      <c r="C152" s="842" t="s">
        <v>42</v>
      </c>
      <c r="D152" s="721"/>
      <c r="E152" s="749" t="s">
        <v>0</v>
      </c>
      <c r="F152" s="337" t="s">
        <v>528</v>
      </c>
      <c r="G152" s="814"/>
      <c r="H152" s="321"/>
      <c r="I152" s="248" t="n">
        <f aca="false">PGL_Requirements!T7/1000</f>
        <v>0</v>
      </c>
    </row>
    <row r="153" customFormat="false" ht="15" hidden="false" customHeight="false" outlineLevel="0" collapsed="false">
      <c r="A153" s="232" t="s">
        <v>529</v>
      </c>
      <c r="B153" s="248" t="n">
        <f aca="false">PGL_Requirements!N7/1000</f>
        <v>0</v>
      </c>
      <c r="C153" s="247"/>
      <c r="D153" s="247"/>
      <c r="E153" s="750"/>
      <c r="F153" s="843" t="s">
        <v>351</v>
      </c>
      <c r="G153" s="821"/>
      <c r="H153" s="327"/>
      <c r="I153" s="248" t="n">
        <f aca="false">PGL_Requirements!T7/1000</f>
        <v>0</v>
      </c>
    </row>
    <row r="154" customFormat="false" ht="15" hidden="false" customHeight="false" outlineLevel="0" collapsed="false">
      <c r="A154" s="232" t="s">
        <v>293</v>
      </c>
      <c r="B154" s="233" t="n">
        <f aca="false">PGL_Supplies!AE7/1000</f>
        <v>0</v>
      </c>
      <c r="C154" s="294" t="s">
        <v>0</v>
      </c>
      <c r="D154" s="247"/>
      <c r="E154" s="751"/>
      <c r="F154" s="258" t="s">
        <v>355</v>
      </c>
      <c r="G154" s="816"/>
      <c r="H154" s="327"/>
      <c r="I154" s="233" t="n">
        <f aca="false">PGL_Supplies!AL7/1000</f>
        <v>0</v>
      </c>
    </row>
    <row r="155" customFormat="false" ht="15" hidden="false" customHeight="false" outlineLevel="0" collapsed="false">
      <c r="A155" s="232" t="s">
        <v>295</v>
      </c>
      <c r="B155" s="248" t="n">
        <f aca="false">PGL_Requirements!F7/1000</f>
        <v>4</v>
      </c>
      <c r="C155" s="294" t="s">
        <v>0</v>
      </c>
      <c r="D155" s="247"/>
      <c r="E155" s="751"/>
      <c r="F155" s="232" t="s">
        <v>168</v>
      </c>
      <c r="G155" s="844"/>
      <c r="H155" s="327"/>
      <c r="I155" s="233" t="n">
        <f aca="false">PGL_Supplies!AL8/1000</f>
        <v>0</v>
      </c>
    </row>
    <row r="156" customFormat="false" ht="15.75" hidden="false" customHeight="false" outlineLevel="0" collapsed="false">
      <c r="A156" s="232" t="s">
        <v>298</v>
      </c>
      <c r="B156" s="233" t="n">
        <f aca="false">PGL_Supplies!G7/1000</f>
        <v>0</v>
      </c>
      <c r="C156" s="757" t="s">
        <v>0</v>
      </c>
      <c r="D156" s="247"/>
      <c r="E156" s="751"/>
      <c r="F156" s="344" t="s">
        <v>442</v>
      </c>
      <c r="G156" s="844"/>
      <c r="H156" s="371"/>
      <c r="I156" s="233" t="n">
        <f aca="false">PGL_Supplies!AL9/1000</f>
        <v>0</v>
      </c>
    </row>
    <row r="157" customFormat="false" ht="15.75" hidden="false" customHeight="false" outlineLevel="0" collapsed="false">
      <c r="A157" s="232" t="s">
        <v>530</v>
      </c>
      <c r="B157" s="248" t="n">
        <f aca="false">PGL_Requirements!T7/1000</f>
        <v>0</v>
      </c>
      <c r="C157" s="294" t="s">
        <v>0</v>
      </c>
      <c r="D157" s="247"/>
      <c r="E157" s="751"/>
      <c r="F157" s="845" t="s">
        <v>531</v>
      </c>
      <c r="G157" s="846"/>
      <c r="H157" s="321"/>
      <c r="I157" s="847" t="n">
        <v>0</v>
      </c>
    </row>
    <row r="158" customFormat="false" ht="15.75" hidden="false" customHeight="false" outlineLevel="0" collapsed="false">
      <c r="A158" s="232" t="s">
        <v>532</v>
      </c>
      <c r="B158" s="233" t="n">
        <f aca="false">PGL_Supplies!P7/1000</f>
        <v>0</v>
      </c>
      <c r="C158" s="757" t="s">
        <v>0</v>
      </c>
      <c r="D158" s="247"/>
      <c r="E158" s="762"/>
      <c r="F158" s="848" t="s">
        <v>533</v>
      </c>
      <c r="G158" s="759"/>
      <c r="H158" s="849"/>
      <c r="I158" s="850" t="n">
        <v>0</v>
      </c>
    </row>
    <row r="159" customFormat="false" ht="16.5" hidden="false" customHeight="false" outlineLevel="0" collapsed="false">
      <c r="A159" s="232" t="s">
        <v>168</v>
      </c>
      <c r="B159" s="233" t="n">
        <f aca="false">PGL_Supplies!AD7/1000</f>
        <v>4</v>
      </c>
      <c r="C159" s="757" t="s">
        <v>0</v>
      </c>
      <c r="D159" s="247"/>
      <c r="E159" s="751"/>
      <c r="F159" s="851" t="s">
        <v>501</v>
      </c>
      <c r="G159" s="851"/>
      <c r="H159" s="851"/>
      <c r="I159" s="851"/>
    </row>
    <row r="160" customFormat="false" ht="15.75" hidden="false" customHeight="false" outlineLevel="0" collapsed="false">
      <c r="A160" s="232" t="s">
        <v>442</v>
      </c>
      <c r="B160" s="852" t="n">
        <f aca="false">PGL_Supplies!Y7/1000</f>
        <v>103.4</v>
      </c>
      <c r="C160" s="307" t="s">
        <v>0</v>
      </c>
      <c r="D160" s="269"/>
      <c r="E160" s="853"/>
      <c r="F160" s="320" t="s">
        <v>307</v>
      </c>
      <c r="G160" s="832" t="s">
        <v>0</v>
      </c>
      <c r="H160" s="365"/>
      <c r="I160" s="854"/>
    </row>
    <row r="161" customFormat="false" ht="16.5" hidden="false" customHeight="false" outlineLevel="0" collapsed="false">
      <c r="A161" s="855" t="s">
        <v>534</v>
      </c>
      <c r="B161" s="235"/>
      <c r="C161" s="856" t="s">
        <v>0</v>
      </c>
      <c r="D161" s="857"/>
      <c r="E161" s="858"/>
      <c r="F161" s="859" t="s">
        <v>309</v>
      </c>
      <c r="G161" s="269"/>
      <c r="H161" s="465"/>
      <c r="I161" s="860" t="s">
        <v>0</v>
      </c>
    </row>
    <row r="162" customFormat="false" ht="16.5" hidden="false" customHeight="false" outlineLevel="0" collapsed="false">
      <c r="A162" s="767" t="s">
        <v>289</v>
      </c>
      <c r="B162" s="861" t="n">
        <f aca="false">B154+B156+B158+B159+B160-B153-B155-B157-B161</f>
        <v>103.4</v>
      </c>
      <c r="C162" s="768"/>
      <c r="D162" s="769"/>
      <c r="E162" s="862"/>
      <c r="F162" s="863" t="s">
        <v>505</v>
      </c>
      <c r="G162" s="281"/>
      <c r="H162" s="359"/>
      <c r="I162" s="864"/>
    </row>
    <row r="163" customFormat="false" ht="12.75" hidden="false" customHeight="false" outlineLevel="0" collapsed="false">
      <c r="A163" s="865"/>
      <c r="B163" s="866" t="s">
        <v>535</v>
      </c>
      <c r="C163" s="866"/>
      <c r="D163" s="866" t="s">
        <v>536</v>
      </c>
      <c r="E163" s="866"/>
      <c r="F163" s="866"/>
      <c r="G163" s="866"/>
      <c r="H163" s="867" t="s">
        <v>377</v>
      </c>
      <c r="I163" s="868"/>
    </row>
    <row r="164" customFormat="false" ht="12.75" hidden="false" customHeight="false" outlineLevel="0" collapsed="false"/>
    <row r="167" customFormat="false" ht="12" hidden="false" customHeight="false" outlineLevel="0" collapsed="false">
      <c r="B167" s="234"/>
    </row>
    <row r="168" customFormat="false" ht="12" hidden="false" customHeight="false" outlineLevel="0" collapsed="false">
      <c r="B168" s="234"/>
      <c r="C168" s="234"/>
      <c r="D168" s="234"/>
      <c r="E168" s="234"/>
      <c r="F168" s="234"/>
      <c r="G168" s="234"/>
    </row>
    <row r="169" customFormat="false" ht="12" hidden="false" customHeight="false" outlineLevel="0" collapsed="false">
      <c r="B169" s="234"/>
      <c r="C169" s="234"/>
      <c r="D169" s="234"/>
      <c r="E169" s="234"/>
      <c r="F169" s="234"/>
      <c r="G169" s="234"/>
    </row>
    <row r="170" customFormat="false" ht="12" hidden="false" customHeight="false" outlineLevel="0" collapsed="false">
      <c r="B170" s="234"/>
      <c r="C170" s="234"/>
      <c r="D170" s="234"/>
      <c r="E170" s="234"/>
      <c r="F170" s="234"/>
      <c r="G170" s="234"/>
    </row>
    <row r="171" customFormat="false" ht="12" hidden="false" customHeight="false" outlineLevel="0" collapsed="false">
      <c r="B171" s="234"/>
      <c r="C171" s="234"/>
      <c r="D171" s="234"/>
      <c r="E171" s="234"/>
      <c r="F171" s="234"/>
      <c r="G171" s="234"/>
    </row>
    <row r="172" customFormat="false" ht="12" hidden="false" customHeight="false" outlineLevel="0" collapsed="false">
      <c r="B172" s="234"/>
      <c r="C172" s="234"/>
      <c r="D172" s="234"/>
      <c r="E172" s="234"/>
      <c r="F172" s="234"/>
      <c r="G172" s="234"/>
    </row>
    <row r="173" customFormat="false" ht="12" hidden="false" customHeight="false" outlineLevel="0" collapsed="false">
      <c r="B173" s="234"/>
      <c r="C173" s="234"/>
      <c r="D173" s="234"/>
      <c r="E173" s="234"/>
      <c r="F173" s="234"/>
      <c r="G173" s="234"/>
    </row>
    <row r="174" customFormat="false" ht="12" hidden="false" customHeight="false" outlineLevel="0" collapsed="false">
      <c r="B174" s="234"/>
      <c r="C174" s="234"/>
      <c r="D174" s="234"/>
      <c r="E174" s="234"/>
      <c r="F174" s="234"/>
      <c r="G174" s="234"/>
    </row>
    <row r="175" customFormat="false" ht="12" hidden="false" customHeight="false" outlineLevel="0" collapsed="false">
      <c r="B175" s="234"/>
      <c r="C175" s="234"/>
      <c r="D175" s="234"/>
      <c r="E175" s="234"/>
      <c r="F175" s="234"/>
      <c r="G175" s="234"/>
    </row>
    <row r="176" customFormat="false" ht="12" hidden="false" customHeight="false" outlineLevel="0" collapsed="false">
      <c r="B176" s="234"/>
      <c r="C176" s="234"/>
      <c r="D176" s="234"/>
      <c r="E176" s="234"/>
      <c r="F176" s="234"/>
      <c r="G176" s="234"/>
    </row>
    <row r="177" customFormat="false" ht="12" hidden="false" customHeight="false" outlineLevel="0" collapsed="false">
      <c r="B177" s="234"/>
      <c r="C177" s="234"/>
      <c r="D177" s="234"/>
      <c r="E177" s="234"/>
      <c r="F177" s="234"/>
      <c r="G177" s="234"/>
    </row>
    <row r="178" customFormat="false" ht="12" hidden="false" customHeight="false" outlineLevel="0" collapsed="false">
      <c r="B178" s="234"/>
      <c r="C178" s="234"/>
      <c r="D178" s="234"/>
      <c r="E178" s="234"/>
      <c r="F178" s="234"/>
      <c r="G178" s="234"/>
    </row>
    <row r="179" customFormat="false" ht="12" hidden="false" customHeight="false" outlineLevel="0" collapsed="false">
      <c r="B179" s="234"/>
      <c r="C179" s="234"/>
      <c r="D179" s="234"/>
      <c r="E179" s="234"/>
      <c r="F179" s="234"/>
      <c r="G179" s="234"/>
    </row>
    <row r="180" customFormat="false" ht="12" hidden="false" customHeight="false" outlineLevel="0" collapsed="false">
      <c r="B180" s="234"/>
      <c r="C180" s="234"/>
      <c r="D180" s="234"/>
      <c r="E180" s="234"/>
      <c r="G180" s="234"/>
    </row>
    <row r="181" customFormat="false" ht="12" hidden="false" customHeight="false" outlineLevel="0" collapsed="false">
      <c r="B181" s="234"/>
      <c r="C181" s="234"/>
      <c r="D181" s="234"/>
      <c r="E181" s="234"/>
      <c r="G181" s="234"/>
    </row>
    <row r="182" customFormat="false" ht="12" hidden="false" customHeight="false" outlineLevel="0" collapsed="false">
      <c r="B182" s="234"/>
      <c r="C182" s="234"/>
      <c r="D182" s="234"/>
      <c r="E182" s="234"/>
    </row>
    <row r="183" customFormat="false" ht="12" hidden="false" customHeight="false" outlineLevel="0" collapsed="false">
      <c r="B183" s="234"/>
      <c r="C183" s="234"/>
      <c r="D183" s="234"/>
      <c r="E183" s="234"/>
    </row>
    <row r="184" customFormat="false" ht="12" hidden="false" customHeight="false" outlineLevel="0" collapsed="false">
      <c r="B184" s="234"/>
      <c r="C184" s="234"/>
      <c r="D184" s="234"/>
      <c r="E184" s="234"/>
    </row>
    <row r="185" customFormat="false" ht="12" hidden="false" customHeight="false" outlineLevel="0" collapsed="false">
      <c r="B185" s="234"/>
      <c r="C185" s="234"/>
      <c r="D185" s="234"/>
      <c r="E185" s="234"/>
    </row>
    <row r="186" customFormat="false" ht="12" hidden="false" customHeight="false" outlineLevel="0" collapsed="false">
      <c r="B186" s="234"/>
      <c r="C186" s="234"/>
      <c r="D186" s="234"/>
      <c r="E186" s="234"/>
    </row>
    <row r="187" customFormat="false" ht="12" hidden="false" customHeight="false" outlineLevel="0" collapsed="false">
      <c r="B187" s="234"/>
      <c r="C187" s="234"/>
      <c r="D187" s="234"/>
      <c r="E187" s="234"/>
    </row>
    <row r="188" customFormat="false" ht="12" hidden="false" customHeight="false" outlineLevel="0" collapsed="false">
      <c r="B188" s="234"/>
      <c r="C188" s="234"/>
      <c r="D188" s="234"/>
      <c r="E188" s="234"/>
    </row>
    <row r="189" customFormat="false" ht="12" hidden="false" customHeight="false" outlineLevel="0" collapsed="false">
      <c r="B189" s="234"/>
      <c r="C189" s="234"/>
      <c r="D189" s="234"/>
      <c r="E189" s="234"/>
    </row>
    <row r="190" customFormat="false" ht="12" hidden="false" customHeight="false" outlineLevel="0" collapsed="false">
      <c r="B190" s="234"/>
      <c r="C190" s="234"/>
      <c r="D190" s="234"/>
      <c r="E190" s="234"/>
    </row>
    <row r="191" customFormat="false" ht="12" hidden="false" customHeight="false" outlineLevel="0" collapsed="false">
      <c r="B191" s="234"/>
      <c r="C191" s="234"/>
      <c r="D191" s="234"/>
      <c r="E191" s="234"/>
    </row>
    <row r="192" customFormat="false" ht="12" hidden="false" customHeight="false" outlineLevel="0" collapsed="false">
      <c r="B192" s="234"/>
      <c r="C192" s="234"/>
      <c r="D192" s="234"/>
      <c r="E192" s="234"/>
    </row>
    <row r="193" customFormat="false" ht="12" hidden="false" customHeight="false" outlineLevel="0" collapsed="false">
      <c r="B193" s="234"/>
      <c r="C193" s="234"/>
      <c r="D193" s="234"/>
      <c r="E193" s="234"/>
    </row>
    <row r="194" customFormat="false" ht="12" hidden="false" customHeight="false" outlineLevel="0" collapsed="false">
      <c r="B194" s="234"/>
      <c r="C194" s="234"/>
      <c r="D194" s="234"/>
      <c r="E194" s="234"/>
    </row>
    <row r="195" customFormat="false" ht="12" hidden="false" customHeight="false" outlineLevel="0" collapsed="false">
      <c r="B195" s="234"/>
      <c r="C195" s="234"/>
      <c r="D195" s="234"/>
      <c r="E195" s="234"/>
    </row>
    <row r="196" customFormat="false" ht="12" hidden="false" customHeight="false" outlineLevel="0" collapsed="false">
      <c r="B196" s="234"/>
      <c r="C196" s="234"/>
      <c r="D196" s="234"/>
      <c r="E196" s="234"/>
    </row>
    <row r="197" customFormat="false" ht="12" hidden="false" customHeight="false" outlineLevel="0" collapsed="false">
      <c r="B197" s="234"/>
      <c r="C197" s="234"/>
      <c r="D197" s="234"/>
      <c r="E197" s="234"/>
    </row>
    <row r="198" customFormat="false" ht="12" hidden="false" customHeight="false" outlineLevel="0" collapsed="false">
      <c r="B198" s="234"/>
      <c r="C198" s="234"/>
      <c r="D198" s="234"/>
      <c r="E198" s="234"/>
    </row>
    <row r="199" customFormat="false" ht="12" hidden="false" customHeight="false" outlineLevel="0" collapsed="false">
      <c r="B199" s="234"/>
      <c r="C199" s="234"/>
      <c r="D199" s="234"/>
      <c r="E199" s="234"/>
    </row>
    <row r="200" customFormat="false" ht="12" hidden="false" customHeight="false" outlineLevel="0" collapsed="false">
      <c r="B200" s="234"/>
      <c r="C200" s="234"/>
      <c r="D200" s="234"/>
      <c r="E200" s="234"/>
    </row>
    <row r="201" customFormat="false" ht="12" hidden="false" customHeight="false" outlineLevel="0" collapsed="false">
      <c r="B201" s="234"/>
      <c r="C201" s="234"/>
      <c r="D201" s="234"/>
      <c r="E201" s="234"/>
    </row>
    <row r="202" customFormat="false" ht="12" hidden="false" customHeight="false" outlineLevel="0" collapsed="false">
      <c r="B202" s="234"/>
      <c r="C202" s="234"/>
      <c r="D202" s="234"/>
      <c r="E202" s="234"/>
    </row>
    <row r="203" customFormat="false" ht="12" hidden="false" customHeight="false" outlineLevel="0" collapsed="false">
      <c r="B203" s="234"/>
      <c r="C203" s="234"/>
      <c r="D203" s="234"/>
      <c r="E203" s="234"/>
    </row>
    <row r="204" customFormat="false" ht="12" hidden="false" customHeight="false" outlineLevel="0" collapsed="false">
      <c r="B204" s="234"/>
      <c r="C204" s="234"/>
      <c r="D204" s="234"/>
      <c r="E204" s="234"/>
    </row>
    <row r="205" customFormat="false" ht="12" hidden="false" customHeight="false" outlineLevel="0" collapsed="false">
      <c r="B205" s="234"/>
      <c r="C205" s="234"/>
      <c r="D205" s="234"/>
      <c r="E205" s="234"/>
    </row>
    <row r="206" customFormat="false" ht="12" hidden="false" customHeight="false" outlineLevel="0" collapsed="false">
      <c r="B206" s="234"/>
      <c r="C206" s="234"/>
      <c r="D206" s="234"/>
      <c r="E206" s="234"/>
    </row>
    <row r="207" customFormat="false" ht="12" hidden="false" customHeight="false" outlineLevel="0" collapsed="false">
      <c r="B207" s="234"/>
      <c r="C207" s="234"/>
      <c r="D207" s="234"/>
      <c r="E207" s="234"/>
    </row>
    <row r="208" customFormat="false" ht="12" hidden="false" customHeight="false" outlineLevel="0" collapsed="false">
      <c r="B208" s="234"/>
      <c r="C208" s="234"/>
      <c r="D208" s="234"/>
      <c r="E208" s="234"/>
    </row>
    <row r="209" customFormat="false" ht="12" hidden="false" customHeight="false" outlineLevel="0" collapsed="false">
      <c r="B209" s="234"/>
      <c r="C209" s="234"/>
      <c r="D209" s="234"/>
      <c r="E209" s="234"/>
    </row>
    <row r="210" customFormat="false" ht="12" hidden="false" customHeight="false" outlineLevel="0" collapsed="false">
      <c r="B210" s="234"/>
      <c r="C210" s="234"/>
      <c r="D210" s="234"/>
      <c r="E210" s="234"/>
    </row>
    <row r="211" customFormat="false" ht="12" hidden="false" customHeight="false" outlineLevel="0" collapsed="false">
      <c r="B211" s="234"/>
      <c r="C211" s="234"/>
      <c r="D211" s="234"/>
      <c r="E211" s="234"/>
    </row>
    <row r="212" customFormat="false" ht="12" hidden="false" customHeight="false" outlineLevel="0" collapsed="false">
      <c r="B212" s="234"/>
      <c r="C212" s="234"/>
      <c r="D212" s="234"/>
      <c r="E212" s="234"/>
    </row>
    <row r="213" customFormat="false" ht="12" hidden="false" customHeight="false" outlineLevel="0" collapsed="false">
      <c r="B213" s="234"/>
      <c r="C213" s="234"/>
      <c r="D213" s="234"/>
      <c r="E213" s="234"/>
    </row>
    <row r="214" customFormat="false" ht="12" hidden="false" customHeight="false" outlineLevel="0" collapsed="false">
      <c r="B214" s="234"/>
      <c r="C214" s="234"/>
      <c r="D214" s="234"/>
      <c r="E214" s="234"/>
    </row>
    <row r="215" customFormat="false" ht="12" hidden="false" customHeight="false" outlineLevel="0" collapsed="false">
      <c r="B215" s="234"/>
      <c r="C215" s="234"/>
      <c r="D215" s="234"/>
      <c r="E215" s="234"/>
    </row>
    <row r="216" customFormat="false" ht="12" hidden="false" customHeight="false" outlineLevel="0" collapsed="false">
      <c r="B216" s="234"/>
      <c r="C216" s="234"/>
      <c r="D216" s="234"/>
      <c r="E216" s="234"/>
    </row>
    <row r="217" customFormat="false" ht="12" hidden="false" customHeight="false" outlineLevel="0" collapsed="false">
      <c r="B217" s="234"/>
      <c r="C217" s="234"/>
      <c r="D217" s="234"/>
      <c r="E217" s="234"/>
    </row>
    <row r="218" customFormat="false" ht="12" hidden="false" customHeight="false" outlineLevel="0" collapsed="false">
      <c r="B218" s="234"/>
      <c r="C218" s="234"/>
      <c r="D218" s="234"/>
      <c r="E218" s="234"/>
    </row>
    <row r="219" customFormat="false" ht="12" hidden="false" customHeight="false" outlineLevel="0" collapsed="false">
      <c r="B219" s="234"/>
      <c r="C219" s="234"/>
      <c r="D219" s="234"/>
      <c r="E219" s="234"/>
    </row>
    <row r="220" customFormat="false" ht="12" hidden="false" customHeight="false" outlineLevel="0" collapsed="false">
      <c r="B220" s="234"/>
      <c r="C220" s="234"/>
      <c r="D220" s="234"/>
      <c r="E220" s="234"/>
    </row>
    <row r="221" customFormat="false" ht="12" hidden="false" customHeight="false" outlineLevel="0" collapsed="false">
      <c r="B221" s="234"/>
      <c r="C221" s="234"/>
      <c r="D221" s="234"/>
      <c r="E221" s="234"/>
    </row>
    <row r="222" customFormat="false" ht="12" hidden="false" customHeight="false" outlineLevel="0" collapsed="false">
      <c r="B222" s="234"/>
      <c r="C222" s="234"/>
      <c r="D222" s="234"/>
      <c r="E222" s="234"/>
    </row>
    <row r="223" customFormat="false" ht="12" hidden="false" customHeight="false" outlineLevel="0" collapsed="false">
      <c r="B223" s="234"/>
      <c r="C223" s="234"/>
      <c r="D223" s="234"/>
      <c r="E223" s="234"/>
    </row>
    <row r="224" customFormat="false" ht="12" hidden="false" customHeight="false" outlineLevel="0" collapsed="false">
      <c r="B224" s="234"/>
      <c r="C224" s="234"/>
      <c r="D224" s="234"/>
      <c r="E224" s="234"/>
    </row>
    <row r="225" customFormat="false" ht="12" hidden="false" customHeight="false" outlineLevel="0" collapsed="false">
      <c r="B225" s="234"/>
      <c r="C225" s="234"/>
      <c r="D225" s="234"/>
      <c r="E225" s="234"/>
    </row>
    <row r="226" customFormat="false" ht="12" hidden="false" customHeight="false" outlineLevel="0" collapsed="false">
      <c r="B226" s="234"/>
      <c r="C226" s="234"/>
      <c r="D226" s="234"/>
      <c r="E226" s="234"/>
    </row>
    <row r="227" customFormat="false" ht="12" hidden="false" customHeight="false" outlineLevel="0" collapsed="false">
      <c r="B227" s="234"/>
      <c r="C227" s="234"/>
      <c r="D227" s="234"/>
      <c r="E227" s="234"/>
    </row>
    <row r="228" customFormat="false" ht="12" hidden="false" customHeight="false" outlineLevel="0" collapsed="false">
      <c r="B228" s="234"/>
      <c r="C228" s="234"/>
      <c r="D228" s="234"/>
      <c r="E228" s="234"/>
    </row>
    <row r="229" customFormat="false" ht="12" hidden="false" customHeight="false" outlineLevel="0" collapsed="false">
      <c r="B229" s="234"/>
      <c r="C229" s="234"/>
      <c r="D229" s="234"/>
      <c r="E229" s="234"/>
    </row>
    <row r="230" customFormat="false" ht="12" hidden="false" customHeight="false" outlineLevel="0" collapsed="false">
      <c r="B230" s="234"/>
      <c r="C230" s="234"/>
      <c r="D230" s="234"/>
      <c r="E230" s="234"/>
    </row>
    <row r="231" customFormat="false" ht="12" hidden="false" customHeight="false" outlineLevel="0" collapsed="false">
      <c r="B231" s="234"/>
      <c r="C231" s="234"/>
      <c r="D231" s="234"/>
      <c r="E231" s="234"/>
    </row>
    <row r="232" customFormat="false" ht="12" hidden="false" customHeight="false" outlineLevel="0" collapsed="false">
      <c r="B232" s="234"/>
      <c r="C232" s="234"/>
      <c r="D232" s="234"/>
      <c r="E232" s="234"/>
    </row>
    <row r="233" customFormat="false" ht="12" hidden="false" customHeight="false" outlineLevel="0" collapsed="false">
      <c r="B233" s="234"/>
      <c r="C233" s="234"/>
      <c r="D233" s="234"/>
      <c r="E233" s="234"/>
    </row>
    <row r="234" customFormat="false" ht="12" hidden="false" customHeight="false" outlineLevel="0" collapsed="false">
      <c r="B234" s="234"/>
      <c r="C234" s="234"/>
      <c r="D234" s="234"/>
      <c r="E234" s="234"/>
    </row>
    <row r="235" customFormat="false" ht="12" hidden="false" customHeight="false" outlineLevel="0" collapsed="false">
      <c r="B235" s="234"/>
      <c r="C235" s="234"/>
      <c r="D235" s="234"/>
      <c r="E235" s="234"/>
    </row>
    <row r="236" customFormat="false" ht="12" hidden="false" customHeight="false" outlineLevel="0" collapsed="false">
      <c r="B236" s="234"/>
      <c r="C236" s="234"/>
      <c r="D236" s="234"/>
      <c r="E236" s="234"/>
    </row>
    <row r="237" customFormat="false" ht="12" hidden="false" customHeight="false" outlineLevel="0" collapsed="false">
      <c r="B237" s="234"/>
      <c r="C237" s="234"/>
      <c r="D237" s="234"/>
      <c r="E237" s="234"/>
    </row>
    <row r="238" customFormat="false" ht="12" hidden="false" customHeight="false" outlineLevel="0" collapsed="false">
      <c r="C238" s="234"/>
      <c r="D238" s="234"/>
      <c r="E238" s="234"/>
    </row>
    <row r="239" customFormat="false" ht="12" hidden="false" customHeight="false" outlineLevel="0" collapsed="false">
      <c r="C239" s="234"/>
      <c r="D239" s="234"/>
      <c r="E239" s="234"/>
    </row>
    <row r="240" customFormat="false" ht="12" hidden="false" customHeight="false" outlineLevel="0" collapsed="false">
      <c r="C240" s="234"/>
      <c r="D240" s="234"/>
      <c r="E240" s="234"/>
    </row>
    <row r="241" customFormat="false" ht="12" hidden="false" customHeight="false" outlineLevel="0" collapsed="false">
      <c r="C241" s="234"/>
      <c r="D241" s="234"/>
      <c r="E241" s="234"/>
    </row>
    <row r="242" customFormat="false" ht="12" hidden="false" customHeight="false" outlineLevel="0" collapsed="false">
      <c r="C242" s="234"/>
      <c r="D242" s="234"/>
      <c r="E242" s="234"/>
    </row>
    <row r="243" customFormat="false" ht="12" hidden="false" customHeight="false" outlineLevel="0" collapsed="false">
      <c r="C243" s="234"/>
      <c r="D243" s="234"/>
      <c r="E243" s="234"/>
    </row>
    <row r="244" customFormat="false" ht="12" hidden="false" customHeight="false" outlineLevel="0" collapsed="false">
      <c r="C244" s="234"/>
      <c r="D244" s="234"/>
      <c r="E244" s="234"/>
    </row>
    <row r="245" customFormat="false" ht="12" hidden="false" customHeight="false" outlineLevel="0" collapsed="false">
      <c r="C245" s="234"/>
      <c r="D245" s="234"/>
      <c r="E245" s="234"/>
    </row>
    <row r="246" customFormat="false" ht="12" hidden="false" customHeight="false" outlineLevel="0" collapsed="false">
      <c r="C246" s="234"/>
      <c r="D246" s="234"/>
      <c r="E246" s="234"/>
    </row>
    <row r="247" customFormat="false" ht="12" hidden="false" customHeight="false" outlineLevel="0" collapsed="false">
      <c r="C247" s="234"/>
      <c r="D247" s="234"/>
      <c r="E247" s="234"/>
    </row>
    <row r="248" customFormat="false" ht="12" hidden="false" customHeight="false" outlineLevel="0" collapsed="false">
      <c r="C248" s="234"/>
      <c r="D248" s="234"/>
      <c r="E248" s="234"/>
    </row>
    <row r="249" customFormat="false" ht="12" hidden="false" customHeight="false" outlineLevel="0" collapsed="false">
      <c r="C249" s="234"/>
      <c r="D249" s="234"/>
      <c r="E249" s="234"/>
    </row>
    <row r="250" customFormat="false" ht="12" hidden="false" customHeight="false" outlineLevel="0" collapsed="false">
      <c r="C250" s="234"/>
      <c r="D250" s="234"/>
      <c r="E250" s="234"/>
    </row>
    <row r="251" customFormat="false" ht="12" hidden="false" customHeight="false" outlineLevel="0" collapsed="false">
      <c r="C251" s="234"/>
      <c r="D251" s="234"/>
      <c r="E251" s="234"/>
    </row>
    <row r="252" customFormat="false" ht="12" hidden="false" customHeight="false" outlineLevel="0" collapsed="false">
      <c r="C252" s="234"/>
      <c r="D252" s="234"/>
      <c r="E252" s="234"/>
    </row>
    <row r="253" customFormat="false" ht="12" hidden="false" customHeight="false" outlineLevel="0" collapsed="false">
      <c r="C253" s="234"/>
      <c r="D253" s="234"/>
      <c r="E253" s="234"/>
    </row>
    <row r="254" customFormat="false" ht="12" hidden="false" customHeight="false" outlineLevel="0" collapsed="false">
      <c r="C254" s="234"/>
      <c r="D254" s="234"/>
      <c r="E254" s="234"/>
    </row>
    <row r="255" customFormat="false" ht="12" hidden="false" customHeight="false" outlineLevel="0" collapsed="false">
      <c r="C255" s="234"/>
      <c r="D255" s="234"/>
      <c r="E255" s="234"/>
    </row>
    <row r="256" customFormat="false" ht="12" hidden="false" customHeight="false" outlineLevel="0" collapsed="false">
      <c r="C256" s="234"/>
      <c r="D256" s="234"/>
      <c r="E256" s="234"/>
    </row>
    <row r="257" customFormat="false" ht="12" hidden="false" customHeight="false" outlineLevel="0" collapsed="false">
      <c r="C257" s="234"/>
      <c r="D257" s="234"/>
      <c r="E257" s="234"/>
    </row>
    <row r="258" customFormat="false" ht="12" hidden="false" customHeight="false" outlineLevel="0" collapsed="false">
      <c r="C258" s="234"/>
      <c r="D258" s="234"/>
      <c r="E258" s="234"/>
    </row>
    <row r="259" customFormat="false" ht="12" hidden="false" customHeight="false" outlineLevel="0" collapsed="false">
      <c r="C259" s="234"/>
      <c r="D259" s="234"/>
      <c r="E259" s="234"/>
    </row>
    <row r="260" customFormat="false" ht="12" hidden="false" customHeight="false" outlineLevel="0" collapsed="false">
      <c r="C260" s="234"/>
      <c r="D260" s="234"/>
      <c r="E260" s="234"/>
    </row>
    <row r="261" customFormat="false" ht="12" hidden="false" customHeight="false" outlineLevel="0" collapsed="false">
      <c r="C261" s="234"/>
      <c r="D261" s="234"/>
      <c r="E261" s="234"/>
    </row>
    <row r="262" customFormat="false" ht="12" hidden="false" customHeight="false" outlineLevel="0" collapsed="false">
      <c r="C262" s="234"/>
      <c r="D262" s="234"/>
      <c r="E262" s="234"/>
    </row>
    <row r="263" customFormat="false" ht="12" hidden="false" customHeight="false" outlineLevel="0" collapsed="false">
      <c r="C263" s="234"/>
      <c r="D263" s="234"/>
      <c r="E263" s="234"/>
    </row>
    <row r="264" customFormat="false" ht="12" hidden="false" customHeight="false" outlineLevel="0" collapsed="false">
      <c r="C264" s="234"/>
      <c r="D264" s="234"/>
      <c r="E264" s="234"/>
    </row>
    <row r="265" customFormat="false" ht="12" hidden="false" customHeight="false" outlineLevel="0" collapsed="false">
      <c r="C265" s="234"/>
      <c r="D265" s="234"/>
      <c r="E265" s="234"/>
    </row>
    <row r="266" customFormat="false" ht="12" hidden="false" customHeight="false" outlineLevel="0" collapsed="false">
      <c r="C266" s="234"/>
      <c r="D266" s="234"/>
      <c r="E266" s="234"/>
    </row>
    <row r="267" customFormat="false" ht="12" hidden="false" customHeight="false" outlineLevel="0" collapsed="false">
      <c r="C267" s="234"/>
      <c r="D267" s="234"/>
      <c r="E267" s="234"/>
    </row>
    <row r="268" customFormat="false" ht="12" hidden="false" customHeight="false" outlineLevel="0" collapsed="false">
      <c r="C268" s="234"/>
      <c r="D268" s="234"/>
      <c r="E268" s="234"/>
    </row>
    <row r="269" customFormat="false" ht="12" hidden="false" customHeight="false" outlineLevel="0" collapsed="false">
      <c r="C269" s="234"/>
      <c r="D269" s="234"/>
      <c r="E269" s="234"/>
    </row>
    <row r="270" customFormat="false" ht="12" hidden="false" customHeight="false" outlineLevel="0" collapsed="false">
      <c r="C270" s="234"/>
      <c r="D270" s="234"/>
      <c r="E270" s="234"/>
    </row>
    <row r="271" customFormat="false" ht="12" hidden="false" customHeight="false" outlineLevel="0" collapsed="false">
      <c r="C271" s="234"/>
      <c r="D271" s="234"/>
      <c r="E271" s="234"/>
    </row>
    <row r="272" customFormat="false" ht="12" hidden="false" customHeight="false" outlineLevel="0" collapsed="false">
      <c r="C272" s="234"/>
      <c r="D272" s="234"/>
      <c r="E272" s="234"/>
    </row>
    <row r="273" customFormat="false" ht="12" hidden="false" customHeight="false" outlineLevel="0" collapsed="false">
      <c r="C273" s="234"/>
      <c r="D273" s="234"/>
      <c r="E273" s="234"/>
    </row>
    <row r="274" customFormat="false" ht="12" hidden="false" customHeight="false" outlineLevel="0" collapsed="false">
      <c r="C274" s="234"/>
      <c r="D274" s="234"/>
      <c r="E274" s="234"/>
    </row>
    <row r="275" customFormat="false" ht="12" hidden="false" customHeight="false" outlineLevel="0" collapsed="false">
      <c r="C275" s="234"/>
      <c r="D275" s="234"/>
      <c r="E275" s="234"/>
    </row>
    <row r="276" customFormat="false" ht="12" hidden="false" customHeight="false" outlineLevel="0" collapsed="false">
      <c r="C276" s="234"/>
      <c r="D276" s="234"/>
      <c r="E276" s="234"/>
    </row>
    <row r="277" customFormat="false" ht="12" hidden="false" customHeight="false" outlineLevel="0" collapsed="false">
      <c r="C277" s="234"/>
      <c r="D277" s="234"/>
      <c r="E277" s="234"/>
    </row>
    <row r="278" customFormat="false" ht="12" hidden="false" customHeight="false" outlineLevel="0" collapsed="false">
      <c r="C278" s="234"/>
      <c r="D278" s="234"/>
      <c r="E278" s="234"/>
    </row>
    <row r="279" customFormat="false" ht="12" hidden="false" customHeight="false" outlineLevel="0" collapsed="false">
      <c r="C279" s="234"/>
      <c r="D279" s="234"/>
      <c r="E279" s="234"/>
    </row>
    <row r="280" customFormat="false" ht="12" hidden="false" customHeight="false" outlineLevel="0" collapsed="false">
      <c r="C280" s="234"/>
      <c r="D280" s="234"/>
      <c r="E280" s="234"/>
    </row>
    <row r="281" customFormat="false" ht="12" hidden="false" customHeight="false" outlineLevel="0" collapsed="false">
      <c r="C281" s="234"/>
      <c r="D281" s="234"/>
      <c r="E281" s="234"/>
    </row>
    <row r="282" customFormat="false" ht="12" hidden="false" customHeight="false" outlineLevel="0" collapsed="false">
      <c r="C282" s="234"/>
      <c r="D282" s="234"/>
      <c r="E282" s="234"/>
    </row>
    <row r="283" customFormat="false" ht="12" hidden="false" customHeight="false" outlineLevel="0" collapsed="false">
      <c r="C283" s="234"/>
      <c r="D283" s="234"/>
      <c r="E283" s="234"/>
    </row>
    <row r="284" customFormat="false" ht="12" hidden="false" customHeight="false" outlineLevel="0" collapsed="false">
      <c r="C284" s="234"/>
      <c r="D284" s="234"/>
    </row>
    <row r="285" customFormat="false" ht="12" hidden="false" customHeight="false" outlineLevel="0" collapsed="false">
      <c r="C285" s="234"/>
      <c r="D285" s="234"/>
    </row>
    <row r="286" customFormat="false" ht="12" hidden="false" customHeight="false" outlineLevel="0" collapsed="false">
      <c r="C286" s="234"/>
      <c r="D286" s="234"/>
    </row>
    <row r="287" customFormat="false" ht="12" hidden="false" customHeight="false" outlineLevel="0" collapsed="false">
      <c r="C287" s="234"/>
      <c r="D287" s="234"/>
    </row>
    <row r="288" customFormat="false" ht="12" hidden="false" customHeight="false" outlineLevel="0" collapsed="false">
      <c r="C288" s="234"/>
      <c r="D288" s="234"/>
    </row>
    <row r="289" customFormat="false" ht="12" hidden="false" customHeight="false" outlineLevel="0" collapsed="false">
      <c r="C289" s="234"/>
      <c r="D289" s="234"/>
    </row>
    <row r="290" customFormat="false" ht="12" hidden="false" customHeight="false" outlineLevel="0" collapsed="false">
      <c r="C290" s="234"/>
      <c r="D290" s="234"/>
    </row>
    <row r="291" customFormat="false" ht="12" hidden="false" customHeight="false" outlineLevel="0" collapsed="false">
      <c r="C291" s="234"/>
      <c r="D291" s="234"/>
    </row>
    <row r="292" customFormat="false" ht="12" hidden="false" customHeight="false" outlineLevel="0" collapsed="false">
      <c r="C292" s="234"/>
      <c r="D292" s="234"/>
    </row>
    <row r="293" customFormat="false" ht="12" hidden="false" customHeight="false" outlineLevel="0" collapsed="false">
      <c r="C293" s="234"/>
      <c r="D293" s="234"/>
    </row>
    <row r="294" customFormat="false" ht="12" hidden="false" customHeight="false" outlineLevel="0" collapsed="false">
      <c r="C294" s="234"/>
      <c r="D294" s="234"/>
    </row>
    <row r="295" customFormat="false" ht="12" hidden="false" customHeight="false" outlineLevel="0" collapsed="false">
      <c r="C295" s="234"/>
      <c r="D295" s="234"/>
    </row>
    <row r="296" customFormat="false" ht="12" hidden="false" customHeight="false" outlineLevel="0" collapsed="false">
      <c r="C296" s="234"/>
      <c r="D296" s="234"/>
    </row>
    <row r="297" customFormat="false" ht="12" hidden="false" customHeight="false" outlineLevel="0" collapsed="false">
      <c r="C297" s="234"/>
      <c r="D297" s="234"/>
    </row>
    <row r="298" customFormat="false" ht="12" hidden="false" customHeight="false" outlineLevel="0" collapsed="false">
      <c r="C298" s="234"/>
      <c r="D298" s="234"/>
    </row>
    <row r="299" customFormat="false" ht="12" hidden="false" customHeight="false" outlineLevel="0" collapsed="false">
      <c r="C299" s="234"/>
      <c r="D299" s="234"/>
    </row>
    <row r="300" customFormat="false" ht="12" hidden="false" customHeight="false" outlineLevel="0" collapsed="false">
      <c r="C300" s="234"/>
      <c r="D300" s="234"/>
    </row>
    <row r="301" customFormat="false" ht="12" hidden="false" customHeight="false" outlineLevel="0" collapsed="false">
      <c r="C301" s="234"/>
      <c r="D301" s="234"/>
    </row>
    <row r="302" customFormat="false" ht="12" hidden="false" customHeight="false" outlineLevel="0" collapsed="false">
      <c r="C302" s="234"/>
      <c r="D302" s="234"/>
    </row>
    <row r="303" customFormat="false" ht="12" hidden="false" customHeight="false" outlineLevel="0" collapsed="false">
      <c r="C303" s="234"/>
      <c r="D303" s="234"/>
    </row>
    <row r="304" customFormat="false" ht="12" hidden="false" customHeight="false" outlineLevel="0" collapsed="false">
      <c r="C304" s="234"/>
      <c r="D304" s="234"/>
    </row>
    <row r="305" customFormat="false" ht="12" hidden="false" customHeight="false" outlineLevel="0" collapsed="false">
      <c r="C305" s="234"/>
      <c r="D305" s="234"/>
    </row>
    <row r="306" customFormat="false" ht="12" hidden="false" customHeight="false" outlineLevel="0" collapsed="false">
      <c r="C306" s="234"/>
      <c r="D306" s="234"/>
    </row>
    <row r="307" customFormat="false" ht="12" hidden="false" customHeight="false" outlineLevel="0" collapsed="false">
      <c r="C307" s="234"/>
      <c r="D307" s="234"/>
    </row>
    <row r="308" customFormat="false" ht="12" hidden="false" customHeight="false" outlineLevel="0" collapsed="false">
      <c r="C308" s="234"/>
      <c r="D308" s="234"/>
    </row>
    <row r="309" customFormat="false" ht="12" hidden="false" customHeight="false" outlineLevel="0" collapsed="false">
      <c r="C309" s="234"/>
      <c r="D309" s="234"/>
    </row>
    <row r="310" customFormat="false" ht="12" hidden="false" customHeight="false" outlineLevel="0" collapsed="false">
      <c r="C310" s="234"/>
      <c r="D310" s="234"/>
    </row>
    <row r="311" customFormat="false" ht="12" hidden="false" customHeight="false" outlineLevel="0" collapsed="false">
      <c r="C311" s="234"/>
      <c r="D311" s="234"/>
    </row>
    <row r="312" customFormat="false" ht="12" hidden="false" customHeight="false" outlineLevel="0" collapsed="false">
      <c r="C312" s="234"/>
      <c r="D312" s="234"/>
    </row>
    <row r="313" customFormat="false" ht="12" hidden="false" customHeight="false" outlineLevel="0" collapsed="false">
      <c r="C313" s="234"/>
      <c r="D313" s="234"/>
    </row>
    <row r="314" customFormat="false" ht="12" hidden="false" customHeight="false" outlineLevel="0" collapsed="false">
      <c r="C314" s="234"/>
      <c r="D314" s="234"/>
    </row>
    <row r="315" customFormat="false" ht="12" hidden="false" customHeight="false" outlineLevel="0" collapsed="false">
      <c r="C315" s="234"/>
      <c r="D315" s="234"/>
    </row>
    <row r="316" customFormat="false" ht="12" hidden="false" customHeight="false" outlineLevel="0" collapsed="false">
      <c r="C316" s="234"/>
      <c r="D316" s="234"/>
    </row>
    <row r="317" customFormat="false" ht="12" hidden="false" customHeight="false" outlineLevel="0" collapsed="false">
      <c r="C317" s="234"/>
      <c r="D317" s="234"/>
    </row>
    <row r="318" customFormat="false" ht="12" hidden="false" customHeight="false" outlineLevel="0" collapsed="false">
      <c r="C318" s="234"/>
      <c r="D318" s="234"/>
    </row>
    <row r="319" customFormat="false" ht="12" hidden="false" customHeight="false" outlineLevel="0" collapsed="false">
      <c r="C319" s="234"/>
      <c r="D319" s="234"/>
    </row>
    <row r="320" customFormat="false" ht="12" hidden="false" customHeight="false" outlineLevel="0" collapsed="false">
      <c r="C320" s="234"/>
      <c r="D320" s="234"/>
    </row>
    <row r="321" customFormat="false" ht="12" hidden="false" customHeight="false" outlineLevel="0" collapsed="false">
      <c r="C321" s="234"/>
      <c r="D321" s="234"/>
    </row>
    <row r="322" customFormat="false" ht="12" hidden="false" customHeight="false" outlineLevel="0" collapsed="false">
      <c r="C322" s="234"/>
      <c r="D322" s="234"/>
    </row>
    <row r="323" customFormat="false" ht="12" hidden="false" customHeight="false" outlineLevel="0" collapsed="false">
      <c r="C323" s="234"/>
      <c r="D323" s="234"/>
    </row>
    <row r="324" customFormat="false" ht="12" hidden="false" customHeight="false" outlineLevel="0" collapsed="false">
      <c r="C324" s="234"/>
      <c r="D324" s="234"/>
    </row>
    <row r="325" customFormat="false" ht="12" hidden="false" customHeight="false" outlineLevel="0" collapsed="false">
      <c r="C325" s="234"/>
      <c r="D325" s="234"/>
    </row>
    <row r="326" customFormat="false" ht="12" hidden="false" customHeight="false" outlineLevel="0" collapsed="false">
      <c r="C326" s="234"/>
      <c r="D326" s="234"/>
    </row>
    <row r="327" customFormat="false" ht="12" hidden="false" customHeight="false" outlineLevel="0" collapsed="false">
      <c r="C327" s="234"/>
      <c r="D327" s="234"/>
    </row>
    <row r="328" customFormat="false" ht="12" hidden="false" customHeight="false" outlineLevel="0" collapsed="false">
      <c r="C328" s="234"/>
      <c r="D328" s="234"/>
    </row>
    <row r="329" customFormat="false" ht="12" hidden="false" customHeight="false" outlineLevel="0" collapsed="false">
      <c r="C329" s="234"/>
      <c r="D329" s="234"/>
    </row>
    <row r="330" customFormat="false" ht="12" hidden="false" customHeight="false" outlineLevel="0" collapsed="false">
      <c r="C330" s="234"/>
      <c r="D330" s="234"/>
    </row>
    <row r="331" customFormat="false" ht="12" hidden="false" customHeight="false" outlineLevel="0" collapsed="false">
      <c r="C331" s="234"/>
      <c r="D331" s="234"/>
    </row>
    <row r="332" customFormat="false" ht="12" hidden="false" customHeight="false" outlineLevel="0" collapsed="false">
      <c r="C332" s="234"/>
      <c r="D332" s="234"/>
    </row>
    <row r="333" customFormat="false" ht="12" hidden="false" customHeight="false" outlineLevel="0" collapsed="false">
      <c r="C333" s="234"/>
      <c r="D333" s="234"/>
    </row>
    <row r="334" customFormat="false" ht="12" hidden="false" customHeight="false" outlineLevel="0" collapsed="false">
      <c r="C334" s="234"/>
      <c r="D334" s="234"/>
    </row>
    <row r="335" customFormat="false" ht="12" hidden="false" customHeight="false" outlineLevel="0" collapsed="false">
      <c r="C335" s="234"/>
      <c r="D335" s="234"/>
    </row>
    <row r="336" customFormat="false" ht="12" hidden="false" customHeight="false" outlineLevel="0" collapsed="false">
      <c r="C336" s="234"/>
      <c r="D336" s="234"/>
    </row>
    <row r="337" customFormat="false" ht="12" hidden="false" customHeight="false" outlineLevel="0" collapsed="false">
      <c r="C337" s="234"/>
      <c r="D337" s="234"/>
    </row>
    <row r="338" customFormat="false" ht="12" hidden="false" customHeight="false" outlineLevel="0" collapsed="false">
      <c r="C338" s="234"/>
      <c r="D338" s="234"/>
    </row>
    <row r="339" customFormat="false" ht="12" hidden="false" customHeight="false" outlineLevel="0" collapsed="false">
      <c r="C339" s="234"/>
      <c r="D339" s="234"/>
    </row>
    <row r="340" customFormat="false" ht="12" hidden="false" customHeight="false" outlineLevel="0" collapsed="false">
      <c r="C340" s="234"/>
      <c r="D340" s="234"/>
    </row>
    <row r="341" customFormat="false" ht="12" hidden="false" customHeight="false" outlineLevel="0" collapsed="false">
      <c r="C341" s="234"/>
      <c r="D341" s="234"/>
    </row>
    <row r="342" customFormat="false" ht="12" hidden="false" customHeight="false" outlineLevel="0" collapsed="false">
      <c r="C342" s="234"/>
      <c r="D342" s="234"/>
    </row>
    <row r="343" customFormat="false" ht="12" hidden="false" customHeight="false" outlineLevel="0" collapsed="false">
      <c r="C343" s="234"/>
      <c r="D343" s="234"/>
    </row>
    <row r="344" customFormat="false" ht="12" hidden="false" customHeight="false" outlineLevel="0" collapsed="false">
      <c r="C344" s="234"/>
      <c r="D344" s="234"/>
    </row>
    <row r="345" customFormat="false" ht="12" hidden="false" customHeight="false" outlineLevel="0" collapsed="false">
      <c r="C345" s="234"/>
      <c r="D345" s="234"/>
    </row>
    <row r="346" customFormat="false" ht="12" hidden="false" customHeight="false" outlineLevel="0" collapsed="false">
      <c r="C346" s="234"/>
      <c r="D346" s="234"/>
    </row>
    <row r="347" customFormat="false" ht="12" hidden="false" customHeight="false" outlineLevel="0" collapsed="false">
      <c r="C347" s="234"/>
      <c r="D347" s="234"/>
    </row>
    <row r="348" customFormat="false" ht="12" hidden="false" customHeight="false" outlineLevel="0" collapsed="false">
      <c r="C348" s="234"/>
      <c r="D348" s="234"/>
    </row>
    <row r="349" customFormat="false" ht="12" hidden="false" customHeight="false" outlineLevel="0" collapsed="false">
      <c r="C349" s="234"/>
      <c r="D349" s="234"/>
    </row>
    <row r="350" customFormat="false" ht="12" hidden="false" customHeight="false" outlineLevel="0" collapsed="false">
      <c r="C350" s="234"/>
      <c r="D350" s="234"/>
    </row>
    <row r="351" customFormat="false" ht="12" hidden="false" customHeight="false" outlineLevel="0" collapsed="false">
      <c r="C351" s="234"/>
      <c r="D351" s="234"/>
    </row>
    <row r="352" customFormat="false" ht="12" hidden="false" customHeight="false" outlineLevel="0" collapsed="false">
      <c r="C352" s="234"/>
      <c r="D352" s="234"/>
    </row>
    <row r="353" customFormat="false" ht="12" hidden="false" customHeight="false" outlineLevel="0" collapsed="false">
      <c r="C353" s="234"/>
      <c r="D353" s="234"/>
    </row>
    <row r="354" customFormat="false" ht="12" hidden="false" customHeight="false" outlineLevel="0" collapsed="false">
      <c r="C354" s="234"/>
      <c r="D354" s="234"/>
    </row>
    <row r="355" customFormat="false" ht="12" hidden="false" customHeight="false" outlineLevel="0" collapsed="false">
      <c r="C355" s="234"/>
      <c r="D355" s="234"/>
    </row>
    <row r="356" customFormat="false" ht="12" hidden="false" customHeight="false" outlineLevel="0" collapsed="false">
      <c r="C356" s="234"/>
      <c r="D356" s="234"/>
    </row>
    <row r="357" customFormat="false" ht="12" hidden="false" customHeight="false" outlineLevel="0" collapsed="false">
      <c r="C357" s="234"/>
      <c r="D357" s="234"/>
    </row>
    <row r="358" customFormat="false" ht="12" hidden="false" customHeight="false" outlineLevel="0" collapsed="false">
      <c r="C358" s="234"/>
      <c r="D358" s="234"/>
    </row>
    <row r="359" customFormat="false" ht="12" hidden="false" customHeight="false" outlineLevel="0" collapsed="false">
      <c r="C359" s="234"/>
      <c r="D359" s="234"/>
    </row>
    <row r="360" customFormat="false" ht="12" hidden="false" customHeight="false" outlineLevel="0" collapsed="false">
      <c r="C360" s="234"/>
      <c r="D360" s="234"/>
    </row>
    <row r="361" customFormat="false" ht="12" hidden="false" customHeight="false" outlineLevel="0" collapsed="false">
      <c r="C361" s="234"/>
      <c r="D361" s="234"/>
    </row>
    <row r="362" customFormat="false" ht="12" hidden="false" customHeight="false" outlineLevel="0" collapsed="false">
      <c r="C362" s="234"/>
      <c r="D362" s="234"/>
    </row>
    <row r="363" customFormat="false" ht="12" hidden="false" customHeight="false" outlineLevel="0" collapsed="false">
      <c r="C363" s="234"/>
      <c r="D363" s="234"/>
    </row>
    <row r="364" customFormat="false" ht="12" hidden="false" customHeight="false" outlineLevel="0" collapsed="false">
      <c r="C364" s="234"/>
      <c r="D364" s="234"/>
    </row>
    <row r="365" customFormat="false" ht="12" hidden="false" customHeight="false" outlineLevel="0" collapsed="false">
      <c r="C365" s="234"/>
      <c r="D365" s="234"/>
    </row>
    <row r="366" customFormat="false" ht="12" hidden="false" customHeight="false" outlineLevel="0" collapsed="false">
      <c r="C366" s="234"/>
      <c r="D366" s="234"/>
    </row>
    <row r="367" customFormat="false" ht="12" hidden="false" customHeight="false" outlineLevel="0" collapsed="false">
      <c r="C367" s="234"/>
      <c r="D367" s="234"/>
    </row>
    <row r="368" customFormat="false" ht="12" hidden="false" customHeight="false" outlineLevel="0" collapsed="false">
      <c r="C368" s="234"/>
      <c r="D368" s="234"/>
    </row>
    <row r="369" customFormat="false" ht="12" hidden="false" customHeight="false" outlineLevel="0" collapsed="false">
      <c r="C369" s="234"/>
      <c r="D369" s="234"/>
    </row>
    <row r="370" customFormat="false" ht="12" hidden="false" customHeight="false" outlineLevel="0" collapsed="false">
      <c r="C370" s="234"/>
      <c r="D370" s="234"/>
    </row>
    <row r="371" customFormat="false" ht="12" hidden="false" customHeight="false" outlineLevel="0" collapsed="false">
      <c r="C371" s="234"/>
      <c r="D371" s="234"/>
    </row>
    <row r="372" customFormat="false" ht="12" hidden="false" customHeight="false" outlineLevel="0" collapsed="false">
      <c r="C372" s="234"/>
      <c r="D372" s="234"/>
    </row>
    <row r="373" customFormat="false" ht="12" hidden="false" customHeight="false" outlineLevel="0" collapsed="false">
      <c r="C373" s="234"/>
      <c r="D373" s="234"/>
    </row>
    <row r="374" customFormat="false" ht="12" hidden="false" customHeight="false" outlineLevel="0" collapsed="false">
      <c r="C374" s="234"/>
      <c r="D374" s="234"/>
    </row>
    <row r="375" customFormat="false" ht="12" hidden="false" customHeight="false" outlineLevel="0" collapsed="false">
      <c r="C375" s="234"/>
      <c r="D375" s="234"/>
    </row>
    <row r="376" customFormat="false" ht="12" hidden="false" customHeight="false" outlineLevel="0" collapsed="false">
      <c r="C376" s="234"/>
      <c r="D376" s="234"/>
    </row>
    <row r="377" customFormat="false" ht="12" hidden="false" customHeight="false" outlineLevel="0" collapsed="false">
      <c r="C377" s="234"/>
      <c r="D377" s="234"/>
    </row>
    <row r="378" customFormat="false" ht="12" hidden="false" customHeight="false" outlineLevel="0" collapsed="false">
      <c r="C378" s="234"/>
      <c r="D378" s="234"/>
    </row>
    <row r="379" customFormat="false" ht="12" hidden="false" customHeight="false" outlineLevel="0" collapsed="false">
      <c r="C379" s="234"/>
      <c r="D379" s="234"/>
    </row>
    <row r="380" customFormat="false" ht="12" hidden="false" customHeight="false" outlineLevel="0" collapsed="false">
      <c r="C380" s="234"/>
      <c r="D380" s="234"/>
    </row>
    <row r="381" customFormat="false" ht="12" hidden="false" customHeight="false" outlineLevel="0" collapsed="false">
      <c r="C381" s="234"/>
      <c r="D381" s="234"/>
    </row>
    <row r="382" customFormat="false" ht="12" hidden="false" customHeight="false" outlineLevel="0" collapsed="false">
      <c r="C382" s="234"/>
      <c r="D382" s="234"/>
    </row>
    <row r="383" customFormat="false" ht="12" hidden="false" customHeight="false" outlineLevel="0" collapsed="false">
      <c r="C383" s="234"/>
      <c r="D383" s="234"/>
    </row>
    <row r="384" customFormat="false" ht="12" hidden="false" customHeight="false" outlineLevel="0" collapsed="false">
      <c r="C384" s="234"/>
      <c r="D384" s="234"/>
    </row>
    <row r="385" customFormat="false" ht="12" hidden="false" customHeight="false" outlineLevel="0" collapsed="false">
      <c r="C385" s="234"/>
      <c r="D385" s="234"/>
    </row>
    <row r="386" customFormat="false" ht="12" hidden="false" customHeight="false" outlineLevel="0" collapsed="false">
      <c r="C386" s="234"/>
      <c r="D386" s="234"/>
    </row>
    <row r="387" customFormat="false" ht="12" hidden="false" customHeight="false" outlineLevel="0" collapsed="false">
      <c r="C387" s="234"/>
      <c r="D387" s="234"/>
    </row>
    <row r="388" customFormat="false" ht="12" hidden="false" customHeight="false" outlineLevel="0" collapsed="false">
      <c r="C388" s="234"/>
      <c r="D388" s="234"/>
    </row>
    <row r="389" customFormat="false" ht="12" hidden="false" customHeight="false" outlineLevel="0" collapsed="false">
      <c r="C389" s="234"/>
      <c r="D389" s="234"/>
    </row>
    <row r="390" customFormat="false" ht="12" hidden="false" customHeight="false" outlineLevel="0" collapsed="false">
      <c r="C390" s="234"/>
      <c r="D390" s="234"/>
    </row>
    <row r="391" customFormat="false" ht="12" hidden="false" customHeight="false" outlineLevel="0" collapsed="false">
      <c r="C391" s="234"/>
      <c r="D391" s="234"/>
    </row>
    <row r="392" customFormat="false" ht="12" hidden="false" customHeight="false" outlineLevel="0" collapsed="false">
      <c r="C392" s="234"/>
      <c r="D392" s="234"/>
    </row>
    <row r="393" customFormat="false" ht="12" hidden="false" customHeight="false" outlineLevel="0" collapsed="false">
      <c r="C393" s="234"/>
      <c r="D393" s="234"/>
    </row>
    <row r="394" customFormat="false" ht="12" hidden="false" customHeight="false" outlineLevel="0" collapsed="false">
      <c r="C394" s="234"/>
      <c r="D394" s="234"/>
    </row>
    <row r="395" customFormat="false" ht="12" hidden="false" customHeight="false" outlineLevel="0" collapsed="false">
      <c r="C395" s="234"/>
      <c r="D395" s="234"/>
    </row>
    <row r="396" customFormat="false" ht="12" hidden="false" customHeight="false" outlineLevel="0" collapsed="false">
      <c r="C396" s="234"/>
      <c r="D396" s="234"/>
    </row>
    <row r="397" customFormat="false" ht="12" hidden="false" customHeight="false" outlineLevel="0" collapsed="false">
      <c r="C397" s="234"/>
      <c r="D397" s="234"/>
    </row>
    <row r="398" customFormat="false" ht="12" hidden="false" customHeight="false" outlineLevel="0" collapsed="false">
      <c r="C398" s="234"/>
      <c r="D398" s="234"/>
    </row>
    <row r="399" customFormat="false" ht="12" hidden="false" customHeight="false" outlineLevel="0" collapsed="false">
      <c r="C399" s="234"/>
      <c r="D399" s="234"/>
    </row>
    <row r="400" customFormat="false" ht="12" hidden="false" customHeight="false" outlineLevel="0" collapsed="false">
      <c r="C400" s="234"/>
      <c r="D400" s="234"/>
    </row>
    <row r="401" customFormat="false" ht="12" hidden="false" customHeight="false" outlineLevel="0" collapsed="false">
      <c r="C401" s="234"/>
      <c r="D401" s="234"/>
    </row>
    <row r="402" customFormat="false" ht="12" hidden="false" customHeight="false" outlineLevel="0" collapsed="false">
      <c r="C402" s="234"/>
      <c r="D402" s="234"/>
    </row>
    <row r="403" customFormat="false" ht="12" hidden="false" customHeight="false" outlineLevel="0" collapsed="false">
      <c r="C403" s="234"/>
      <c r="D403" s="234"/>
    </row>
    <row r="404" customFormat="false" ht="12" hidden="false" customHeight="false" outlineLevel="0" collapsed="false">
      <c r="C404" s="234"/>
      <c r="D404" s="234"/>
    </row>
    <row r="405" customFormat="false" ht="12" hidden="false" customHeight="false" outlineLevel="0" collapsed="false">
      <c r="C405" s="234"/>
      <c r="D405" s="234"/>
    </row>
    <row r="406" customFormat="false" ht="12" hidden="false" customHeight="false" outlineLevel="0" collapsed="false">
      <c r="C406" s="234"/>
      <c r="D406" s="234"/>
    </row>
    <row r="407" customFormat="false" ht="12" hidden="false" customHeight="false" outlineLevel="0" collapsed="false">
      <c r="C407" s="234"/>
      <c r="D407" s="234"/>
    </row>
    <row r="408" customFormat="false" ht="12" hidden="false" customHeight="false" outlineLevel="0" collapsed="false">
      <c r="C408" s="234"/>
      <c r="D408" s="234"/>
    </row>
    <row r="409" customFormat="false" ht="12" hidden="false" customHeight="false" outlineLevel="0" collapsed="false">
      <c r="C409" s="234"/>
      <c r="D409" s="234"/>
    </row>
    <row r="410" customFormat="false" ht="12" hidden="false" customHeight="false" outlineLevel="0" collapsed="false">
      <c r="C410" s="234"/>
      <c r="D410" s="234"/>
    </row>
    <row r="411" customFormat="false" ht="12" hidden="false" customHeight="false" outlineLevel="0" collapsed="false">
      <c r="C411" s="234"/>
      <c r="D411" s="234"/>
    </row>
    <row r="412" customFormat="false" ht="12" hidden="false" customHeight="false" outlineLevel="0" collapsed="false">
      <c r="C412" s="234"/>
      <c r="D412" s="234"/>
    </row>
    <row r="413" customFormat="false" ht="12" hidden="false" customHeight="false" outlineLevel="0" collapsed="false">
      <c r="C413" s="234"/>
      <c r="D413" s="234"/>
    </row>
    <row r="414" customFormat="false" ht="12" hidden="false" customHeight="false" outlineLevel="0" collapsed="false">
      <c r="C414" s="234"/>
      <c r="D414" s="234"/>
    </row>
    <row r="415" customFormat="false" ht="12" hidden="false" customHeight="false" outlineLevel="0" collapsed="false">
      <c r="C415" s="234"/>
      <c r="D415" s="234"/>
    </row>
    <row r="416" customFormat="false" ht="12" hidden="false" customHeight="false" outlineLevel="0" collapsed="false">
      <c r="C416" s="234"/>
      <c r="D416" s="234"/>
    </row>
    <row r="417" customFormat="false" ht="12" hidden="false" customHeight="false" outlineLevel="0" collapsed="false">
      <c r="C417" s="234"/>
      <c r="D417" s="234"/>
    </row>
    <row r="418" customFormat="false" ht="12" hidden="false" customHeight="false" outlineLevel="0" collapsed="false">
      <c r="C418" s="234"/>
      <c r="D418" s="234"/>
    </row>
    <row r="419" customFormat="false" ht="12" hidden="false" customHeight="false" outlineLevel="0" collapsed="false">
      <c r="C419" s="234"/>
      <c r="D419" s="234"/>
    </row>
    <row r="420" customFormat="false" ht="12" hidden="false" customHeight="false" outlineLevel="0" collapsed="false">
      <c r="C420" s="234"/>
      <c r="D420" s="234"/>
    </row>
    <row r="421" customFormat="false" ht="12" hidden="false" customHeight="false" outlineLevel="0" collapsed="false">
      <c r="C421" s="234"/>
      <c r="D421" s="234"/>
    </row>
    <row r="422" customFormat="false" ht="12" hidden="false" customHeight="false" outlineLevel="0" collapsed="false">
      <c r="C422" s="234"/>
      <c r="D422" s="234"/>
    </row>
    <row r="423" customFormat="false" ht="12" hidden="false" customHeight="false" outlineLevel="0" collapsed="false">
      <c r="C423" s="234"/>
      <c r="D423" s="234"/>
    </row>
    <row r="424" customFormat="false" ht="12" hidden="false" customHeight="false" outlineLevel="0" collapsed="false">
      <c r="C424" s="234"/>
      <c r="D424" s="234"/>
    </row>
    <row r="425" customFormat="false" ht="12" hidden="false" customHeight="false" outlineLevel="0" collapsed="false">
      <c r="C425" s="234"/>
      <c r="D425" s="234"/>
    </row>
    <row r="426" customFormat="false" ht="12" hidden="false" customHeight="false" outlineLevel="0" collapsed="false">
      <c r="C426" s="234"/>
      <c r="D426" s="234"/>
    </row>
    <row r="427" customFormat="false" ht="12" hidden="false" customHeight="false" outlineLevel="0" collapsed="false">
      <c r="C427" s="234"/>
      <c r="D427" s="234"/>
    </row>
    <row r="428" customFormat="false" ht="12" hidden="false" customHeight="false" outlineLevel="0" collapsed="false">
      <c r="C428" s="234"/>
      <c r="D428" s="234"/>
    </row>
    <row r="429" customFormat="false" ht="12" hidden="false" customHeight="false" outlineLevel="0" collapsed="false">
      <c r="C429" s="234"/>
      <c r="D429" s="234"/>
    </row>
    <row r="430" customFormat="false" ht="12" hidden="false" customHeight="false" outlineLevel="0" collapsed="false">
      <c r="C430" s="234"/>
      <c r="D430" s="234"/>
    </row>
    <row r="431" customFormat="false" ht="12" hidden="false" customHeight="false" outlineLevel="0" collapsed="false">
      <c r="C431" s="234"/>
      <c r="D431" s="234"/>
    </row>
    <row r="432" customFormat="false" ht="12" hidden="false" customHeight="false" outlineLevel="0" collapsed="false">
      <c r="C432" s="234"/>
      <c r="D432" s="234"/>
    </row>
    <row r="433" customFormat="false" ht="12" hidden="false" customHeight="false" outlineLevel="0" collapsed="false">
      <c r="C433" s="234"/>
      <c r="D433" s="234"/>
    </row>
    <row r="434" customFormat="false" ht="12" hidden="false" customHeight="false" outlineLevel="0" collapsed="false">
      <c r="C434" s="234"/>
      <c r="D434" s="234"/>
    </row>
    <row r="435" customFormat="false" ht="12" hidden="false" customHeight="false" outlineLevel="0" collapsed="false">
      <c r="C435" s="234"/>
      <c r="D435" s="234"/>
    </row>
    <row r="436" customFormat="false" ht="12" hidden="false" customHeight="false" outlineLevel="0" collapsed="false">
      <c r="C436" s="234"/>
      <c r="D436" s="234"/>
    </row>
    <row r="437" customFormat="false" ht="12" hidden="false" customHeight="false" outlineLevel="0" collapsed="false">
      <c r="C437" s="234"/>
      <c r="D437" s="234"/>
    </row>
    <row r="438" customFormat="false" ht="12" hidden="false" customHeight="false" outlineLevel="0" collapsed="false">
      <c r="C438" s="234"/>
      <c r="D438" s="234"/>
    </row>
    <row r="439" customFormat="false" ht="12" hidden="false" customHeight="false" outlineLevel="0" collapsed="false">
      <c r="C439" s="234"/>
      <c r="D439" s="234"/>
    </row>
    <row r="440" customFormat="false" ht="12" hidden="false" customHeight="false" outlineLevel="0" collapsed="false">
      <c r="C440" s="234"/>
      <c r="D440" s="234"/>
    </row>
    <row r="441" customFormat="false" ht="12" hidden="false" customHeight="false" outlineLevel="0" collapsed="false">
      <c r="C441" s="234"/>
      <c r="D441" s="234"/>
    </row>
    <row r="442" customFormat="false" ht="12" hidden="false" customHeight="false" outlineLevel="0" collapsed="false">
      <c r="C442" s="234"/>
      <c r="D442" s="234"/>
    </row>
    <row r="443" customFormat="false" ht="12" hidden="false" customHeight="false" outlineLevel="0" collapsed="false">
      <c r="C443" s="234"/>
      <c r="D443" s="234"/>
    </row>
    <row r="444" customFormat="false" ht="12" hidden="false" customHeight="false" outlineLevel="0" collapsed="false">
      <c r="C444" s="234"/>
      <c r="D444" s="234"/>
    </row>
    <row r="445" customFormat="false" ht="12" hidden="false" customHeight="false" outlineLevel="0" collapsed="false">
      <c r="C445" s="234"/>
      <c r="D445" s="234"/>
    </row>
    <row r="446" customFormat="false" ht="12" hidden="false" customHeight="false" outlineLevel="0" collapsed="false">
      <c r="C446" s="234"/>
      <c r="D446" s="234"/>
    </row>
    <row r="447" customFormat="false" ht="12" hidden="false" customHeight="false" outlineLevel="0" collapsed="false">
      <c r="C447" s="234"/>
      <c r="D447" s="234"/>
    </row>
    <row r="448" customFormat="false" ht="12" hidden="false" customHeight="false" outlineLevel="0" collapsed="false">
      <c r="C448" s="234"/>
      <c r="D448" s="234"/>
    </row>
    <row r="449" customFormat="false" ht="12" hidden="false" customHeight="false" outlineLevel="0" collapsed="false">
      <c r="C449" s="234"/>
      <c r="D449" s="234"/>
    </row>
    <row r="450" customFormat="false" ht="12" hidden="false" customHeight="false" outlineLevel="0" collapsed="false">
      <c r="C450" s="234"/>
      <c r="D450" s="234"/>
    </row>
    <row r="451" customFormat="false" ht="12" hidden="false" customHeight="false" outlineLevel="0" collapsed="false">
      <c r="C451" s="234"/>
      <c r="D451" s="234"/>
    </row>
    <row r="452" customFormat="false" ht="12" hidden="false" customHeight="false" outlineLevel="0" collapsed="false">
      <c r="C452" s="234"/>
      <c r="D452" s="234"/>
    </row>
    <row r="453" customFormat="false" ht="12" hidden="false" customHeight="false" outlineLevel="0" collapsed="false">
      <c r="C453" s="234"/>
      <c r="D453" s="234"/>
    </row>
    <row r="454" customFormat="false" ht="12" hidden="false" customHeight="false" outlineLevel="0" collapsed="false">
      <c r="C454" s="234"/>
      <c r="D454" s="234"/>
    </row>
    <row r="455" customFormat="false" ht="12" hidden="false" customHeight="false" outlineLevel="0" collapsed="false">
      <c r="C455" s="234"/>
      <c r="D455" s="234"/>
    </row>
    <row r="456" customFormat="false" ht="12" hidden="false" customHeight="false" outlineLevel="0" collapsed="false">
      <c r="C456" s="234"/>
      <c r="D456" s="234"/>
    </row>
    <row r="457" customFormat="false" ht="12" hidden="false" customHeight="false" outlineLevel="0" collapsed="false">
      <c r="C457" s="234"/>
      <c r="D457" s="234"/>
    </row>
    <row r="458" customFormat="false" ht="12" hidden="false" customHeight="false" outlineLevel="0" collapsed="false">
      <c r="C458" s="234"/>
      <c r="D458" s="234"/>
    </row>
    <row r="459" customFormat="false" ht="12" hidden="false" customHeight="false" outlineLevel="0" collapsed="false">
      <c r="C459" s="234"/>
      <c r="D459" s="234"/>
    </row>
    <row r="460" customFormat="false" ht="12" hidden="false" customHeight="false" outlineLevel="0" collapsed="false">
      <c r="C460" s="234"/>
      <c r="D460" s="234"/>
    </row>
    <row r="461" customFormat="false" ht="12" hidden="false" customHeight="false" outlineLevel="0" collapsed="false">
      <c r="C461" s="234"/>
      <c r="D461" s="234"/>
    </row>
    <row r="462" customFormat="false" ht="12" hidden="false" customHeight="false" outlineLevel="0" collapsed="false">
      <c r="C462" s="234"/>
      <c r="D462" s="234"/>
    </row>
    <row r="463" customFormat="false" ht="12" hidden="false" customHeight="false" outlineLevel="0" collapsed="false">
      <c r="C463" s="234"/>
      <c r="D463" s="234"/>
    </row>
    <row r="464" customFormat="false" ht="12" hidden="false" customHeight="false" outlineLevel="0" collapsed="false">
      <c r="C464" s="234"/>
      <c r="D464" s="234"/>
    </row>
    <row r="465" customFormat="false" ht="12" hidden="false" customHeight="false" outlineLevel="0" collapsed="false">
      <c r="C465" s="234"/>
      <c r="D465" s="234"/>
    </row>
    <row r="466" customFormat="false" ht="12" hidden="false" customHeight="false" outlineLevel="0" collapsed="false">
      <c r="C466" s="234"/>
      <c r="D466" s="234"/>
    </row>
    <row r="467" customFormat="false" ht="12" hidden="false" customHeight="false" outlineLevel="0" collapsed="false">
      <c r="C467" s="234"/>
      <c r="D467" s="234"/>
    </row>
    <row r="468" customFormat="false" ht="12" hidden="false" customHeight="false" outlineLevel="0" collapsed="false">
      <c r="C468" s="234"/>
      <c r="D468" s="234"/>
    </row>
    <row r="469" customFormat="false" ht="12" hidden="false" customHeight="false" outlineLevel="0" collapsed="false">
      <c r="C469" s="234"/>
      <c r="D469" s="234"/>
    </row>
    <row r="470" customFormat="false" ht="12" hidden="false" customHeight="false" outlineLevel="0" collapsed="false">
      <c r="C470" s="234"/>
      <c r="D470" s="234"/>
    </row>
    <row r="471" customFormat="false" ht="12" hidden="false" customHeight="false" outlineLevel="0" collapsed="false">
      <c r="C471" s="234"/>
      <c r="D471" s="234"/>
    </row>
    <row r="472" customFormat="false" ht="12" hidden="false" customHeight="false" outlineLevel="0" collapsed="false">
      <c r="C472" s="234"/>
      <c r="D472" s="234"/>
    </row>
    <row r="473" customFormat="false" ht="12" hidden="false" customHeight="false" outlineLevel="0" collapsed="false">
      <c r="C473" s="234"/>
      <c r="D473" s="234"/>
    </row>
    <row r="474" customFormat="false" ht="12" hidden="false" customHeight="false" outlineLevel="0" collapsed="false">
      <c r="C474" s="234"/>
      <c r="D474" s="234"/>
    </row>
    <row r="475" customFormat="false" ht="12" hidden="false" customHeight="false" outlineLevel="0" collapsed="false">
      <c r="C475" s="234"/>
      <c r="D475" s="234"/>
    </row>
    <row r="476" customFormat="false" ht="12" hidden="false" customHeight="false" outlineLevel="0" collapsed="false">
      <c r="C476" s="234"/>
      <c r="D476" s="234"/>
    </row>
    <row r="477" customFormat="false" ht="12" hidden="false" customHeight="false" outlineLevel="0" collapsed="false">
      <c r="C477" s="234"/>
      <c r="D477" s="234"/>
    </row>
    <row r="478" customFormat="false" ht="12" hidden="false" customHeight="false" outlineLevel="0" collapsed="false">
      <c r="C478" s="234"/>
      <c r="D478" s="234"/>
    </row>
    <row r="479" customFormat="false" ht="12" hidden="false" customHeight="false" outlineLevel="0" collapsed="false">
      <c r="C479" s="234"/>
      <c r="D479" s="234"/>
    </row>
    <row r="480" customFormat="false" ht="12" hidden="false" customHeight="false" outlineLevel="0" collapsed="false">
      <c r="C480" s="234"/>
      <c r="D480" s="234"/>
    </row>
    <row r="481" customFormat="false" ht="12" hidden="false" customHeight="false" outlineLevel="0" collapsed="false">
      <c r="C481" s="234"/>
      <c r="D481" s="234"/>
    </row>
    <row r="482" customFormat="false" ht="12" hidden="false" customHeight="false" outlineLevel="0" collapsed="false">
      <c r="C482" s="234"/>
      <c r="D482" s="234"/>
    </row>
    <row r="483" customFormat="false" ht="12" hidden="false" customHeight="false" outlineLevel="0" collapsed="false">
      <c r="C483" s="234"/>
      <c r="D483" s="234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69" t="s">
        <v>537</v>
      </c>
      <c r="B2" s="869" t="s">
        <v>537</v>
      </c>
      <c r="C2" s="869" t="s">
        <v>537</v>
      </c>
      <c r="D2" s="869" t="s">
        <v>537</v>
      </c>
      <c r="E2" s="869" t="s">
        <v>537</v>
      </c>
      <c r="F2" s="869" t="s">
        <v>537</v>
      </c>
      <c r="G2" s="869" t="s">
        <v>537</v>
      </c>
      <c r="H2" s="869" t="s">
        <v>537</v>
      </c>
      <c r="I2" s="870" t="s">
        <v>537</v>
      </c>
      <c r="J2" s="870"/>
    </row>
    <row r="14" customFormat="false" ht="30" hidden="false" customHeight="false" outlineLevel="0" collapsed="false">
      <c r="A14" s="869" t="s">
        <v>538</v>
      </c>
      <c r="B14" s="869" t="s">
        <v>538</v>
      </c>
      <c r="C14" s="869" t="s">
        <v>538</v>
      </c>
      <c r="D14" s="869" t="s">
        <v>538</v>
      </c>
      <c r="E14" s="869" t="s">
        <v>538</v>
      </c>
      <c r="F14" s="869" t="s">
        <v>538</v>
      </c>
      <c r="G14" s="869" t="s">
        <v>538</v>
      </c>
      <c r="H14" s="869" t="s">
        <v>538</v>
      </c>
      <c r="I14" s="870" t="s">
        <v>538</v>
      </c>
      <c r="J14" s="87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0" t="s">
        <v>537</v>
      </c>
      <c r="B2" s="870"/>
      <c r="C2" s="870"/>
      <c r="D2" s="870"/>
      <c r="E2" s="870"/>
      <c r="F2" s="870"/>
      <c r="G2" s="870"/>
      <c r="H2" s="870"/>
      <c r="I2" s="870"/>
      <c r="J2" s="870"/>
    </row>
    <row r="5" customFormat="false" ht="15.75" hidden="false" customHeight="false" outlineLevel="0" collapsed="false">
      <c r="C5" s="871" t="s">
        <v>539</v>
      </c>
      <c r="D5" s="9" t="s">
        <v>540</v>
      </c>
      <c r="F5" s="871" t="s">
        <v>541</v>
      </c>
      <c r="G5" s="9" t="s">
        <v>542</v>
      </c>
    </row>
    <row r="6" customFormat="false" ht="15" hidden="false" customHeight="false" outlineLevel="0" collapsed="false">
      <c r="D6" s="9" t="s">
        <v>543</v>
      </c>
      <c r="G6" s="9" t="s">
        <v>544</v>
      </c>
    </row>
    <row r="7" customFormat="false" ht="15" hidden="false" customHeight="false" outlineLevel="0" collapsed="false">
      <c r="D7" s="9" t="s">
        <v>544</v>
      </c>
    </row>
    <row r="8" customFormat="false" ht="15" hidden="false" customHeight="false" outlineLevel="0" collapsed="false">
      <c r="G8" s="9" t="s">
        <v>545</v>
      </c>
    </row>
    <row r="9" customFormat="false" ht="15" hidden="false" customHeight="false" outlineLevel="0" collapsed="false">
      <c r="D9" s="9" t="s">
        <v>546</v>
      </c>
      <c r="G9" s="9" t="s">
        <v>547</v>
      </c>
    </row>
    <row r="10" customFormat="false" ht="15" hidden="false" customHeight="false" outlineLevel="0" collapsed="false">
      <c r="D10" s="9" t="s">
        <v>548</v>
      </c>
    </row>
    <row r="11" customFormat="false" ht="15.75" hidden="false" customHeight="false" outlineLevel="0" collapsed="false">
      <c r="D11" s="871" t="s">
        <v>549</v>
      </c>
    </row>
    <row r="12" customFormat="false" ht="15.75" hidden="false" customHeight="false" outlineLevel="0" collapsed="false">
      <c r="D12" s="871" t="s">
        <v>550</v>
      </c>
    </row>
    <row r="14" customFormat="false" ht="30" hidden="false" customHeight="false" outlineLevel="0" collapsed="false">
      <c r="A14" s="870" t="s">
        <v>538</v>
      </c>
      <c r="B14" s="870"/>
      <c r="C14" s="870"/>
      <c r="D14" s="870"/>
      <c r="E14" s="870"/>
      <c r="F14" s="870"/>
      <c r="G14" s="870"/>
      <c r="H14" s="870"/>
      <c r="I14" s="870"/>
      <c r="J14" s="870"/>
    </row>
    <row r="16" customFormat="false" ht="15" hidden="false" customHeight="false" outlineLevel="0" collapsed="false">
      <c r="B16" s="4" t="s">
        <v>551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552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2" t="s">
        <v>553</v>
      </c>
      <c r="C18" s="872"/>
      <c r="D18" s="872"/>
      <c r="E18" s="872"/>
      <c r="F18" s="872"/>
      <c r="G18" s="872"/>
      <c r="H18" s="872"/>
      <c r="I18" s="872"/>
    </row>
    <row r="19" customFormat="false" ht="15.75" hidden="false" customHeight="false" outlineLevel="0" collapsed="false"/>
    <row r="20" customFormat="false" ht="21" hidden="false" customHeight="false" outlineLevel="0" collapsed="false">
      <c r="B20" s="873" t="s">
        <v>554</v>
      </c>
      <c r="C20" s="873"/>
      <c r="D20" s="873"/>
      <c r="E20" s="873"/>
      <c r="F20" s="873"/>
      <c r="G20" s="873"/>
      <c r="H20" s="873"/>
      <c r="I20" s="873"/>
    </row>
    <row r="22" customFormat="false" ht="15" hidden="false" customHeight="false" outlineLevel="0" collapsed="false">
      <c r="B22" s="9" t="s">
        <v>555</v>
      </c>
      <c r="D22" s="874" t="n">
        <f aca="true">NOW()</f>
        <v>45927.0032057013</v>
      </c>
      <c r="F22" s="9" t="s">
        <v>556</v>
      </c>
      <c r="G22" s="875" t="n">
        <f aca="true">NOW()</f>
        <v>45927.0032057013</v>
      </c>
    </row>
    <row r="24" customFormat="false" ht="15" hidden="false" customHeight="false" outlineLevel="0" collapsed="false">
      <c r="B24" s="9" t="s">
        <v>557</v>
      </c>
      <c r="D24" s="876" t="s">
        <v>558</v>
      </c>
      <c r="E24" s="0" t="s">
        <v>0</v>
      </c>
      <c r="F24" s="9" t="s">
        <v>559</v>
      </c>
      <c r="G24" s="877" t="s">
        <v>560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78" t="s">
        <v>0</v>
      </c>
      <c r="C26" s="9" t="s">
        <v>561</v>
      </c>
    </row>
    <row r="27" customFormat="false" ht="15.75" hidden="false" customHeight="false" outlineLevel="0" collapsed="false">
      <c r="B27" s="878" t="s">
        <v>0</v>
      </c>
      <c r="C27" s="9" t="s">
        <v>562</v>
      </c>
    </row>
    <row r="28" customFormat="false" ht="15.75" hidden="false" customHeight="false" outlineLevel="0" collapsed="false">
      <c r="B28" s="878" t="s">
        <v>563</v>
      </c>
      <c r="C28" s="9" t="s">
        <v>564</v>
      </c>
    </row>
    <row r="29" customFormat="false" ht="15" hidden="false" customHeight="false" outlineLevel="0" collapsed="false">
      <c r="B29" s="0" t="s">
        <v>0</v>
      </c>
      <c r="C29" s="9" t="s">
        <v>565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566</v>
      </c>
      <c r="E32" s="879" t="n">
        <v>35915</v>
      </c>
    </row>
    <row r="34" customFormat="false" ht="15.75" hidden="false" customHeight="false" outlineLevel="0" collapsed="false">
      <c r="B34" s="9" t="s">
        <v>567</v>
      </c>
      <c r="E34" s="880" t="n">
        <v>0</v>
      </c>
      <c r="F34" s="0" t="s">
        <v>568</v>
      </c>
    </row>
    <row r="36" customFormat="false" ht="15.75" hidden="false" customHeight="false" outlineLevel="0" collapsed="false">
      <c r="B36" s="9" t="s">
        <v>569</v>
      </c>
      <c r="E36" s="880" t="n">
        <v>0</v>
      </c>
      <c r="F36" s="0" t="s">
        <v>568</v>
      </c>
    </row>
    <row r="38" customFormat="false" ht="15.75" hidden="false" customHeight="false" outlineLevel="0" collapsed="false">
      <c r="B38" s="0" t="s">
        <v>570</v>
      </c>
      <c r="E38" s="874" t="n">
        <f aca="false">+E32+1</f>
        <v>35916</v>
      </c>
      <c r="F38" s="880" t="n">
        <v>0</v>
      </c>
      <c r="G38" s="0" t="s">
        <v>568</v>
      </c>
    </row>
    <row r="39" customFormat="false" ht="15.75" hidden="false" customHeight="false" outlineLevel="0" collapsed="false">
      <c r="E39" s="874" t="n">
        <f aca="false">+E38+1</f>
        <v>35917</v>
      </c>
      <c r="F39" s="880" t="n">
        <v>0</v>
      </c>
      <c r="G39" s="0" t="s">
        <v>568</v>
      </c>
    </row>
    <row r="40" customFormat="false" ht="15.75" hidden="false" customHeight="false" outlineLevel="0" collapsed="false">
      <c r="E40" s="874" t="n">
        <f aca="false">+E39+1</f>
        <v>35918</v>
      </c>
      <c r="F40" s="880" t="n">
        <v>0</v>
      </c>
      <c r="G40" s="0" t="s">
        <v>568</v>
      </c>
    </row>
    <row r="41" customFormat="false" ht="15.75" hidden="false" customHeight="false" outlineLevel="0" collapsed="false">
      <c r="E41" s="874" t="n">
        <f aca="false">+E40+1</f>
        <v>35919</v>
      </c>
      <c r="F41" s="880" t="n">
        <v>0</v>
      </c>
      <c r="G41" s="0" t="s">
        <v>568</v>
      </c>
    </row>
    <row r="42" customFormat="false" ht="15.75" hidden="false" customHeight="false" outlineLevel="0" collapsed="false">
      <c r="E42" s="874" t="n">
        <f aca="false">+E41+1</f>
        <v>35920</v>
      </c>
      <c r="F42" s="880" t="n">
        <v>0</v>
      </c>
      <c r="G42" s="0" t="s">
        <v>568</v>
      </c>
    </row>
    <row r="44" customFormat="false" ht="15" hidden="false" customHeight="false" outlineLevel="0" collapsed="false">
      <c r="B44" s="9" t="s">
        <v>571</v>
      </c>
      <c r="D44" s="877"/>
      <c r="E44" s="877"/>
      <c r="F44" s="877"/>
      <c r="G44" s="877"/>
      <c r="H44" s="877"/>
    </row>
    <row r="45" customFormat="false" ht="15" hidden="false" customHeight="false" outlineLevel="0" collapsed="false">
      <c r="D45" s="877"/>
      <c r="E45" s="877"/>
      <c r="F45" s="877"/>
      <c r="G45" s="877"/>
      <c r="H45" s="877"/>
    </row>
    <row r="47" customFormat="false" ht="15" hidden="false" customHeight="false" outlineLevel="0" collapsed="false">
      <c r="B47" s="881" t="s">
        <v>397</v>
      </c>
      <c r="C47" s="881" t="s">
        <v>0</v>
      </c>
      <c r="D47" s="882"/>
    </row>
    <row r="48" customFormat="false" ht="15" hidden="false" customHeight="false" outlineLevel="0" collapsed="false">
      <c r="B48" s="883"/>
      <c r="C48" s="881" t="s">
        <v>0</v>
      </c>
      <c r="D48" s="882"/>
    </row>
    <row r="49" customFormat="false" ht="15" hidden="false" customHeight="false" outlineLevel="0" collapsed="false">
      <c r="B49" s="883"/>
      <c r="C49" s="881" t="s">
        <v>572</v>
      </c>
      <c r="D49" s="882"/>
    </row>
    <row r="50" customFormat="false" ht="15" hidden="false" customHeight="false" outlineLevel="0" collapsed="false">
      <c r="B50" s="883"/>
      <c r="C50" s="881" t="s">
        <v>573</v>
      </c>
    </row>
    <row r="51" customFormat="false" ht="15" hidden="false" customHeight="false" outlineLevel="0" collapsed="false">
      <c r="B51" s="883"/>
      <c r="C51" s="881" t="s">
        <v>574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0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8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85" width="13.65"/>
    <col collapsed="false" customWidth="true" hidden="false" outlineLevel="0" max="7" min="7" style="27" width="8.21"/>
    <col collapsed="false" customWidth="false" hidden="false" outlineLevel="0" max="8" min="8" style="88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87" t="s">
        <v>0</v>
      </c>
      <c r="B1" s="27"/>
      <c r="C1" s="13"/>
      <c r="D1" s="888" t="s">
        <v>0</v>
      </c>
      <c r="E1" s="13"/>
      <c r="F1" s="16"/>
      <c r="G1" s="13"/>
      <c r="H1" s="889"/>
      <c r="I1" s="13"/>
    </row>
    <row r="2" customFormat="false" ht="15" hidden="false" customHeight="false" outlineLevel="0" collapsed="false">
      <c r="A2" s="13"/>
      <c r="B2" s="890"/>
      <c r="C2" s="13"/>
      <c r="D2" s="13"/>
      <c r="E2" s="13"/>
      <c r="F2" s="16"/>
      <c r="G2" s="13"/>
      <c r="H2" s="889"/>
      <c r="I2" s="13"/>
    </row>
    <row r="3" customFormat="false" ht="15" hidden="false" customHeight="false" outlineLevel="0" collapsed="false">
      <c r="A3" s="891" t="s">
        <v>8</v>
      </c>
      <c r="B3" s="892" t="s">
        <v>0</v>
      </c>
      <c r="C3" s="13"/>
      <c r="D3" s="13"/>
      <c r="E3" s="13"/>
      <c r="F3" s="16"/>
      <c r="G3" s="13"/>
      <c r="H3" s="889"/>
      <c r="I3" s="13"/>
    </row>
    <row r="4" customFormat="false" ht="15" hidden="false" customHeight="false" outlineLevel="0" collapsed="false">
      <c r="A4" s="13"/>
      <c r="B4" s="892"/>
      <c r="C4" s="13"/>
      <c r="D4" s="893" t="s">
        <v>575</v>
      </c>
      <c r="E4" s="893"/>
      <c r="F4" s="893" t="s">
        <v>576</v>
      </c>
      <c r="G4" s="893"/>
      <c r="H4" s="894"/>
      <c r="I4" s="895" t="s">
        <v>577</v>
      </c>
    </row>
    <row r="5" customFormat="false" ht="15" hidden="false" customHeight="false" outlineLevel="0" collapsed="false">
      <c r="A5" s="890" t="str">
        <f aca="false">CHOOSE(WEEKDAY(B5),"Sunday","Monday","Tuesday","Wednesday","Thursday","Friday","Saturday")</f>
        <v>Sunday</v>
      </c>
      <c r="B5" s="896" t="n">
        <f aca="false">Weather_Input!A5</f>
        <v>37059</v>
      </c>
      <c r="C5" s="13"/>
      <c r="D5" s="897" t="s">
        <v>578</v>
      </c>
      <c r="E5" s="898" t="n">
        <f aca="false">Weather_Input!B5</f>
        <v>87</v>
      </c>
      <c r="F5" s="899" t="s">
        <v>579</v>
      </c>
      <c r="G5" s="900" t="n">
        <f aca="false">Weather_Input!H5</f>
        <v>0</v>
      </c>
      <c r="H5" s="901" t="s">
        <v>580</v>
      </c>
      <c r="I5" s="902" t="n">
        <f aca="true">G5-(VLOOKUP(B5,DD_Normal_Data,CELL("Col",B6),FALSE()))</f>
        <v>-1</v>
      </c>
    </row>
    <row r="6" customFormat="false" ht="15" hidden="false" customHeight="false" outlineLevel="0" collapsed="false">
      <c r="A6" s="890"/>
      <c r="B6" s="896"/>
      <c r="C6" s="13"/>
      <c r="D6" s="897" t="s">
        <v>282</v>
      </c>
      <c r="E6" s="898" t="n">
        <f aca="false">Weather_Input!C5</f>
        <v>66</v>
      </c>
      <c r="F6" s="899" t="s">
        <v>581</v>
      </c>
      <c r="G6" s="900" t="n">
        <f aca="false">Weather_Input!F5</f>
        <v>77</v>
      </c>
      <c r="H6" s="901" t="s">
        <v>582</v>
      </c>
      <c r="I6" s="902" t="n">
        <f aca="true">G6-(VLOOKUP(B5,DD_Normal_Data,CELL("Col",C7),FALSE()))</f>
        <v>33</v>
      </c>
      <c r="J6" s="903"/>
      <c r="DE6" s="27" t="s">
        <v>11</v>
      </c>
    </row>
    <row r="7" customFormat="false" ht="15" hidden="false" customHeight="false" outlineLevel="0" collapsed="false">
      <c r="A7" s="890"/>
      <c r="B7" s="896"/>
      <c r="C7" s="13"/>
      <c r="D7" s="897" t="s">
        <v>583</v>
      </c>
      <c r="E7" s="898" t="n">
        <f aca="false">IF(Weather_Input!E5="N/A",(Weather_Input!C5+Weather_Input!B5)/2,Weather_Input!E5)</f>
        <v>76.8</v>
      </c>
      <c r="F7" s="899" t="s">
        <v>584</v>
      </c>
      <c r="G7" s="900" t="n">
        <f aca="false">Weather_Input!G5</f>
        <v>6689</v>
      </c>
      <c r="H7" s="901" t="s">
        <v>584</v>
      </c>
      <c r="I7" s="904" t="n">
        <f aca="true">G7-(VLOOKUP(B5,DD_Normal_Data,CELL("Col",D4),FALSE()))</f>
        <v>269</v>
      </c>
      <c r="J7" s="904"/>
    </row>
    <row r="8" customFormat="false" ht="15" hidden="false" customHeight="false" outlineLevel="0" collapsed="false">
      <c r="A8" s="890"/>
      <c r="B8" s="892"/>
      <c r="C8" s="13"/>
      <c r="D8" s="905" t="str">
        <f aca="false">IF(Weather_Input!I5=""," ",Weather_Input!I5)</f>
        <v>OVERNIGHT... BECOMING  MOSTLY  CLOUDY WITH   A  40%  CHANCE OF SHOWERS.</v>
      </c>
      <c r="E8" s="906"/>
      <c r="F8" s="898"/>
      <c r="G8" s="900"/>
      <c r="H8" s="901"/>
      <c r="I8" s="902"/>
    </row>
    <row r="9" customFormat="false" ht="15" hidden="false" customHeight="false" outlineLevel="0" collapsed="false">
      <c r="A9" s="890"/>
      <c r="B9" s="896"/>
      <c r="C9" s="13"/>
      <c r="D9" s="905" t="str">
        <f aca="false">IF(Weather_Input!J5=""," ",Weather_Input!J5)</f>
        <v> </v>
      </c>
      <c r="E9" s="907"/>
      <c r="F9" s="900"/>
      <c r="G9" s="900"/>
      <c r="H9" s="901"/>
      <c r="I9" s="902"/>
    </row>
    <row r="10" customFormat="false" ht="15" hidden="false" customHeight="false" outlineLevel="0" collapsed="false">
      <c r="A10" s="890" t="str">
        <f aca="false">CHOOSE(WEEKDAY(B10),"Sunday","Monday","Tuesday","Wednesday","Thursday","Friday","Saturday")</f>
        <v>Monday</v>
      </c>
      <c r="B10" s="896" t="n">
        <f aca="false">Weather_Input!A6</f>
        <v>37060</v>
      </c>
      <c r="C10" s="13"/>
      <c r="D10" s="897" t="s">
        <v>578</v>
      </c>
      <c r="E10" s="898" t="n">
        <f aca="false">Weather_Input!B6</f>
        <v>92</v>
      </c>
      <c r="F10" s="899" t="s">
        <v>579</v>
      </c>
      <c r="G10" s="900" t="n">
        <f aca="false">IF(E12&lt;65,65-(Weather_Input!B6+Weather_Input!C6)/2,0)</f>
        <v>0</v>
      </c>
      <c r="H10" s="901" t="s">
        <v>580</v>
      </c>
      <c r="I10" s="902" t="n">
        <f aca="true">G10-(VLOOKUP(B10,DD_Normal_Data,CELL("Col",B11),FALSE()))</f>
        <v>-1</v>
      </c>
    </row>
    <row r="11" customFormat="false" ht="15" hidden="false" customHeight="false" outlineLevel="0" collapsed="false">
      <c r="A11" s="890"/>
      <c r="B11" s="896"/>
      <c r="C11" s="13"/>
      <c r="D11" s="897" t="s">
        <v>282</v>
      </c>
      <c r="E11" s="898" t="n">
        <f aca="false">Weather_Input!C6</f>
        <v>70</v>
      </c>
      <c r="F11" s="899" t="s">
        <v>581</v>
      </c>
      <c r="G11" s="900" t="n">
        <f aca="false">IF(DAY(B10)=1,G10,G6+G10)</f>
        <v>77</v>
      </c>
      <c r="H11" s="901" t="s">
        <v>582</v>
      </c>
      <c r="I11" s="902" t="n">
        <f aca="true">G11-(VLOOKUP(B10,DD_Normal_Data,CELL("Col",C12),FALSE()))</f>
        <v>32</v>
      </c>
      <c r="DE11" s="27" t="s">
        <v>585</v>
      </c>
    </row>
    <row r="12" customFormat="false" ht="15" hidden="false" customHeight="false" outlineLevel="0" collapsed="false">
      <c r="A12" s="890"/>
      <c r="B12" s="892"/>
      <c r="C12" s="13"/>
      <c r="D12" s="897" t="s">
        <v>583</v>
      </c>
      <c r="E12" s="898" t="n">
        <f aca="false">(Weather_Input!C6+Weather_Input!B6)/2</f>
        <v>81</v>
      </c>
      <c r="F12" s="899" t="s">
        <v>584</v>
      </c>
      <c r="G12" s="900" t="n">
        <f aca="false">IF(AND(DAY(B10)=1,MONTH(B10)=8),G10,G7+G10)</f>
        <v>6689</v>
      </c>
      <c r="H12" s="901" t="s">
        <v>584</v>
      </c>
      <c r="I12" s="902" t="n">
        <f aca="true">G12-(VLOOKUP(B10,DD_Normal_Data,CELL("Col",D9),FALSE()))</f>
        <v>268</v>
      </c>
    </row>
    <row r="13" customFormat="false" ht="15" hidden="false" customHeight="false" outlineLevel="0" collapsed="false">
      <c r="A13" s="890"/>
      <c r="B13" s="896"/>
      <c r="C13" s="13"/>
      <c r="D13" s="905" t="str">
        <f aca="false">IF(Weather_Input!I6=""," ",Weather_Input!I6)</f>
        <v>SHOWERS AND T'STORMS THIS MORNING THEN BECOMING PARTLY SUNNY AND</v>
      </c>
      <c r="E13" s="898"/>
      <c r="F13" s="898"/>
      <c r="G13" s="900"/>
      <c r="H13" s="901"/>
      <c r="I13" s="902"/>
    </row>
    <row r="14" customFormat="false" ht="15" hidden="false" customHeight="false" outlineLevel="0" collapsed="false">
      <c r="A14" s="890"/>
      <c r="B14" s="896"/>
      <c r="C14" s="13"/>
      <c r="D14" s="905" t="str">
        <f aca="false">IF(Weather_Input!J6=""," ",Weather_Input!J6)</f>
        <v>WINDY. S.W. WINDS 15 TO 25 MPH. OVERNIGHT…PARTLY CLOUDY/WINDY. S.W. 15 TO 25.</v>
      </c>
      <c r="E14" s="898"/>
      <c r="F14" s="900"/>
      <c r="G14" s="900"/>
      <c r="H14" s="901"/>
      <c r="I14" s="902"/>
    </row>
    <row r="15" customFormat="false" ht="15" hidden="false" customHeight="false" outlineLevel="0" collapsed="false">
      <c r="A15" s="890" t="str">
        <f aca="false">CHOOSE(WEEKDAY(B15),"Sunday","Monday","Tuesday","Wednesday","Thursday","Friday","Saturday")</f>
        <v>Tuesday</v>
      </c>
      <c r="B15" s="896" t="n">
        <f aca="false">Weather_Input!A7</f>
        <v>37061</v>
      </c>
      <c r="C15" s="13"/>
      <c r="D15" s="897" t="s">
        <v>578</v>
      </c>
      <c r="E15" s="898" t="n">
        <f aca="false">Weather_Input!B7</f>
        <v>82</v>
      </c>
      <c r="F15" s="899" t="s">
        <v>579</v>
      </c>
      <c r="G15" s="900" t="n">
        <f aca="false">IF(E17&lt;65,65-(Weather_Input!B7+Weather_Input!C7)/2,0)</f>
        <v>0</v>
      </c>
      <c r="H15" s="901" t="s">
        <v>580</v>
      </c>
      <c r="I15" s="902" t="n">
        <f aca="true">G15-(VLOOKUP(B15,DD_Normal_Data,CELL("Col",B16),FALSE()))</f>
        <v>-1</v>
      </c>
    </row>
    <row r="16" customFormat="false" ht="15" hidden="false" customHeight="false" outlineLevel="0" collapsed="false">
      <c r="A16" s="890"/>
      <c r="B16" s="892"/>
      <c r="C16" s="13"/>
      <c r="D16" s="897" t="s">
        <v>282</v>
      </c>
      <c r="E16" s="898" t="n">
        <f aca="false">Weather_Input!C7</f>
        <v>59</v>
      </c>
      <c r="F16" s="899" t="s">
        <v>581</v>
      </c>
      <c r="G16" s="900" t="n">
        <f aca="false">IF(DAY(B15)=1,G15,G11+G15)</f>
        <v>77</v>
      </c>
      <c r="H16" s="901" t="s">
        <v>582</v>
      </c>
      <c r="I16" s="902" t="n">
        <f aca="true">G16-(VLOOKUP(B15,DD_Normal_Data,CELL("Col",C17),FALSE()))</f>
        <v>31</v>
      </c>
      <c r="DE16" s="27" t="s">
        <v>30</v>
      </c>
    </row>
    <row r="17" customFormat="false" ht="15" hidden="false" customHeight="false" outlineLevel="0" collapsed="false">
      <c r="A17" s="890"/>
      <c r="B17" s="896"/>
      <c r="C17" s="13"/>
      <c r="D17" s="897" t="s">
        <v>583</v>
      </c>
      <c r="E17" s="898" t="n">
        <f aca="false">(Weather_Input!C7+Weather_Input!B7)/2</f>
        <v>70.5</v>
      </c>
      <c r="F17" s="899" t="s">
        <v>584</v>
      </c>
      <c r="G17" s="900" t="n">
        <f aca="false">IF(AND(DAY(B15)=1,MONTH(B15)=8),G15,G12+G15)</f>
        <v>6689</v>
      </c>
      <c r="H17" s="901" t="s">
        <v>584</v>
      </c>
      <c r="I17" s="902" t="n">
        <f aca="true">G17-(VLOOKUP(B15,DD_Normal_Data,CELL("Col",D14),FALSE()))</f>
        <v>267</v>
      </c>
    </row>
    <row r="18" customFormat="false" ht="15" hidden="false" customHeight="false" outlineLevel="0" collapsed="false">
      <c r="A18" s="890"/>
      <c r="B18" s="892"/>
      <c r="C18" s="13"/>
      <c r="D18" s="905" t="str">
        <f aca="false">IF(Weather_Input!I7=""," ",Weather_Input!I7)</f>
        <v>PARTLY SUNNY. A 30% CHANCE OF A.M. T'STORMS. OVERNIGHT…PARTLY CLOUDY.</v>
      </c>
      <c r="E18" s="898"/>
      <c r="F18" s="898"/>
      <c r="G18" s="900"/>
      <c r="H18" s="901"/>
      <c r="I18" s="902"/>
    </row>
    <row r="19" customFormat="false" ht="15" hidden="false" customHeight="false" outlineLevel="0" collapsed="false">
      <c r="A19" s="890"/>
      <c r="B19" s="896"/>
      <c r="C19" s="13"/>
      <c r="D19" s="905" t="str">
        <f aca="false">IF(Weather_Input!J7=""," ",Weather_Input!J7)</f>
        <v> </v>
      </c>
      <c r="E19" s="898"/>
      <c r="F19" s="898"/>
      <c r="G19" s="900"/>
      <c r="H19" s="901"/>
      <c r="I19" s="902"/>
    </row>
    <row r="20" customFormat="false" ht="15" hidden="false" customHeight="false" outlineLevel="0" collapsed="false">
      <c r="A20" s="890" t="str">
        <f aca="false">CHOOSE(WEEKDAY(B20),"Sunday","Monday","Tuesday","Wednesday","Thursday","Friday","Saturday")</f>
        <v>Wednesday</v>
      </c>
      <c r="B20" s="896" t="n">
        <f aca="false">Weather_Input!A8</f>
        <v>37062</v>
      </c>
      <c r="C20" s="13"/>
      <c r="D20" s="897" t="s">
        <v>578</v>
      </c>
      <c r="E20" s="898" t="n">
        <f aca="false">Weather_Input!B8</f>
        <v>74</v>
      </c>
      <c r="F20" s="899" t="s">
        <v>579</v>
      </c>
      <c r="G20" s="900" t="n">
        <f aca="false">IF(E22&lt;65,65-(Weather_Input!B8+Weather_Input!C8)/2,0)</f>
        <v>1</v>
      </c>
      <c r="H20" s="901" t="s">
        <v>580</v>
      </c>
      <c r="I20" s="902" t="n">
        <f aca="true">G20-(VLOOKUP(B20,DD_Normal_Data,CELL("Col",B21),FALSE()))</f>
        <v>1</v>
      </c>
    </row>
    <row r="21" customFormat="false" ht="15" hidden="false" customHeight="false" outlineLevel="0" collapsed="false">
      <c r="A21" s="890"/>
      <c r="B21" s="896"/>
      <c r="C21" s="13"/>
      <c r="D21" s="897" t="s">
        <v>282</v>
      </c>
      <c r="E21" s="898" t="n">
        <f aca="false">Weather_Input!C8</f>
        <v>54</v>
      </c>
      <c r="F21" s="899" t="s">
        <v>581</v>
      </c>
      <c r="G21" s="900" t="n">
        <f aca="false">IF(DAY(B20)=1,G20,G16+G20)</f>
        <v>78</v>
      </c>
      <c r="H21" s="901" t="s">
        <v>582</v>
      </c>
      <c r="I21" s="902" t="n">
        <f aca="true">G21-(VLOOKUP(B20,DD_Normal_Data,CELL("Col",C22),FALSE()))</f>
        <v>32</v>
      </c>
      <c r="DE21" s="27" t="s">
        <v>586</v>
      </c>
    </row>
    <row r="22" customFormat="false" ht="15" hidden="false" customHeight="false" outlineLevel="0" collapsed="false">
      <c r="A22" s="890"/>
      <c r="B22" s="896"/>
      <c r="C22" s="13"/>
      <c r="D22" s="897" t="s">
        <v>583</v>
      </c>
      <c r="E22" s="898" t="n">
        <f aca="false">(Weather_Input!C8+Weather_Input!B8)/2</f>
        <v>64</v>
      </c>
      <c r="F22" s="899" t="s">
        <v>584</v>
      </c>
      <c r="G22" s="900" t="n">
        <f aca="false">IF(AND(DAY(B20)=1,MONTH(B20)=8),G20,G17+G20)</f>
        <v>6690</v>
      </c>
      <c r="H22" s="901" t="s">
        <v>584</v>
      </c>
      <c r="I22" s="902" t="n">
        <f aca="true">G22-(VLOOKUP(B20,DD_Normal_Data,CELL("Col",D19),FALSE()))</f>
        <v>268</v>
      </c>
    </row>
    <row r="23" customFormat="false" ht="15" hidden="false" customHeight="false" outlineLevel="0" collapsed="false">
      <c r="A23" s="890"/>
      <c r="B23" s="896"/>
      <c r="C23" s="13"/>
      <c r="D23" s="905" t="str">
        <f aca="false">IF(Weather_Input!I8=""," ",Weather_Input!I8)</f>
        <v>PARTLY CLOUDY.</v>
      </c>
      <c r="E23" s="900"/>
      <c r="F23" s="898"/>
      <c r="G23" s="900"/>
      <c r="H23" s="901"/>
      <c r="I23" s="902"/>
    </row>
    <row r="24" customFormat="false" ht="15" hidden="false" customHeight="false" outlineLevel="0" collapsed="false">
      <c r="A24" s="890"/>
      <c r="B24" s="892"/>
      <c r="C24" s="13"/>
      <c r="D24" s="905" t="str">
        <f aca="false">IF(Weather_Input!J8=""," ",Weather_Input!J8)</f>
        <v> </v>
      </c>
      <c r="E24" s="900"/>
      <c r="F24" s="898"/>
      <c r="G24" s="900"/>
      <c r="H24" s="901"/>
      <c r="I24" s="902"/>
    </row>
    <row r="25" customFormat="false" ht="15" hidden="false" customHeight="false" outlineLevel="0" collapsed="false">
      <c r="A25" s="890" t="str">
        <f aca="false">CHOOSE(WEEKDAY(B25),"Sunday","Monday","Tuesday","Wednesday","Thursday","Friday","Saturday")</f>
        <v>Thursday</v>
      </c>
      <c r="B25" s="896" t="n">
        <f aca="false">Weather_Input!A9</f>
        <v>37063</v>
      </c>
      <c r="C25" s="13"/>
      <c r="D25" s="897" t="s">
        <v>578</v>
      </c>
      <c r="E25" s="898" t="n">
        <f aca="false">Weather_Input!B9</f>
        <v>70</v>
      </c>
      <c r="F25" s="899" t="s">
        <v>579</v>
      </c>
      <c r="G25" s="900" t="n">
        <f aca="false">IF(E27&lt;65,65-(Weather_Input!B9+Weather_Input!C9)/2,0)</f>
        <v>4</v>
      </c>
      <c r="H25" s="901" t="s">
        <v>580</v>
      </c>
      <c r="I25" s="902" t="n">
        <f aca="true">G25-(VLOOKUP(B25,DD_Normal_Data,CELL("Col",B26),FALSE()))</f>
        <v>4</v>
      </c>
    </row>
    <row r="26" customFormat="false" ht="15" hidden="false" customHeight="false" outlineLevel="0" collapsed="false">
      <c r="A26" s="890"/>
      <c r="B26" s="896"/>
      <c r="C26" s="13"/>
      <c r="D26" s="897" t="s">
        <v>282</v>
      </c>
      <c r="E26" s="898" t="n">
        <f aca="false">Weather_Input!C9</f>
        <v>52</v>
      </c>
      <c r="F26" s="899" t="s">
        <v>581</v>
      </c>
      <c r="G26" s="900" t="n">
        <f aca="false">IF(DAY(B25)=1,G25,G21+G25)</f>
        <v>82</v>
      </c>
      <c r="H26" s="901" t="s">
        <v>582</v>
      </c>
      <c r="I26" s="902" t="n">
        <f aca="true">G26-(VLOOKUP(B25,DD_Normal_Data,CELL("Col",C27),FALSE()))</f>
        <v>36</v>
      </c>
      <c r="DE26" s="27" t="s">
        <v>587</v>
      </c>
    </row>
    <row r="27" customFormat="false" ht="15" hidden="false" customHeight="false" outlineLevel="0" collapsed="false">
      <c r="A27" s="890"/>
      <c r="B27" s="892"/>
      <c r="C27" s="13"/>
      <c r="D27" s="897" t="s">
        <v>583</v>
      </c>
      <c r="E27" s="898" t="n">
        <f aca="false">(Weather_Input!C9+Weather_Input!B9)/2</f>
        <v>61</v>
      </c>
      <c r="F27" s="899" t="s">
        <v>584</v>
      </c>
      <c r="G27" s="900" t="n">
        <f aca="false">IF(AND(DAY(B25)=1,MONTH(B25)=8),G25,G22+G25)</f>
        <v>6694</v>
      </c>
      <c r="H27" s="901" t="s">
        <v>584</v>
      </c>
      <c r="I27" s="902" t="n">
        <f aca="true">G27-(VLOOKUP(B25,DD_Normal_Data,CELL("Col",D24),FALSE()))</f>
        <v>272</v>
      </c>
    </row>
    <row r="28" customFormat="false" ht="15" hidden="false" customHeight="false" outlineLevel="0" collapsed="false">
      <c r="A28" s="890"/>
      <c r="B28" s="892"/>
      <c r="C28" s="13"/>
      <c r="D28" s="905" t="str">
        <f aca="false">IF(Weather_Input!I9=""," ",Weather_Input!I9)</f>
        <v>PARTLY CLOUDY.</v>
      </c>
      <c r="E28" s="900"/>
      <c r="F28" s="898"/>
      <c r="G28" s="900"/>
      <c r="H28" s="901"/>
      <c r="I28" s="902"/>
    </row>
    <row r="29" customFormat="false" ht="15" hidden="false" customHeight="false" outlineLevel="0" collapsed="false">
      <c r="A29" s="890"/>
      <c r="B29" s="892"/>
      <c r="C29" s="13"/>
      <c r="D29" s="905" t="str">
        <f aca="false">IF(Weather_Input!J9=""," ",Weather_Input!J9)</f>
        <v> </v>
      </c>
      <c r="E29" s="900"/>
      <c r="F29" s="900"/>
      <c r="G29" s="900"/>
      <c r="H29" s="901"/>
      <c r="I29" s="902"/>
    </row>
    <row r="30" customFormat="false" ht="15" hidden="false" customHeight="false" outlineLevel="0" collapsed="false">
      <c r="A30" s="890" t="str">
        <f aca="false">CHOOSE(WEEKDAY(B30),"Sunday","Monday","Tuesday","Wednesday","Thursday","Friday","Saturday")</f>
        <v>Friday</v>
      </c>
      <c r="B30" s="896" t="n">
        <f aca="false">Weather_Input!A10</f>
        <v>37064</v>
      </c>
      <c r="C30" s="13"/>
      <c r="D30" s="897" t="s">
        <v>578</v>
      </c>
      <c r="E30" s="898" t="n">
        <f aca="false">Weather_Input!B10</f>
        <v>74</v>
      </c>
      <c r="F30" s="899" t="s">
        <v>579</v>
      </c>
      <c r="G30" s="900" t="n">
        <f aca="false">IF(E32&lt;65,65-(Weather_Input!B10+Weather_Input!C10)/2,0)</f>
        <v>2.5</v>
      </c>
      <c r="H30" s="901" t="s">
        <v>580</v>
      </c>
      <c r="I30" s="902" t="n">
        <f aca="true">G30-(VLOOKUP(B30,DD_Normal_Data,CELL("Col",B31),FALSE()))</f>
        <v>2.5</v>
      </c>
    </row>
    <row r="31" customFormat="false" ht="15" hidden="false" customHeight="false" outlineLevel="0" collapsed="false">
      <c r="A31" s="13"/>
      <c r="B31" s="13"/>
      <c r="C31" s="13"/>
      <c r="D31" s="897" t="s">
        <v>282</v>
      </c>
      <c r="E31" s="898" t="n">
        <f aca="false">Weather_Input!C10</f>
        <v>51</v>
      </c>
      <c r="F31" s="899" t="s">
        <v>581</v>
      </c>
      <c r="G31" s="900" t="n">
        <f aca="false">IF(DAY(B30)=1,G30,G26+G30)</f>
        <v>84.5</v>
      </c>
      <c r="H31" s="901" t="s">
        <v>582</v>
      </c>
      <c r="I31" s="902" t="n">
        <f aca="true">G31-(VLOOKUP(B30,DD_Normal_Data,CELL("Col",C32),FALSE()))</f>
        <v>38.5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97" t="s">
        <v>583</v>
      </c>
      <c r="E32" s="898" t="n">
        <f aca="false">(Weather_Input!C10+Weather_Input!B10)/2</f>
        <v>62.5</v>
      </c>
      <c r="F32" s="899" t="s">
        <v>584</v>
      </c>
      <c r="G32" s="900" t="n">
        <f aca="false">IF(AND(DAY(B30)=1,MONTH(B30)=8),G30,G27+G30)</f>
        <v>6696.5</v>
      </c>
      <c r="H32" s="901" t="s">
        <v>584</v>
      </c>
      <c r="I32" s="902" t="n">
        <f aca="true">G32-(VLOOKUP(B30,DD_Normal_Data,CELL("Col",D29),FALSE()))</f>
        <v>274.5</v>
      </c>
    </row>
    <row r="33" customFormat="false" ht="15" hidden="false" customHeight="false" outlineLevel="0" collapsed="false">
      <c r="A33" s="13"/>
      <c r="B33" s="908"/>
      <c r="C33" s="13"/>
      <c r="D33" s="905" t="str">
        <f aca="false">IF(Weather_Input!I10=""," ",Weather_Input!I10)</f>
        <v>SUNNY.</v>
      </c>
      <c r="E33" s="13"/>
      <c r="F33" s="909"/>
      <c r="G33" s="13"/>
      <c r="H33" s="889"/>
      <c r="I33" s="13"/>
    </row>
    <row r="34" customFormat="false" ht="15.75" hidden="false" customHeight="false" outlineLevel="0" collapsed="false">
      <c r="A34" s="910"/>
      <c r="B34" s="911"/>
      <c r="C34" s="910"/>
      <c r="D34" s="912" t="str">
        <f aca="false">IF(Weather_Input!J10=""," ",Weather_Input!J10)</f>
        <v> </v>
      </c>
      <c r="E34" s="910"/>
      <c r="F34" s="913"/>
      <c r="G34" s="910"/>
      <c r="H34" s="914"/>
      <c r="I34" s="911"/>
    </row>
    <row r="35" customFormat="false" ht="15" hidden="false" customHeight="false" outlineLevel="0" collapsed="false">
      <c r="A35" s="891" t="s">
        <v>588</v>
      </c>
      <c r="B35" s="890" t="s">
        <v>261</v>
      </c>
      <c r="C35" s="13"/>
      <c r="D35" s="13"/>
      <c r="E35" s="13"/>
      <c r="F35" s="16"/>
      <c r="G35" s="915"/>
      <c r="H35" s="915"/>
      <c r="I35" s="13"/>
    </row>
    <row r="36" customFormat="false" ht="15" hidden="false" customHeight="false" outlineLevel="0" collapsed="false">
      <c r="A36" s="916" t="s">
        <v>63</v>
      </c>
      <c r="B36" s="917" t="n">
        <f aca="false">B5</f>
        <v>37059</v>
      </c>
      <c r="C36" s="917" t="n">
        <f aca="false">B10</f>
        <v>37060</v>
      </c>
      <c r="D36" s="917" t="n">
        <f aca="false">B15</f>
        <v>37061</v>
      </c>
      <c r="E36" s="917" t="n">
        <f aca="false">B20</f>
        <v>37062</v>
      </c>
      <c r="F36" s="917" t="n">
        <f aca="false">B25</f>
        <v>37063</v>
      </c>
      <c r="G36" s="917" t="n">
        <f aca="false">B30</f>
        <v>37064</v>
      </c>
      <c r="H36" s="27"/>
      <c r="I36" s="13"/>
    </row>
    <row r="37" customFormat="false" ht="15" hidden="false" customHeight="false" outlineLevel="0" collapsed="false">
      <c r="A37" s="13" t="s">
        <v>70</v>
      </c>
      <c r="B37" s="918" t="n">
        <f aca="true">(VLOOKUP(B36,PGL_Sendouts,(CELL("COL",PGL_Deliveries!C6))))/1000</f>
        <v>185</v>
      </c>
      <c r="C37" s="918" t="n">
        <f aca="true">(VLOOKUP(C36,PGL_Sendouts,(CELL("COL",PGL_Deliveries!C7))))/1000</f>
        <v>205</v>
      </c>
      <c r="D37" s="918" t="n">
        <f aca="true">(VLOOKUP(D36,PGL_Sendouts,(CELL("COL",PGL_Deliveries!C8))))/1000</f>
        <v>215</v>
      </c>
      <c r="E37" s="918" t="n">
        <f aca="true">(VLOOKUP(E36,PGL_Sendouts,(CELL("COL",PGL_Deliveries!C9))))/1000</f>
        <v>225</v>
      </c>
      <c r="F37" s="918" t="n">
        <f aca="true">(VLOOKUP(F36,PGL_Sendouts,(CELL("COL",PGL_Deliveries!C10))))/1000</f>
        <v>225</v>
      </c>
      <c r="G37" s="918" t="n">
        <f aca="true">(VLOOKUP(G36,PGL_Sendouts,(CELL("COL",PGL_Deliveries!C10))))/1000</f>
        <v>210</v>
      </c>
      <c r="H37" s="27"/>
      <c r="I37" s="13"/>
    </row>
    <row r="38" customFormat="false" ht="15" hidden="false" customHeight="false" outlineLevel="0" collapsed="false">
      <c r="A38" s="13" t="s">
        <v>589</v>
      </c>
      <c r="B38" s="918" t="n">
        <f aca="false">PGL_6_Day_Report!D25</f>
        <v>391.94565</v>
      </c>
      <c r="C38" s="918" t="n">
        <f aca="false">PGL_6_Day_Report!E25</f>
        <v>376.142</v>
      </c>
      <c r="D38" s="918" t="n">
        <f aca="false">PGL_6_Day_Report!F25</f>
        <v>365.9375</v>
      </c>
      <c r="E38" s="918" t="n">
        <f aca="false">PGL_6_Day_Report!G25</f>
        <v>366.725</v>
      </c>
      <c r="F38" s="918" t="n">
        <f aca="false">PGL_6_Day_Report!H25</f>
        <v>366.725</v>
      </c>
      <c r="G38" s="918" t="n">
        <f aca="false">PGL_6_Day_Report!I25</f>
        <v>351.725</v>
      </c>
      <c r="H38" s="27"/>
      <c r="I38" s="13"/>
    </row>
    <row r="39" customFormat="false" ht="15" hidden="false" customHeight="false" outlineLevel="0" collapsed="false">
      <c r="A39" s="919" t="s">
        <v>168</v>
      </c>
      <c r="B39" s="918" t="n">
        <f aca="false">SUM(PGL_Supplies!Z7:AE7)/1000</f>
        <v>236.435</v>
      </c>
      <c r="C39" s="918" t="n">
        <f aca="false">SUM(PGL_Supplies!Z8:AE8)/1000</f>
        <v>235.922</v>
      </c>
      <c r="D39" s="918" t="n">
        <f aca="false">SUM(PGL_Supplies!Z9:AE9)/1000</f>
        <v>235.922</v>
      </c>
      <c r="E39" s="918" t="n">
        <f aca="false">SUM(PGL_Supplies!Z10:AE10)/1000</f>
        <v>235.922</v>
      </c>
      <c r="F39" s="918" t="n">
        <f aca="false">SUM(PGL_Supplies!Z11:AE11)/1000</f>
        <v>235.922</v>
      </c>
      <c r="G39" s="918" t="n">
        <f aca="false">SUM(PGL_Supplies!Z12:AE12)/1000</f>
        <v>235.922</v>
      </c>
      <c r="H39" s="27"/>
      <c r="I39" s="13"/>
    </row>
    <row r="40" customFormat="false" ht="15" hidden="false" customHeight="false" outlineLevel="0" collapsed="false">
      <c r="A40" s="919" t="s">
        <v>590</v>
      </c>
      <c r="B40" s="918" t="n">
        <f aca="false">(PGL_Supplies!N7+PGL_Supplies!O7+PGL_Supplies!P7+PGL_Supplies!R7+PGL_Supplies!S7)/1000</f>
        <v>0</v>
      </c>
      <c r="C40" s="918" t="n">
        <f aca="false">(PGL_Supplies!N8+PGL_Supplies!O8+PGL_Supplies!P8+PGL_Supplies!R8+PGL_Supplies!S8)/1000</f>
        <v>0</v>
      </c>
      <c r="D40" s="918" t="n">
        <f aca="false">(PGL_Supplies!N9+PGL_Supplies!O9+PGL_Supplies!P9+PGL_Supplies!R9+PGL_Supplies!S9)/1000</f>
        <v>0</v>
      </c>
      <c r="E40" s="918" t="n">
        <f aca="false">(PGL_Supplies!N10+PGL_Supplies!O10+PGL_Supplies!P10+PGL_Supplies!R10+PGL_Supplies!S10)/1000</f>
        <v>0</v>
      </c>
      <c r="F40" s="918" t="n">
        <f aca="false">(PGL_Supplies!N11+PGL_Supplies!O11+PGL_Supplies!P11+PGL_Supplies!R11+PGL_Supplies!S11)/1000</f>
        <v>0</v>
      </c>
      <c r="G40" s="918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19" t="s">
        <v>591</v>
      </c>
      <c r="B41" s="918" t="n">
        <f aca="false">SUM(PGL_Requirements!R7:U7)/1000</f>
        <v>0.59</v>
      </c>
      <c r="C41" s="918" t="n">
        <f aca="false">SUM(PGL_Requirements!R7:U7)/1000</f>
        <v>0.59</v>
      </c>
      <c r="D41" s="918" t="n">
        <f aca="false">SUM(PGL_Requirements!R7:U7)/1000</f>
        <v>0.59</v>
      </c>
      <c r="E41" s="918" t="n">
        <f aca="false">SUM(PGL_Requirements!R7:U7)/1000</f>
        <v>0.59</v>
      </c>
      <c r="F41" s="918" t="n">
        <f aca="false">SUM(PGL_Requirements!R7:U7)/1000</f>
        <v>0.59</v>
      </c>
      <c r="G41" s="918" t="n">
        <f aca="false">SUM(PGL_Requirements!R7:U7)/1000</f>
        <v>0.59</v>
      </c>
      <c r="H41" s="27"/>
      <c r="I41" s="13"/>
    </row>
    <row r="42" customFormat="false" ht="15" hidden="false" customHeight="false" outlineLevel="0" collapsed="false">
      <c r="A42" s="13" t="s">
        <v>592</v>
      </c>
      <c r="B42" s="918" t="n">
        <f aca="false">PGL_Supplies!V7/1000</f>
        <v>133.673</v>
      </c>
      <c r="C42" s="918" t="n">
        <f aca="false">PGL_Supplies!V8/1000</f>
        <v>133.16</v>
      </c>
      <c r="D42" s="918" t="n">
        <f aca="false">PGL_Supplies!V9/1000</f>
        <v>133.16</v>
      </c>
      <c r="E42" s="918" t="n">
        <f aca="false">PGL_Supplies!V10/1000</f>
        <v>133.16</v>
      </c>
      <c r="F42" s="918" t="n">
        <f aca="false">PGL_Supplies!V11/1000</f>
        <v>133.16</v>
      </c>
      <c r="G42" s="918" t="n">
        <f aca="false">PGL_Supplies!V12/1000</f>
        <v>133.16</v>
      </c>
      <c r="H42" s="27"/>
      <c r="I42" s="13"/>
    </row>
    <row r="43" customFormat="false" ht="15" hidden="false" customHeight="false" outlineLevel="0" collapsed="false">
      <c r="B43" s="920"/>
      <c r="C43" s="920"/>
      <c r="D43" s="920"/>
      <c r="E43" s="921"/>
      <c r="F43" s="920"/>
      <c r="G43" s="920"/>
      <c r="H43" s="27"/>
      <c r="I43" s="13"/>
    </row>
    <row r="44" customFormat="false" ht="15" hidden="false" customHeight="false" outlineLevel="0" collapsed="false">
      <c r="A44" s="916" t="s">
        <v>124</v>
      </c>
      <c r="B44" s="917" t="n">
        <f aca="false">B36</f>
        <v>37059</v>
      </c>
      <c r="C44" s="917" t="n">
        <f aca="false">C36</f>
        <v>37060</v>
      </c>
      <c r="D44" s="917" t="n">
        <f aca="false">D36</f>
        <v>37061</v>
      </c>
      <c r="E44" s="917" t="n">
        <f aca="false">E36</f>
        <v>37062</v>
      </c>
      <c r="F44" s="917" t="n">
        <f aca="false">F36</f>
        <v>37063</v>
      </c>
      <c r="G44" s="917" t="n">
        <f aca="false">G36</f>
        <v>37064</v>
      </c>
      <c r="H44" s="27"/>
      <c r="I44" s="13"/>
    </row>
    <row r="45" customFormat="false" ht="15" hidden="false" customHeight="false" outlineLevel="0" collapsed="false">
      <c r="A45" s="13" t="s">
        <v>70</v>
      </c>
      <c r="B45" s="918" t="n">
        <f aca="false">NSG_6_Day_Report!D6</f>
        <v>34</v>
      </c>
      <c r="C45" s="918" t="n">
        <f aca="false">NSG_6_Day_Report!E6</f>
        <v>36</v>
      </c>
      <c r="D45" s="918" t="n">
        <f aca="false">NSG_6_Day_Report!F6</f>
        <v>38</v>
      </c>
      <c r="E45" s="918" t="n">
        <f aca="false">NSG_6_Day_Report!G6</f>
        <v>38</v>
      </c>
      <c r="F45" s="918" t="n">
        <f aca="false">NSG_6_Day_Report!H6</f>
        <v>38</v>
      </c>
      <c r="G45" s="918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919" t="s">
        <v>589</v>
      </c>
      <c r="B46" s="918" t="n">
        <f aca="false">NSG_6_Day_Report!D11</f>
        <v>43.801</v>
      </c>
      <c r="C46" s="918" t="n">
        <f aca="false">NSG_6_Day_Report!E11</f>
        <v>43.81</v>
      </c>
      <c r="D46" s="918" t="n">
        <f aca="false">NSG_6_Day_Report!F11</f>
        <v>40</v>
      </c>
      <c r="E46" s="918" t="n">
        <f aca="false">NSG_6_Day_Report!G11</f>
        <v>40</v>
      </c>
      <c r="F46" s="918" t="n">
        <f aca="false">NSG_6_Day_Report!H11</f>
        <v>40</v>
      </c>
      <c r="G46" s="918" t="n">
        <f aca="false">NSG_6_Day_Report!I11</f>
        <v>38</v>
      </c>
      <c r="H46" s="27"/>
      <c r="I46" s="13"/>
    </row>
    <row r="47" customFormat="false" ht="15" hidden="false" customHeight="false" outlineLevel="0" collapsed="false">
      <c r="A47" s="919" t="s">
        <v>168</v>
      </c>
      <c r="B47" s="918" t="n">
        <f aca="false">SUM(NSG_Supplies!P7:R7)/1000</f>
        <v>43.814</v>
      </c>
      <c r="C47" s="918" t="n">
        <f aca="false">SUM(NSG_Supplies!P8:R8)/1000</f>
        <v>43.814</v>
      </c>
      <c r="D47" s="918" t="n">
        <f aca="false">SUM(NSG_Supplies!P9:R9)/1000</f>
        <v>43.814</v>
      </c>
      <c r="E47" s="918" t="n">
        <f aca="false">SUM(NSG_Supplies!P10:R10)/1000</f>
        <v>43.814</v>
      </c>
      <c r="F47" s="918" t="n">
        <f aca="false">SUM(NSG_Supplies!P11:R11)/1000</f>
        <v>43.814</v>
      </c>
      <c r="G47" s="918" t="n">
        <f aca="false">SUM(NSG_Supplies!P12:R12)/1000</f>
        <v>43.814</v>
      </c>
      <c r="H47" s="27"/>
      <c r="I47" s="13"/>
    </row>
    <row r="48" customFormat="false" ht="15" hidden="false" customHeight="false" outlineLevel="0" collapsed="false">
      <c r="A48" s="919" t="s">
        <v>590</v>
      </c>
      <c r="B48" s="918" t="n">
        <f aca="false">SUM(NSG_Supplies!I7:M7)/1000</f>
        <v>0</v>
      </c>
      <c r="C48" s="918" t="n">
        <f aca="false">SUM(NSG_Supplies!I8:M8)/1000</f>
        <v>0</v>
      </c>
      <c r="D48" s="918" t="n">
        <f aca="false">SUM(NSG_Supplies!I9:M9)/1000</f>
        <v>0</v>
      </c>
      <c r="E48" s="918" t="n">
        <f aca="false">SUM(NSG_Supplies!I10:M10)/1000</f>
        <v>0</v>
      </c>
      <c r="F48" s="918" t="n">
        <f aca="false">SUM(NSG_Supplies!I11:M11)/1000</f>
        <v>0</v>
      </c>
      <c r="G48" s="918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19" t="s">
        <v>591</v>
      </c>
      <c r="B49" s="918" t="n">
        <f aca="false">SUM(NSG_Requirements!L7:R7)/1000</f>
        <v>0</v>
      </c>
      <c r="C49" s="918" t="n">
        <f aca="false">SUM(NSG_Requirements!L8:R8)/1000</f>
        <v>0</v>
      </c>
      <c r="D49" s="918" t="n">
        <f aca="false">SUM(NSG_Requirements!L9:R9)/1000</f>
        <v>0</v>
      </c>
      <c r="E49" s="918" t="n">
        <f aca="false">SUM(NSG_Requirements!L10:R10)/1000</f>
        <v>0</v>
      </c>
      <c r="F49" s="918" t="n">
        <f aca="false">SUM(NSG_Requirements!L11:R11)/1000</f>
        <v>0</v>
      </c>
      <c r="G49" s="91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592</v>
      </c>
      <c r="B50" s="918" t="n">
        <f aca="false">NSG_Supplies!S7/1000</f>
        <v>16.725</v>
      </c>
      <c r="C50" s="918" t="n">
        <f aca="false">NSG_Supplies!S8/1000</f>
        <v>16.725</v>
      </c>
      <c r="D50" s="918" t="n">
        <f aca="false">NSG_Supplies!S9/1000</f>
        <v>16.725</v>
      </c>
      <c r="E50" s="918" t="n">
        <f aca="false">NSG_Supplies!S10/1000</f>
        <v>16.725</v>
      </c>
      <c r="F50" s="918" t="n">
        <f aca="false">NSG_Supplies!S11/1000</f>
        <v>16.725</v>
      </c>
      <c r="G50" s="918" t="n">
        <f aca="false">NSG_Supplies!S12/1000</f>
        <v>16.725</v>
      </c>
      <c r="H50" s="27"/>
      <c r="I50" s="13"/>
    </row>
    <row r="51" customFormat="false" ht="15" hidden="false" customHeight="false" outlineLevel="0" collapsed="false">
      <c r="B51" s="920"/>
      <c r="C51" s="920"/>
      <c r="D51" s="920"/>
      <c r="E51" s="921"/>
      <c r="F51" s="920"/>
      <c r="G51" s="920"/>
      <c r="H51" s="27"/>
      <c r="I51" s="13"/>
    </row>
    <row r="52" customFormat="false" ht="15" hidden="false" customHeight="false" outlineLevel="0" collapsed="false">
      <c r="A52" s="916" t="s">
        <v>593</v>
      </c>
      <c r="B52" s="917" t="n">
        <f aca="false">B36</f>
        <v>37059</v>
      </c>
      <c r="C52" s="917" t="n">
        <f aca="false">C36</f>
        <v>37060</v>
      </c>
      <c r="D52" s="917" t="n">
        <f aca="false">D36</f>
        <v>37061</v>
      </c>
      <c r="E52" s="917" t="n">
        <f aca="false">E36</f>
        <v>37062</v>
      </c>
      <c r="F52" s="917" t="n">
        <f aca="false">F36</f>
        <v>37063</v>
      </c>
      <c r="G52" s="917" t="n">
        <f aca="false">G36</f>
        <v>37064</v>
      </c>
      <c r="H52" s="27"/>
      <c r="I52" s="13"/>
    </row>
    <row r="53" customFormat="false" ht="15" hidden="false" customHeight="false" outlineLevel="0" collapsed="false">
      <c r="A53" s="922" t="s">
        <v>594</v>
      </c>
      <c r="B53" s="918" t="n">
        <f aca="false">PGL_Requirements!P7/1000</f>
        <v>174.31</v>
      </c>
      <c r="C53" s="918" t="n">
        <f aca="false">PGL_Requirements!P8/1000</f>
        <v>135</v>
      </c>
      <c r="D53" s="918" t="n">
        <f aca="false">PGL_Requirements!P9/1000</f>
        <v>135</v>
      </c>
      <c r="E53" s="918" t="n">
        <f aca="false">PGL_Requirements!P10/1000</f>
        <v>135</v>
      </c>
      <c r="F53" s="918" t="n">
        <f aca="false">PGL_Requirements!P11/1000</f>
        <v>135</v>
      </c>
      <c r="G53" s="918" t="n">
        <f aca="false">PGL_Requirements!P12/1000</f>
        <v>135</v>
      </c>
      <c r="H53" s="27"/>
      <c r="I53" s="13"/>
    </row>
    <row r="54" customFormat="false" ht="15" hidden="false" customHeight="false" outlineLevel="0" collapsed="false">
      <c r="A54" s="13" t="s">
        <v>595</v>
      </c>
      <c r="B54" s="918" t="n">
        <f aca="false">PGL_Supplies!M7/1000</f>
        <v>0</v>
      </c>
      <c r="C54" s="918" t="n">
        <f aca="false">PGL_Supplies!M8/1000</f>
        <v>0</v>
      </c>
      <c r="D54" s="918" t="n">
        <f aca="false">PGL_Supplies!M9/1000</f>
        <v>0</v>
      </c>
      <c r="E54" s="918" t="n">
        <f aca="false">PGL_Supplies!M10/1000</f>
        <v>0</v>
      </c>
      <c r="F54" s="918" t="n">
        <f aca="false">PGL_Supplies!M11/1000</f>
        <v>0</v>
      </c>
      <c r="G54" s="918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23" t="s">
        <v>596</v>
      </c>
    </row>
    <row r="57" customFormat="false" ht="15.75" hidden="false" customHeight="false" outlineLevel="0" collapsed="false">
      <c r="A57" s="887" t="s">
        <v>597</v>
      </c>
    </row>
    <row r="58" customFormat="false" ht="15.75" hidden="false" customHeight="false" outlineLevel="0" collapsed="false">
      <c r="A58" s="887" t="s">
        <v>598</v>
      </c>
      <c r="G58" s="924"/>
    </row>
    <row r="59" customFormat="false" ht="15.75" hidden="false" customHeight="false" outlineLevel="0" collapsed="false">
      <c r="A59" s="887" t="s">
        <v>599</v>
      </c>
    </row>
    <row r="60" customFormat="false" ht="15.75" hidden="false" customHeight="false" outlineLevel="0" collapsed="false">
      <c r="A60" s="887" t="s">
        <v>600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25" t="s">
        <v>0</v>
      </c>
      <c r="B1" s="925"/>
      <c r="C1" s="926" t="s">
        <v>0</v>
      </c>
      <c r="D1" s="926"/>
      <c r="E1" s="926"/>
      <c r="F1" s="926"/>
    </row>
    <row r="2" customFormat="false" ht="15.75" hidden="false" customHeight="false" outlineLevel="0" collapsed="false">
      <c r="A2" s="0" t="s">
        <v>0</v>
      </c>
      <c r="C2" s="927"/>
      <c r="D2" s="927"/>
      <c r="E2" s="927"/>
      <c r="F2" s="928"/>
    </row>
    <row r="3" customFormat="false" ht="15.75" hidden="false" customHeight="false" outlineLevel="0" collapsed="false">
      <c r="A3" s="929" t="s">
        <v>601</v>
      </c>
    </row>
    <row r="4" customFormat="false" ht="15" hidden="false" customHeight="false" outlineLevel="0" collapsed="false">
      <c r="A4" s="930"/>
      <c r="B4" s="931" t="str">
        <f aca="false">Six_Day_Summary!A10</f>
        <v>Monday</v>
      </c>
      <c r="C4" s="932" t="str">
        <f aca="false">Six_Day_Summary!A15</f>
        <v>Tuesday</v>
      </c>
      <c r="D4" s="932" t="str">
        <f aca="false">Six_Day_Summary!A20</f>
        <v>Wednesday</v>
      </c>
      <c r="E4" s="932" t="str">
        <f aca="false">Six_Day_Summary!A25</f>
        <v>Thursday</v>
      </c>
      <c r="F4" s="933" t="str">
        <f aca="false">Six_Day_Summary!A30</f>
        <v>Friday</v>
      </c>
      <c r="G4" s="934"/>
    </row>
    <row r="5" customFormat="false" ht="15" hidden="false" customHeight="false" outlineLevel="0" collapsed="false">
      <c r="A5" s="935" t="s">
        <v>602</v>
      </c>
      <c r="B5" s="936" t="n">
        <f aca="false">Weather_Input!A6</f>
        <v>37060</v>
      </c>
      <c r="C5" s="937" t="n">
        <f aca="false">Weather_Input!A7</f>
        <v>37061</v>
      </c>
      <c r="D5" s="937" t="n">
        <f aca="false">Weather_Input!A8</f>
        <v>37062</v>
      </c>
      <c r="E5" s="937" t="n">
        <f aca="false">Weather_Input!A9</f>
        <v>37063</v>
      </c>
      <c r="F5" s="938" t="n">
        <f aca="false">Weather_Input!A10</f>
        <v>37064</v>
      </c>
      <c r="G5" s="934"/>
    </row>
    <row r="6" customFormat="false" ht="15" hidden="false" customHeight="false" outlineLevel="0" collapsed="false">
      <c r="A6" s="934" t="s">
        <v>603</v>
      </c>
      <c r="B6" s="939" t="n">
        <f aca="false">PGL_Supplies!AC8/1000+PGL_Supplies!L8/1000-PGL_Requirements!O8/1000-PGL_Requirements!T8/1000+B8</f>
        <v>20.155</v>
      </c>
      <c r="C6" s="939" t="n">
        <f aca="false">PGL_Supplies!AC9/1000+PGL_Supplies!L9/1000-PGL_Requirements!O9/1000+C15-PGL_Requirements!T9/1000</f>
        <v>20.155</v>
      </c>
      <c r="D6" s="939" t="n">
        <f aca="false">PGL_Supplies!AC10/1000+PGL_Supplies!L10/1000-PGL_Requirements!O10/1000+D15-PGL_Requirements!T10/1000</f>
        <v>20.155</v>
      </c>
      <c r="E6" s="939" t="n">
        <f aca="false">PGL_Supplies!AC11/1000+PGL_Supplies!L11/1000-PGL_Requirements!O11/1000+E15-PGL_Requirements!T11/1000</f>
        <v>20.155</v>
      </c>
      <c r="F6" s="940" t="n">
        <f aca="false">PGL_Supplies!AC12/1000+PGL_Supplies!L12/1000-PGL_Requirements!O12/1000+F15-PGL_Requirements!T12/1000</f>
        <v>20.155</v>
      </c>
      <c r="G6" s="934"/>
      <c r="H6" s="0" t="s">
        <v>0</v>
      </c>
    </row>
    <row r="7" customFormat="false" ht="15" hidden="false" customHeight="false" outlineLevel="0" collapsed="false">
      <c r="A7" s="934" t="s">
        <v>604</v>
      </c>
      <c r="B7" s="939" t="n">
        <f aca="false">PGL_Supplies!N8/1000</f>
        <v>0</v>
      </c>
      <c r="C7" s="939" t="n">
        <f aca="false">PGL_Supplies!N9/1000</f>
        <v>0</v>
      </c>
      <c r="D7" s="939" t="n">
        <f aca="false">PGL_Supplies!N10/1000</f>
        <v>0</v>
      </c>
      <c r="E7" s="939" t="n">
        <f aca="false">PGL_Supplies!N11/1000</f>
        <v>0</v>
      </c>
      <c r="F7" s="941" t="n">
        <f aca="false">PGL_Supplies!N12/1000</f>
        <v>0</v>
      </c>
      <c r="G7" s="934"/>
    </row>
    <row r="8" customFormat="false" ht="15" hidden="false" customHeight="false" outlineLevel="0" collapsed="false">
      <c r="A8" s="934" t="s">
        <v>605</v>
      </c>
      <c r="B8" s="939" t="n">
        <f aca="false">PGL_Supplies!O8/1000</f>
        <v>0</v>
      </c>
      <c r="C8" s="939" t="n">
        <f aca="false">PGL_Supplies!O9/1000</f>
        <v>0</v>
      </c>
      <c r="D8" s="939" t="n">
        <f aca="false">PGL_Supplies!O10/1000</f>
        <v>0</v>
      </c>
      <c r="E8" s="939" t="n">
        <f aca="false">PGL_Supplies!O11/1000</f>
        <v>0</v>
      </c>
      <c r="F8" s="941" t="n">
        <f aca="false">PGL_Supplies!O12/1000</f>
        <v>0</v>
      </c>
      <c r="G8" s="934"/>
    </row>
    <row r="9" customFormat="false" ht="15" hidden="false" customHeight="false" outlineLevel="0" collapsed="false">
      <c r="A9" s="934" t="s">
        <v>606</v>
      </c>
      <c r="B9" s="939" t="n">
        <v>0</v>
      </c>
      <c r="C9" s="939" t="n">
        <v>0</v>
      </c>
      <c r="D9" s="939" t="n">
        <v>0</v>
      </c>
      <c r="E9" s="939" t="n">
        <v>0</v>
      </c>
      <c r="F9" s="941" t="n">
        <v>0</v>
      </c>
      <c r="G9" s="934"/>
    </row>
    <row r="10" customFormat="false" ht="15" hidden="false" customHeight="false" outlineLevel="0" collapsed="false">
      <c r="A10" s="942"/>
      <c r="B10" s="943"/>
      <c r="C10" s="943"/>
      <c r="D10" s="943"/>
      <c r="E10" s="943"/>
      <c r="F10" s="944"/>
      <c r="G10" s="934"/>
    </row>
    <row r="11" customFormat="false" ht="15" hidden="false" customHeight="false" outlineLevel="0" collapsed="false">
      <c r="A11" s="934" t="s">
        <v>607</v>
      </c>
      <c r="B11" s="939" t="n">
        <v>0</v>
      </c>
      <c r="C11" s="939" t="n">
        <v>0</v>
      </c>
      <c r="D11" s="939" t="n">
        <v>0</v>
      </c>
      <c r="E11" s="939" t="n">
        <v>0</v>
      </c>
      <c r="F11" s="941" t="n">
        <v>0</v>
      </c>
      <c r="G11" s="934"/>
      <c r="H11" s="40" t="s">
        <v>0</v>
      </c>
    </row>
    <row r="12" customFormat="false" ht="15" hidden="false" customHeight="false" outlineLevel="0" collapsed="false">
      <c r="A12" s="934" t="s">
        <v>608</v>
      </c>
      <c r="B12" s="939" t="n">
        <f aca="false">PGL_Requirements!S8/1000</f>
        <v>0</v>
      </c>
      <c r="C12" s="939" t="n">
        <f aca="false">PGL_Requirements!S9/1000</f>
        <v>0</v>
      </c>
      <c r="D12" s="939" t="n">
        <f aca="false">PGL_Requirements!S10/1000</f>
        <v>0</v>
      </c>
      <c r="E12" s="939" t="n">
        <f aca="false">PGL_Requirements!S11/1000</f>
        <v>0</v>
      </c>
      <c r="F12" s="941" t="n">
        <f aca="false">PGL_Requirements!S12/1000</f>
        <v>0</v>
      </c>
      <c r="G12" s="934"/>
    </row>
    <row r="13" customFormat="false" ht="15" hidden="false" customHeight="false" outlineLevel="0" collapsed="false">
      <c r="A13" s="934" t="s">
        <v>609</v>
      </c>
      <c r="B13" s="939" t="n">
        <v>0</v>
      </c>
      <c r="C13" s="939" t="n">
        <v>0</v>
      </c>
      <c r="D13" s="939" t="n">
        <v>0</v>
      </c>
      <c r="E13" s="939" t="n">
        <v>0</v>
      </c>
      <c r="F13" s="941" t="n">
        <v>0</v>
      </c>
      <c r="G13" s="934"/>
    </row>
    <row r="14" customFormat="false" ht="15" hidden="false" customHeight="false" outlineLevel="0" collapsed="false">
      <c r="A14" s="934" t="s">
        <v>433</v>
      </c>
      <c r="B14" s="939" t="n">
        <v>0</v>
      </c>
      <c r="C14" s="945"/>
      <c r="D14" s="945"/>
      <c r="E14" s="945"/>
      <c r="F14" s="941"/>
      <c r="G14" s="934"/>
    </row>
    <row r="15" customFormat="false" ht="15" hidden="false" customHeight="false" outlineLevel="0" collapsed="false">
      <c r="A15" s="934" t="s">
        <v>610</v>
      </c>
      <c r="B15" s="946" t="n">
        <v>0</v>
      </c>
      <c r="C15" s="946" t="n">
        <v>0</v>
      </c>
      <c r="D15" s="946" t="n">
        <v>0</v>
      </c>
      <c r="E15" s="946" t="n">
        <v>0</v>
      </c>
      <c r="F15" s="947" t="n">
        <v>0</v>
      </c>
      <c r="G15" s="40"/>
    </row>
    <row r="16" customFormat="false" ht="15" hidden="false" customHeight="false" outlineLevel="0" collapsed="false">
      <c r="A16" s="934" t="s">
        <v>611</v>
      </c>
      <c r="B16" s="946" t="n">
        <v>0</v>
      </c>
      <c r="C16" s="945"/>
      <c r="D16" s="945"/>
      <c r="E16" s="945"/>
      <c r="F16" s="941"/>
      <c r="G16" s="934"/>
    </row>
    <row r="17" customFormat="false" ht="15.75" hidden="false" customHeight="false" outlineLevel="0" collapsed="false">
      <c r="A17" s="948" t="s">
        <v>612</v>
      </c>
      <c r="B17" s="949" t="n">
        <v>0</v>
      </c>
      <c r="C17" s="950"/>
      <c r="D17" s="950"/>
      <c r="E17" s="950"/>
      <c r="F17" s="951"/>
      <c r="G17" s="934"/>
    </row>
    <row r="20" customFormat="false" ht="15.75" hidden="false" customHeight="false" outlineLevel="0" collapsed="false">
      <c r="A20" s="952" t="s">
        <v>613</v>
      </c>
      <c r="B20" s="877"/>
      <c r="C20" s="877"/>
      <c r="D20" s="877"/>
      <c r="E20" s="877"/>
      <c r="F20" s="877"/>
    </row>
    <row r="21" customFormat="false" ht="15" hidden="false" customHeight="false" outlineLevel="0" collapsed="false">
      <c r="A21" s="930"/>
      <c r="B21" s="953" t="str">
        <f aca="false">B4</f>
        <v>Monday</v>
      </c>
      <c r="C21" s="953" t="str">
        <f aca="false">C4</f>
        <v>Tuesday</v>
      </c>
      <c r="D21" s="953" t="str">
        <f aca="false">D4</f>
        <v>Wednesday</v>
      </c>
      <c r="E21" s="953" t="str">
        <f aca="false">E4</f>
        <v>Thursday</v>
      </c>
      <c r="F21" s="954" t="str">
        <f aca="false">F4</f>
        <v>Friday</v>
      </c>
      <c r="G21" s="934"/>
    </row>
    <row r="22" customFormat="false" ht="15" hidden="false" customHeight="false" outlineLevel="0" collapsed="false">
      <c r="A22" s="955" t="s">
        <v>602</v>
      </c>
      <c r="B22" s="956" t="n">
        <f aca="false">B5</f>
        <v>37060</v>
      </c>
      <c r="C22" s="956" t="n">
        <f aca="false">C5</f>
        <v>37061</v>
      </c>
      <c r="D22" s="956" t="n">
        <f aca="false">D5</f>
        <v>37062</v>
      </c>
      <c r="E22" s="956" t="n">
        <f aca="false">E5</f>
        <v>37063</v>
      </c>
      <c r="F22" s="957" t="n">
        <f aca="false">F5</f>
        <v>37064</v>
      </c>
      <c r="G22" s="934"/>
    </row>
    <row r="23" customFormat="false" ht="15" hidden="false" customHeight="false" outlineLevel="0" collapsed="false">
      <c r="A23" s="934" t="s">
        <v>603</v>
      </c>
      <c r="B23" s="945" t="n">
        <f aca="false">NSG_Supplies!R8/1000+NSG_Supplies!F8/1000-NSG_Requirements!H8/1000</f>
        <v>26.599</v>
      </c>
      <c r="C23" s="945" t="n">
        <f aca="false">NSG_Supplies!R9/1000+NSG_Supplies!F9/1000-NSG_Requirements!H9/1000</f>
        <v>26.599</v>
      </c>
      <c r="D23" s="945" t="n">
        <f aca="false">NSG_Supplies!R10/1000+NSG_Supplies!F10/1000-NSG_Requirements!H10/1000</f>
        <v>26.599</v>
      </c>
      <c r="E23" s="945" t="n">
        <f aca="false">NSG_Supplies!R12/1000+NSG_Supplies!F11/1000-NSG_Requirements!H11/1000</f>
        <v>26.599</v>
      </c>
      <c r="F23" s="940" t="n">
        <f aca="false">NSG_Supplies!R12/1000+NSG_Supplies!F12/1000-NSG_Requirements!H12/1000</f>
        <v>26.599</v>
      </c>
      <c r="G23" s="934"/>
    </row>
    <row r="24" customFormat="false" ht="15" hidden="false" customHeight="false" outlineLevel="0" collapsed="false">
      <c r="A24" s="934" t="s">
        <v>614</v>
      </c>
      <c r="B24" s="945" t="n">
        <f aca="false">NSG_Supplies!H8/1000</f>
        <v>0</v>
      </c>
      <c r="C24" s="945" t="n">
        <f aca="false">NSG_Supplies!H9/1000</f>
        <v>0</v>
      </c>
      <c r="D24" s="945" t="n">
        <f aca="false">NSG_Supplies!H10/1000</f>
        <v>0</v>
      </c>
      <c r="E24" s="945" t="n">
        <f aca="false">NSG_Supplies!H11/1000</f>
        <v>0</v>
      </c>
      <c r="F24" s="941" t="n">
        <f aca="false">NSG_Supplies!H12/1000</f>
        <v>0</v>
      </c>
      <c r="G24" s="934"/>
    </row>
    <row r="25" customFormat="false" ht="15" hidden="false" customHeight="false" outlineLevel="0" collapsed="false">
      <c r="A25" s="934" t="s">
        <v>604</v>
      </c>
      <c r="B25" s="945" t="n">
        <f aca="false">NSG_Supplies!I8/1000</f>
        <v>0</v>
      </c>
      <c r="C25" s="945" t="n">
        <f aca="false">NSG_Supplies!I9/1000</f>
        <v>0</v>
      </c>
      <c r="D25" s="945" t="n">
        <f aca="false">NSG_Supplies!I10/1000</f>
        <v>0</v>
      </c>
      <c r="E25" s="945" t="n">
        <f aca="false">NSG_Supplies!I11/1000</f>
        <v>0</v>
      </c>
      <c r="F25" s="941" t="n">
        <f aca="false">NSG_Supplies!I12/1000</f>
        <v>0</v>
      </c>
      <c r="G25" s="934"/>
    </row>
    <row r="26" customFormat="false" ht="15" hidden="false" customHeight="false" outlineLevel="0" collapsed="false">
      <c r="A26" s="958" t="s">
        <v>605</v>
      </c>
      <c r="B26" s="945" t="n">
        <f aca="false">NSG_Supplies!J8/1000</f>
        <v>0</v>
      </c>
      <c r="C26" s="945" t="n">
        <f aca="false">NSG_Supplies!J9/1000</f>
        <v>0</v>
      </c>
      <c r="D26" s="945" t="n">
        <f aca="false">NSG_Supplies!J10/1000</f>
        <v>0</v>
      </c>
      <c r="E26" s="945" t="n">
        <f aca="false">NSG_Supplies!J11/1000</f>
        <v>0</v>
      </c>
      <c r="F26" s="941" t="n">
        <f aca="false">NSG_Supplies!J12/1000</f>
        <v>0</v>
      </c>
      <c r="G26" s="934"/>
    </row>
    <row r="27" customFormat="false" ht="15" hidden="false" customHeight="false" outlineLevel="0" collapsed="false">
      <c r="A27" s="934" t="s">
        <v>606</v>
      </c>
      <c r="B27" s="945" t="n">
        <f aca="false">NSG_Supplies!K8/1000</f>
        <v>0</v>
      </c>
      <c r="C27" s="945" t="n">
        <f aca="false">NSG_Supplies!K9/1000</f>
        <v>0</v>
      </c>
      <c r="D27" s="945" t="n">
        <f aca="false">NSG_Supplies!K10/1000</f>
        <v>0</v>
      </c>
      <c r="E27" s="945" t="n">
        <f aca="false">NSG_Supplies!K11/1000</f>
        <v>0</v>
      </c>
      <c r="F27" s="941" t="n">
        <f aca="false">NSG_Supplies!K12/1000</f>
        <v>0</v>
      </c>
      <c r="G27" s="934"/>
    </row>
    <row r="28" customFormat="false" ht="15" hidden="false" customHeight="false" outlineLevel="0" collapsed="false">
      <c r="A28" s="934" t="s">
        <v>615</v>
      </c>
      <c r="B28" s="945" t="s">
        <v>0</v>
      </c>
      <c r="C28" s="945"/>
      <c r="D28" s="945"/>
      <c r="E28" s="945"/>
      <c r="F28" s="941"/>
      <c r="G28" s="934"/>
    </row>
    <row r="29" customFormat="false" ht="15" hidden="false" customHeight="false" outlineLevel="0" collapsed="false">
      <c r="A29" s="942"/>
      <c r="B29" s="943"/>
      <c r="C29" s="943"/>
      <c r="D29" s="943"/>
      <c r="E29" s="943"/>
      <c r="F29" s="944"/>
      <c r="G29" s="934"/>
    </row>
    <row r="30" customFormat="false" ht="15" hidden="false" customHeight="false" outlineLevel="0" collapsed="false">
      <c r="A30" s="934" t="s">
        <v>607</v>
      </c>
      <c r="B30" s="945" t="n">
        <f aca="false">NSG_Requirements!P8/1000</f>
        <v>0</v>
      </c>
      <c r="C30" s="945" t="n">
        <f aca="false">NSG_Requirements!P9/1000</f>
        <v>0</v>
      </c>
      <c r="D30" s="945" t="n">
        <f aca="false">NSG_Requirements!P10/1000</f>
        <v>0</v>
      </c>
      <c r="E30" s="945" t="n">
        <f aca="false">NSG_Requirements!P11/1000</f>
        <v>0</v>
      </c>
      <c r="F30" s="941" t="n">
        <f aca="false">NSG_Supplies!K12/1000</f>
        <v>0</v>
      </c>
      <c r="G30" s="934"/>
    </row>
    <row r="31" customFormat="false" ht="15" hidden="false" customHeight="false" outlineLevel="0" collapsed="false">
      <c r="A31" s="934" t="s">
        <v>608</v>
      </c>
      <c r="B31" s="945" t="n">
        <f aca="false">NSG_Requirements!R8/1000</f>
        <v>0</v>
      </c>
      <c r="C31" s="945" t="n">
        <f aca="false">NSG_Requirements!R9/1000</f>
        <v>0</v>
      </c>
      <c r="D31" s="945" t="n">
        <f aca="false">NSG_Requirements!R10/1000</f>
        <v>0</v>
      </c>
      <c r="E31" s="945" t="n">
        <f aca="false">NSG_Requirements!R11/1000</f>
        <v>0</v>
      </c>
      <c r="F31" s="941" t="n">
        <f aca="false">NSG_Supplies!M12/1000</f>
        <v>0</v>
      </c>
      <c r="G31" s="934"/>
    </row>
    <row r="32" customFormat="false" ht="15" hidden="false" customHeight="false" outlineLevel="0" collapsed="false">
      <c r="A32" s="934" t="s">
        <v>609</v>
      </c>
      <c r="B32" s="945" t="n">
        <f aca="false">NSG_Requirements!Q8/1000</f>
        <v>0</v>
      </c>
      <c r="C32" s="945" t="n">
        <f aca="false">NSG_Requirements!Q9/1000</f>
        <v>0</v>
      </c>
      <c r="D32" s="945" t="n">
        <f aca="false">NSG_Requirements!Q10/1000</f>
        <v>0</v>
      </c>
      <c r="E32" s="945" t="n">
        <f aca="false">NSG_Requirements!Q11/1000</f>
        <v>0</v>
      </c>
      <c r="F32" s="941" t="n">
        <f aca="false">NSG_Requirements!Q12/1000</f>
        <v>0</v>
      </c>
      <c r="G32" s="934"/>
    </row>
    <row r="33" customFormat="false" ht="15.75" hidden="false" customHeight="false" outlineLevel="0" collapsed="false">
      <c r="A33" s="948" t="s">
        <v>616</v>
      </c>
      <c r="B33" s="950" t="n">
        <f aca="false">NSG_Requirements!L8/1000</f>
        <v>0</v>
      </c>
      <c r="C33" s="950" t="n">
        <f aca="false">NSG_Requirements!L9/1000</f>
        <v>0</v>
      </c>
      <c r="D33" s="950" t="n">
        <f aca="false">NSG_Requirements!L10/1000</f>
        <v>0</v>
      </c>
      <c r="E33" s="950" t="n">
        <f aca="false">NSG_Requirements!L11/1000</f>
        <v>0</v>
      </c>
      <c r="F33" s="951" t="n">
        <f aca="false">NSG_Requirements!L12/1000</f>
        <v>0</v>
      </c>
      <c r="G33" s="93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C3" colorId="64" zoomScale="100" zoomScaleNormal="100" zoomScalePageLayoutView="100" workbookViewId="0">
      <selection pane="topLeft" activeCell="G8" activeCellId="0" sqref="G8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59" t="s">
        <v>617</v>
      </c>
      <c r="C1" s="960" t="n">
        <f aca="false">Weather_Input!A6</f>
        <v>37060</v>
      </c>
      <c r="D1" s="961" t="s">
        <v>618</v>
      </c>
      <c r="E1" s="962"/>
      <c r="F1" s="963"/>
      <c r="G1" s="435"/>
      <c r="H1" s="435"/>
      <c r="I1" s="382"/>
    </row>
    <row r="2" customFormat="false" ht="15.75" hidden="false" customHeight="true" outlineLevel="0" collapsed="false">
      <c r="A2" s="34"/>
      <c r="B2" s="964" t="s">
        <v>619</v>
      </c>
      <c r="E2" s="399"/>
      <c r="I2" s="399"/>
    </row>
    <row r="3" customFormat="false" ht="15.75" hidden="false" customHeight="true" outlineLevel="0" collapsed="false">
      <c r="B3" s="965" t="s">
        <v>168</v>
      </c>
      <c r="C3" s="966" t="n">
        <f aca="false">NSG_Supplies!Q8/1000</f>
        <v>15.215</v>
      </c>
      <c r="E3" s="399"/>
      <c r="F3" s="967" t="s">
        <v>266</v>
      </c>
      <c r="G3" s="477"/>
      <c r="H3" s="968" t="s">
        <v>620</v>
      </c>
      <c r="I3" s="969" t="s">
        <v>621</v>
      </c>
    </row>
    <row r="4" customFormat="false" ht="15.75" hidden="false" customHeight="true" outlineLevel="0" collapsed="false">
      <c r="A4" s="0" t="s">
        <v>0</v>
      </c>
      <c r="B4" s="934" t="s">
        <v>622</v>
      </c>
      <c r="C4" s="398" t="n">
        <f aca="false">NSG_Supplies!E8/1000</f>
        <v>0</v>
      </c>
      <c r="D4" s="822" t="n">
        <f aca="false">NSG_Requirements!J8/1000</f>
        <v>5.81</v>
      </c>
      <c r="E4" s="970"/>
      <c r="F4" s="965" t="s">
        <v>623</v>
      </c>
      <c r="G4" s="73"/>
      <c r="H4" s="971" t="n">
        <f aca="false">PGL_Requirements!P8/1000</f>
        <v>135</v>
      </c>
      <c r="I4" s="972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73" t="s">
        <v>624</v>
      </c>
      <c r="C5" s="974" t="n">
        <f aca="false">C3+C4-D4</f>
        <v>9.405</v>
      </c>
      <c r="D5" s="975"/>
      <c r="E5" s="976" t="n">
        <f aca="false">AVERAGE(C5/24)</f>
        <v>0.391875</v>
      </c>
      <c r="F5" s="977" t="s">
        <v>313</v>
      </c>
      <c r="G5" s="978" t="n">
        <f aca="false">PGL_Supplies!M8/1000</f>
        <v>0</v>
      </c>
      <c r="H5" s="979"/>
      <c r="I5" s="980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1" t="s">
        <v>625</v>
      </c>
      <c r="C6" s="982"/>
      <c r="D6" s="40"/>
      <c r="E6" s="983"/>
      <c r="F6" s="0" t="s">
        <v>626</v>
      </c>
      <c r="G6" s="982" t="n">
        <f aca="false">AVERAGE(H4/24)</f>
        <v>5.625</v>
      </c>
      <c r="H6" s="435"/>
      <c r="I6" s="382"/>
    </row>
    <row r="7" customFormat="false" ht="15.75" hidden="false" customHeight="true" outlineLevel="0" collapsed="false">
      <c r="B7" s="965" t="s">
        <v>627</v>
      </c>
      <c r="C7" s="971" t="n">
        <f aca="false">NSG_Supplies!L8/1000</f>
        <v>0</v>
      </c>
      <c r="D7" s="73"/>
      <c r="E7" s="984"/>
      <c r="F7" s="964" t="s">
        <v>628</v>
      </c>
      <c r="G7" s="985"/>
      <c r="H7" s="73"/>
      <c r="I7" s="399"/>
    </row>
    <row r="8" customFormat="false" ht="15.75" hidden="false" customHeight="true" outlineLevel="0" collapsed="false">
      <c r="B8" s="965" t="s">
        <v>629</v>
      </c>
      <c r="C8" s="971" t="n">
        <f aca="false">PGL_Requirements!V8/1000</f>
        <v>0</v>
      </c>
      <c r="D8" s="73"/>
      <c r="E8" s="984"/>
      <c r="F8" s="965" t="s">
        <v>630</v>
      </c>
      <c r="G8" s="971" t="n">
        <f aca="false">PGL_Supplies!T8/1000</f>
        <v>20</v>
      </c>
      <c r="H8" s="73"/>
      <c r="I8" s="399"/>
    </row>
    <row r="9" customFormat="false" ht="15.75" hidden="false" customHeight="true" outlineLevel="0" collapsed="false">
      <c r="B9" s="965" t="s">
        <v>631</v>
      </c>
      <c r="C9" s="971" t="n">
        <f aca="false">NSG_Requirements!B8/1000</f>
        <v>0</v>
      </c>
      <c r="D9" s="73"/>
      <c r="E9" s="984"/>
      <c r="F9" s="29" t="s">
        <v>632</v>
      </c>
      <c r="G9" s="971" t="n">
        <f aca="false">PGL_Supplies!U8/1000</f>
        <v>0</v>
      </c>
      <c r="I9" s="399"/>
    </row>
    <row r="10" customFormat="false" ht="15.75" hidden="false" customHeight="true" outlineLevel="0" collapsed="false">
      <c r="B10" s="973" t="s">
        <v>633</v>
      </c>
      <c r="C10" s="974" t="n">
        <f aca="false">C7+C8-C9</f>
        <v>0</v>
      </c>
      <c r="D10" s="975"/>
      <c r="E10" s="976" t="n">
        <f aca="false">AVERAGE(C10/24)</f>
        <v>0</v>
      </c>
      <c r="F10" s="965" t="s">
        <v>524</v>
      </c>
      <c r="G10" s="971" t="n">
        <f aca="false">PGL_Supplies!AB8/1000</f>
        <v>211.567</v>
      </c>
      <c r="H10" s="971" t="s">
        <v>0</v>
      </c>
      <c r="I10" s="399"/>
    </row>
    <row r="11" customFormat="false" ht="15.75" hidden="false" customHeight="true" outlineLevel="0" collapsed="false">
      <c r="A11" s="0" t="s">
        <v>0</v>
      </c>
      <c r="B11" s="986" t="s">
        <v>634</v>
      </c>
      <c r="C11" s="971" t="n">
        <f aca="false">PGL_Supplies!Y8/1000</f>
        <v>103.4</v>
      </c>
      <c r="D11" s="477"/>
      <c r="E11" s="987"/>
      <c r="F11" s="988" t="s">
        <v>635</v>
      </c>
      <c r="G11" s="989" t="n">
        <f aca="false">G8+G10</f>
        <v>231.567</v>
      </c>
      <c r="H11" s="264"/>
      <c r="I11" s="361"/>
    </row>
    <row r="12" customFormat="false" ht="15.75" hidden="false" customHeight="true" outlineLevel="0" collapsed="false">
      <c r="B12" s="255" t="s">
        <v>636</v>
      </c>
      <c r="C12" s="971" t="n">
        <v>0</v>
      </c>
      <c r="D12" s="40"/>
      <c r="E12" s="399"/>
      <c r="F12" s="990" t="s">
        <v>637</v>
      </c>
      <c r="G12" s="971" t="n">
        <f aca="false">PGL_Supplies!E8/1000</f>
        <v>0</v>
      </c>
      <c r="H12" s="73"/>
      <c r="I12" s="984"/>
    </row>
    <row r="13" customFormat="false" ht="15.75" hidden="false" customHeight="true" outlineLevel="0" collapsed="false">
      <c r="B13" s="255" t="s">
        <v>638</v>
      </c>
      <c r="C13" s="40"/>
      <c r="D13" s="971" t="n">
        <f aca="false">PGL_Requirements!J8/1000</f>
        <v>0</v>
      </c>
      <c r="E13" s="399"/>
      <c r="F13" s="990" t="s">
        <v>639</v>
      </c>
      <c r="G13" s="73"/>
      <c r="H13" s="971" t="n">
        <f aca="false">PGL_Requirements!E8/1000</f>
        <v>0</v>
      </c>
      <c r="I13" s="399"/>
    </row>
    <row r="14" customFormat="false" ht="15.75" hidden="false" customHeight="true" outlineLevel="0" collapsed="false">
      <c r="B14" s="991" t="s">
        <v>640</v>
      </c>
      <c r="C14" s="974" t="n">
        <f aca="false">C11-C12</f>
        <v>103.4</v>
      </c>
      <c r="D14" s="975"/>
      <c r="E14" s="976" t="n">
        <f aca="false">AVERAGE(C14/24)</f>
        <v>4.30833333333333</v>
      </c>
      <c r="F14" s="992" t="s">
        <v>641</v>
      </c>
      <c r="G14" s="974" t="n">
        <v>0</v>
      </c>
      <c r="H14" s="975"/>
      <c r="I14" s="976" t="n">
        <f aca="false">AVERAGE(G14/24)</f>
        <v>0</v>
      </c>
    </row>
    <row r="15" customFormat="false" ht="15.75" hidden="false" customHeight="true" outlineLevel="0" collapsed="false">
      <c r="B15" s="965" t="s">
        <v>642</v>
      </c>
      <c r="C15" s="971" t="n">
        <f aca="false">PGL_Supplies!Z8/1000</f>
        <v>0.2</v>
      </c>
      <c r="D15" s="73"/>
      <c r="E15" s="399"/>
      <c r="F15" s="992" t="s">
        <v>643</v>
      </c>
      <c r="G15" s="989" t="n">
        <f aca="false">SUM(G11)-G16-G17</f>
        <v>172.733</v>
      </c>
      <c r="H15" s="975" t="s">
        <v>0</v>
      </c>
      <c r="I15" s="976" t="n">
        <f aca="false">AVERAGE(G15/24)</f>
        <v>7.19720833333333</v>
      </c>
    </row>
    <row r="16" customFormat="false" ht="15.75" hidden="false" customHeight="true" outlineLevel="0" collapsed="false">
      <c r="B16" s="965" t="s">
        <v>644</v>
      </c>
      <c r="C16" s="971" t="n">
        <f aca="false">PGL_Supplies!R8/1000</f>
        <v>0</v>
      </c>
      <c r="D16" s="971" t="n">
        <f aca="false">PGL_Requirements!U8/1000</f>
        <v>0</v>
      </c>
      <c r="E16" s="399"/>
      <c r="F16" s="992" t="s">
        <v>645</v>
      </c>
      <c r="G16" s="974" t="n">
        <f aca="false">PGL_Requirements!H8/1000</f>
        <v>58.834</v>
      </c>
      <c r="H16" s="974" t="s">
        <v>0</v>
      </c>
      <c r="I16" s="976" t="n">
        <f aca="false">AVERAGE(G16/24)</f>
        <v>2.45141666666667</v>
      </c>
    </row>
    <row r="17" customFormat="false" ht="15.75" hidden="false" customHeight="true" outlineLevel="0" collapsed="false">
      <c r="B17" s="988" t="s">
        <v>635</v>
      </c>
      <c r="C17" s="989" t="n">
        <f aca="false">SUM(C15:C16)-SUM(D15:D16)</f>
        <v>0.2</v>
      </c>
      <c r="D17" s="264"/>
      <c r="E17" s="361"/>
      <c r="F17" s="993" t="s">
        <v>646</v>
      </c>
      <c r="G17" s="994" t="n">
        <v>0</v>
      </c>
      <c r="H17" s="995"/>
      <c r="I17" s="996" t="n">
        <f aca="false">AVERAGE(G17/24)</f>
        <v>0</v>
      </c>
    </row>
    <row r="18" customFormat="false" ht="15.75" hidden="false" customHeight="true" outlineLevel="0" collapsed="false">
      <c r="B18" s="965" t="s">
        <v>647</v>
      </c>
      <c r="C18" s="971" t="n">
        <f aca="false">PGL_Supplies!C8/1000</f>
        <v>0</v>
      </c>
      <c r="D18" s="73"/>
      <c r="E18" s="399"/>
      <c r="F18" s="997" t="s">
        <v>648</v>
      </c>
      <c r="G18" s="73" t="s">
        <v>0</v>
      </c>
      <c r="H18" s="73"/>
      <c r="I18" s="399"/>
    </row>
    <row r="19" customFormat="false" ht="15.75" hidden="false" customHeight="true" outlineLevel="0" collapsed="false">
      <c r="B19" s="965" t="s">
        <v>649</v>
      </c>
      <c r="C19" s="73"/>
      <c r="D19" s="971" t="n">
        <f aca="false">PGL_Requirements!C8/1000</f>
        <v>0.2</v>
      </c>
      <c r="E19" s="399"/>
      <c r="F19" s="977" t="s">
        <v>650</v>
      </c>
      <c r="G19" s="979"/>
      <c r="H19" s="978" t="n">
        <v>0</v>
      </c>
      <c r="I19" s="998"/>
    </row>
    <row r="20" customFormat="false" ht="15.75" hidden="false" customHeight="true" outlineLevel="0" collapsed="false">
      <c r="B20" s="973" t="s">
        <v>651</v>
      </c>
      <c r="C20" s="974" t="n">
        <f aca="false">C17+C18-D19</f>
        <v>0</v>
      </c>
      <c r="D20" s="999" t="s">
        <v>0</v>
      </c>
      <c r="E20" s="976" t="n">
        <f aca="false">AVERAGE(C20/24)</f>
        <v>0</v>
      </c>
      <c r="F20" s="1000" t="s">
        <v>427</v>
      </c>
      <c r="G20" s="73" t="n">
        <v>0</v>
      </c>
      <c r="H20" s="971" t="s">
        <v>0</v>
      </c>
      <c r="I20" s="399"/>
    </row>
    <row r="21" customFormat="false" ht="15.75" hidden="false" customHeight="true" outlineLevel="0" collapsed="false">
      <c r="B21" s="965" t="s">
        <v>652</v>
      </c>
      <c r="C21" s="971" t="n">
        <f aca="false">PGL_Supplies!AA8/1000</f>
        <v>0</v>
      </c>
      <c r="D21" s="971" t="s">
        <v>0</v>
      </c>
      <c r="E21" s="399"/>
      <c r="F21" s="965" t="s">
        <v>168</v>
      </c>
      <c r="G21" s="971" t="n">
        <f aca="false">PGL_Supplies!AD8/1000</f>
        <v>4</v>
      </c>
      <c r="H21" s="971" t="s">
        <v>0</v>
      </c>
      <c r="I21" s="399"/>
    </row>
    <row r="22" customFormat="false" ht="15.75" hidden="false" customHeight="true" outlineLevel="0" collapsed="false">
      <c r="B22" s="988" t="s">
        <v>635</v>
      </c>
      <c r="C22" s="989" t="n">
        <f aca="false">SUM(C21)-SUM(D21)</f>
        <v>0</v>
      </c>
      <c r="D22" s="264"/>
      <c r="E22" s="361"/>
      <c r="F22" s="988" t="s">
        <v>635</v>
      </c>
      <c r="G22" s="989" t="n">
        <f aca="false">G21</f>
        <v>4</v>
      </c>
      <c r="H22" s="264"/>
      <c r="I22" s="361"/>
    </row>
    <row r="23" customFormat="false" ht="15.75" hidden="false" customHeight="true" outlineLevel="0" collapsed="false">
      <c r="B23" s="965" t="s">
        <v>653</v>
      </c>
      <c r="C23" s="971" t="n">
        <f aca="false">PGL_Supplies!D8/1000</f>
        <v>0</v>
      </c>
      <c r="D23" s="73"/>
      <c r="E23" s="399"/>
      <c r="F23" s="965" t="s">
        <v>654</v>
      </c>
      <c r="G23" s="971" t="n">
        <f aca="false">PGL_Supplies!G8/1000</f>
        <v>0</v>
      </c>
      <c r="H23" s="73"/>
      <c r="I23" s="399"/>
    </row>
    <row r="24" customFormat="false" ht="15.75" hidden="false" customHeight="true" outlineLevel="0" collapsed="false">
      <c r="B24" s="965" t="s">
        <v>655</v>
      </c>
      <c r="C24" s="73" t="n">
        <v>0</v>
      </c>
      <c r="D24" s="971" t="n">
        <f aca="false">PGL_Requirements!D8/1000</f>
        <v>0</v>
      </c>
      <c r="E24" s="399"/>
      <c r="F24" s="965" t="s">
        <v>656</v>
      </c>
      <c r="G24" s="73"/>
      <c r="H24" s="971" t="n">
        <f aca="false">PGL_Requirements!F8/1000</f>
        <v>4</v>
      </c>
      <c r="I24" s="399"/>
    </row>
    <row r="25" customFormat="false" ht="15.75" hidden="false" customHeight="true" outlineLevel="0" collapsed="false">
      <c r="B25" s="973" t="s">
        <v>657</v>
      </c>
      <c r="C25" s="974" t="n">
        <f aca="false">C22+C23-D24</f>
        <v>0</v>
      </c>
      <c r="D25" s="975"/>
      <c r="E25" s="976" t="n">
        <f aca="false">AVERAGE(C25/24)</f>
        <v>0</v>
      </c>
      <c r="F25" s="380" t="s">
        <v>658</v>
      </c>
      <c r="G25" s="1001" t="n">
        <f aca="false">G22+G23-H24+G20</f>
        <v>0</v>
      </c>
      <c r="H25" s="435"/>
      <c r="I25" s="1002" t="n">
        <f aca="false">AVERAGE(G25/24)</f>
        <v>0</v>
      </c>
    </row>
    <row r="26" customFormat="false" ht="15.75" hidden="false" customHeight="true" outlineLevel="0" collapsed="false">
      <c r="B26" s="0" t="s">
        <v>659</v>
      </c>
    </row>
    <row r="27" customFormat="false" ht="15.75" hidden="false" customHeight="true" outlineLevel="0" collapsed="false">
      <c r="B27" s="0" t="s">
        <v>660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661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03" width="8.65"/>
    <col collapsed="false" customWidth="true" hidden="false" outlineLevel="0" max="2" min="2" style="1003" width="8.1"/>
    <col collapsed="false" customWidth="true" hidden="false" outlineLevel="0" max="3" min="3" style="1003" width="7.88"/>
    <col collapsed="false" customWidth="true" hidden="false" outlineLevel="0" max="4" min="4" style="1003" width="5.88"/>
    <col collapsed="false" customWidth="true" hidden="false" outlineLevel="0" max="5" min="5" style="1003" width="4.44"/>
    <col collapsed="false" customWidth="true" hidden="false" outlineLevel="0" max="6" min="6" style="1003" width="5.21"/>
    <col collapsed="false" customWidth="true" hidden="false" outlineLevel="0" max="7" min="7" style="1003" width="8.99"/>
    <col collapsed="false" customWidth="false" hidden="false" outlineLevel="0" max="11" min="8" style="1003" width="8.88"/>
    <col collapsed="false" customWidth="true" hidden="false" outlineLevel="0" max="12" min="12" style="1003" width="14.88"/>
    <col collapsed="false" customWidth="true" hidden="false" outlineLevel="0" max="13" min="13" style="1003" width="5.65"/>
    <col collapsed="false" customWidth="false" hidden="false" outlineLevel="0" max="257" min="14" style="1003" width="8.88"/>
  </cols>
  <sheetData>
    <row r="1" customFormat="false" ht="22.5" hidden="false" customHeight="false" outlineLevel="0" collapsed="false">
      <c r="A1" s="1004"/>
      <c r="B1" s="1005"/>
      <c r="C1" s="1006" t="s">
        <v>662</v>
      </c>
      <c r="D1" s="1007"/>
      <c r="E1" s="1007" t="s">
        <v>663</v>
      </c>
      <c r="F1" s="1007"/>
      <c r="G1" s="1008" t="s">
        <v>664</v>
      </c>
      <c r="H1" s="1009" t="n">
        <f aca="false">Weather_Input!A6</f>
        <v>37060</v>
      </c>
      <c r="I1" s="1010"/>
      <c r="J1" s="1011"/>
      <c r="K1" s="1011"/>
    </row>
    <row r="2" customFormat="false" ht="16.5" hidden="false" customHeight="true" outlineLevel="0" collapsed="false">
      <c r="A2" s="1012" t="s">
        <v>665</v>
      </c>
      <c r="C2" s="1013" t="n">
        <v>385</v>
      </c>
      <c r="F2" s="1014" t="n">
        <v>386</v>
      </c>
      <c r="H2" s="1011"/>
      <c r="I2" s="1010" t="s">
        <v>666</v>
      </c>
      <c r="J2" s="1015" t="n">
        <f aca="false">NSG_Supplies!Q8/1000</f>
        <v>15.215</v>
      </c>
    </row>
    <row r="3" customFormat="false" ht="16.5" hidden="false" customHeight="true" outlineLevel="0" collapsed="false">
      <c r="A3" s="1016" t="n">
        <f aca="false">PGL_Supplies!J8/1000</f>
        <v>0</v>
      </c>
      <c r="C3" s="1003" t="s">
        <v>0</v>
      </c>
      <c r="G3" s="1010"/>
      <c r="H3" s="1011"/>
    </row>
    <row r="4" customFormat="false" ht="16.5" hidden="false" customHeight="true" outlineLevel="0" collapsed="false">
      <c r="A4" s="1017" t="s">
        <v>667</v>
      </c>
      <c r="G4" s="1018"/>
      <c r="H4" s="1011"/>
      <c r="I4" s="1010"/>
      <c r="J4" s="1010" t="s">
        <v>668</v>
      </c>
      <c r="K4" s="1015" t="n">
        <f aca="false">Billy_Sheet!C5</f>
        <v>9.405</v>
      </c>
      <c r="N4" s="1015"/>
    </row>
    <row r="5" customFormat="false" ht="16.5" hidden="false" customHeight="true" outlineLevel="0" collapsed="false">
      <c r="A5" s="1019" t="n">
        <f aca="false">PGL_Supplies!K7/1000</f>
        <v>0</v>
      </c>
      <c r="B5" s="1020"/>
      <c r="G5" s="1005"/>
      <c r="H5" s="1015"/>
      <c r="U5" s="1011"/>
      <c r="V5" s="1011"/>
    </row>
    <row r="6" customFormat="false" ht="16.5" hidden="false" customHeight="true" outlineLevel="0" collapsed="false">
      <c r="A6" s="1021" t="s">
        <v>669</v>
      </c>
      <c r="G6" s="1005"/>
      <c r="H6" s="1015"/>
      <c r="U6" s="1011"/>
      <c r="V6" s="1015"/>
    </row>
    <row r="7" customFormat="false" ht="18.75" hidden="false" customHeight="true" outlineLevel="0" collapsed="false">
      <c r="A7" s="1015" t="n">
        <f aca="false">Billy_Sheet!G14</f>
        <v>0</v>
      </c>
      <c r="G7" s="1005"/>
      <c r="H7" s="1022"/>
      <c r="U7" s="1011"/>
      <c r="V7" s="1022"/>
    </row>
    <row r="8" customFormat="false" ht="14.45" hidden="false" customHeight="true" outlineLevel="0" collapsed="false">
      <c r="A8" s="1010" t="s">
        <v>94</v>
      </c>
      <c r="G8" s="1005"/>
      <c r="H8" s="1010" t="s">
        <v>422</v>
      </c>
      <c r="I8" s="1010"/>
      <c r="K8" s="1010"/>
      <c r="L8" s="1010"/>
      <c r="N8" s="1010"/>
      <c r="O8" s="1010"/>
      <c r="U8" s="1011"/>
      <c r="V8" s="1015"/>
    </row>
    <row r="9" customFormat="false" ht="14.45" hidden="false" customHeight="true" outlineLevel="0" collapsed="false">
      <c r="A9" s="1015" t="n">
        <f aca="false">PGL_Supplies!I8/1000</f>
        <v>15</v>
      </c>
      <c r="H9" s="1015" t="n">
        <v>0</v>
      </c>
      <c r="I9" s="1023"/>
      <c r="K9" s="1010" t="s">
        <v>670</v>
      </c>
      <c r="L9" s="1015" t="n">
        <f aca="false">NSG_Deliveries!C6/1000</f>
        <v>36</v>
      </c>
      <c r="N9" s="1010"/>
      <c r="O9" s="1015"/>
      <c r="U9" s="1011"/>
      <c r="V9" s="1015"/>
    </row>
    <row r="10" customFormat="false" ht="18" hidden="false" customHeight="true" outlineLevel="0" collapsed="false">
      <c r="A10" s="1010" t="s">
        <v>85</v>
      </c>
      <c r="H10" s="1024" t="s">
        <v>671</v>
      </c>
      <c r="U10" s="1011"/>
      <c r="V10" s="1015"/>
    </row>
    <row r="11" customFormat="false" ht="14.45" hidden="false" customHeight="true" outlineLevel="0" collapsed="false">
      <c r="A11" s="1015" t="n">
        <f aca="false">Billy_Sheet!C20</f>
        <v>0</v>
      </c>
      <c r="B11" s="1023"/>
      <c r="H11" s="1015" t="n">
        <f aca="false">NSG_Supplies!U8/1000</f>
        <v>0</v>
      </c>
      <c r="K11" s="1005" t="s">
        <v>672</v>
      </c>
      <c r="L11" s="1018" t="n">
        <f aca="false">SUM(K4+K17+K19+H11+H9-L9)</f>
        <v>0.00400000000000489</v>
      </c>
      <c r="N11" s="1005"/>
      <c r="O11" s="1018"/>
      <c r="U11" s="1011"/>
      <c r="V11" s="1025"/>
    </row>
    <row r="12" customFormat="false" ht="14.45" hidden="false" customHeight="true" outlineLevel="0" collapsed="false">
      <c r="A12" s="1010" t="s">
        <v>673</v>
      </c>
      <c r="H12" s="1015"/>
      <c r="U12" s="1011"/>
      <c r="V12" s="1015"/>
    </row>
    <row r="13" customFormat="false" ht="14.45" hidden="false" customHeight="true" outlineLevel="0" collapsed="false">
      <c r="A13" s="1019" t="n">
        <f aca="false">PGL_Supplies!Y8/1000</f>
        <v>103.4</v>
      </c>
      <c r="H13" s="1015"/>
      <c r="U13" s="1011"/>
      <c r="V13" s="1015"/>
    </row>
    <row r="14" customFormat="false" ht="14.45" hidden="false" customHeight="true" outlineLevel="0" collapsed="false">
      <c r="H14" s="1015"/>
      <c r="U14" s="1011"/>
      <c r="V14" s="1015"/>
    </row>
    <row r="15" customFormat="false" ht="15.6" hidden="false" customHeight="true" outlineLevel="0" collapsed="false">
      <c r="B15" s="1003" t="s">
        <v>0</v>
      </c>
      <c r="C15" s="1026" t="n">
        <v>370</v>
      </c>
      <c r="F15" s="1026" t="n">
        <v>370</v>
      </c>
      <c r="H15" s="1018"/>
      <c r="U15" s="1027"/>
      <c r="V15" s="1018"/>
    </row>
    <row r="16" customFormat="false" ht="42.75" hidden="false" customHeight="true" outlineLevel="0" collapsed="false">
      <c r="A16" s="1028"/>
      <c r="B16" s="1018"/>
      <c r="C16" s="1029"/>
      <c r="D16" s="1030"/>
      <c r="E16" s="1030"/>
      <c r="F16" s="1029"/>
    </row>
    <row r="17" customFormat="false" ht="38.25" hidden="false" customHeight="true" outlineLevel="0" collapsed="false">
      <c r="B17" s="1030"/>
      <c r="C17" s="1030"/>
      <c r="D17" s="1031"/>
      <c r="E17" s="1030"/>
      <c r="F17" s="1030"/>
      <c r="G17" s="1030"/>
      <c r="J17" s="1010" t="s">
        <v>674</v>
      </c>
      <c r="K17" s="1015" t="n">
        <f aca="false">NSG_Supplies!L8/1000</f>
        <v>0</v>
      </c>
      <c r="N17" s="1015"/>
    </row>
    <row r="18" customFormat="false" ht="15" hidden="false" customHeight="true" outlineLevel="0" collapsed="false">
      <c r="A18" s="1032"/>
      <c r="C18" s="1026" t="n">
        <v>668</v>
      </c>
      <c r="D18" s="1030"/>
      <c r="E18" s="1030"/>
      <c r="F18" s="1014" t="n">
        <v>806</v>
      </c>
    </row>
    <row r="19" customFormat="false" ht="11.25" hidden="false" customHeight="false" outlineLevel="0" collapsed="false">
      <c r="A19" s="1021" t="s">
        <v>675</v>
      </c>
      <c r="C19" s="1003" t="s">
        <v>0</v>
      </c>
      <c r="J19" s="1010" t="s">
        <v>676</v>
      </c>
      <c r="K19" s="1015" t="n">
        <f aca="false">NSG_Supplies!R8/1000+NSG_Supplies!F8/1000-NSG_Requirements!H8/1000</f>
        <v>26.599</v>
      </c>
      <c r="N19" s="1033"/>
    </row>
    <row r="20" customFormat="false" ht="17.25" hidden="false" customHeight="true" outlineLevel="0" collapsed="false">
      <c r="A20" s="1015" t="n">
        <f aca="false">Billy_Sheet!G15</f>
        <v>172.733</v>
      </c>
      <c r="G20" s="34"/>
      <c r="J20" s="1010"/>
    </row>
    <row r="21" customFormat="false" ht="11.25" hidden="false" customHeight="true" outlineLevel="0" collapsed="false">
      <c r="G21" s="1022"/>
      <c r="H21" s="1022"/>
      <c r="I21" s="1005"/>
      <c r="J21" s="1018"/>
    </row>
    <row r="22" customFormat="false" ht="11.25" hidden="false" customHeight="false" outlineLevel="0" collapsed="false">
      <c r="A22" s="1011" t="s">
        <v>425</v>
      </c>
      <c r="G22" s="1010"/>
      <c r="I22" s="1005"/>
      <c r="J22" s="1010"/>
      <c r="M22" s="1005"/>
      <c r="N22" s="1018"/>
    </row>
    <row r="23" customFormat="false" ht="11.25" hidden="false" customHeight="false" outlineLevel="0" collapsed="false">
      <c r="A23" s="1015" t="n">
        <f aca="false">Billy_Sheet!C25</f>
        <v>0</v>
      </c>
      <c r="G23" s="1010" t="s">
        <v>677</v>
      </c>
      <c r="H23" s="1011"/>
      <c r="I23" s="1005"/>
      <c r="J23" s="1018"/>
      <c r="M23" s="1010"/>
      <c r="N23" s="1018"/>
      <c r="Q23" s="1034"/>
    </row>
    <row r="24" customFormat="false" ht="9" hidden="false" customHeight="true" outlineLevel="0" collapsed="false">
      <c r="G24" s="1015" t="n">
        <f aca="false">PGL_Requirements!K7/1000</f>
        <v>0</v>
      </c>
      <c r="H24" s="1005"/>
      <c r="I24" s="1005"/>
      <c r="J24" s="1005"/>
    </row>
    <row r="25" customFormat="false" ht="10.5" hidden="false" customHeight="true" outlineLevel="0" collapsed="false">
      <c r="A25" s="1011" t="s">
        <v>427</v>
      </c>
      <c r="B25" s="1011"/>
      <c r="C25" s="1011"/>
      <c r="D25" s="1011"/>
      <c r="F25" s="1011"/>
      <c r="G25" s="1010" t="s">
        <v>678</v>
      </c>
      <c r="H25" s="1005"/>
      <c r="I25" s="1005"/>
      <c r="J25" s="1005"/>
    </row>
    <row r="26" customFormat="false" ht="14.25" hidden="false" customHeight="true" outlineLevel="0" collapsed="false">
      <c r="A26" s="1015" t="n">
        <f aca="false">Billy_Sheet!G25</f>
        <v>0</v>
      </c>
      <c r="B26" s="1011"/>
      <c r="C26" s="1005"/>
      <c r="D26" s="1005"/>
      <c r="F26" s="1005"/>
      <c r="G26" s="1035" t="n">
        <v>7.4</v>
      </c>
      <c r="H26" s="1005"/>
      <c r="I26" s="1005"/>
      <c r="J26" s="1005" t="s">
        <v>679</v>
      </c>
      <c r="K26" s="1036" t="n">
        <f aca="false">PGL_Deliveries!C6/1000</f>
        <v>205</v>
      </c>
      <c r="L26" s="1010" t="s">
        <v>670</v>
      </c>
      <c r="M26" s="1015" t="n">
        <f aca="false">NSG_Deliveries!C6/1000</f>
        <v>36</v>
      </c>
      <c r="N26" s="1015"/>
    </row>
    <row r="27" customFormat="false" ht="8.25" hidden="false" customHeight="true" outlineLevel="0" collapsed="false">
      <c r="A27" s="1005"/>
      <c r="B27" s="1037"/>
      <c r="C27" s="1005"/>
      <c r="D27" s="1005"/>
      <c r="F27" s="1005"/>
      <c r="G27" s="1005"/>
      <c r="H27" s="1038"/>
      <c r="I27" s="1005"/>
      <c r="J27" s="1038"/>
    </row>
    <row r="28" customFormat="false" ht="12.75" hidden="false" customHeight="true" outlineLevel="0" collapsed="false">
      <c r="A28" s="1007" t="s">
        <v>680</v>
      </c>
      <c r="B28" s="1015"/>
      <c r="C28" s="1011"/>
      <c r="D28" s="1005"/>
      <c r="F28" s="1010"/>
      <c r="G28" s="1027" t="s">
        <v>681</v>
      </c>
      <c r="H28" s="34"/>
      <c r="J28" s="1005" t="s">
        <v>682</v>
      </c>
      <c r="K28" s="1018" t="n">
        <f aca="false">SUM(A42)</f>
        <v>98.299</v>
      </c>
      <c r="L28" s="1005" t="s">
        <v>683</v>
      </c>
      <c r="M28" s="1018" t="n">
        <f aca="false">SUM(J2+K17+K19+H11+H9-M26)</f>
        <v>5.814</v>
      </c>
      <c r="N28" s="1018"/>
    </row>
    <row r="29" customFormat="false" ht="11.25" hidden="false" customHeight="false" outlineLevel="0" collapsed="false">
      <c r="A29" s="1015" t="n">
        <f aca="false">PGL_Supplies!M8/1000</f>
        <v>0</v>
      </c>
      <c r="B29" s="1015"/>
      <c r="C29" s="1005"/>
      <c r="D29" s="1039"/>
      <c r="F29" s="1040" t="n">
        <f aca="false">PGL_Requirements!A7</f>
        <v>37059</v>
      </c>
      <c r="G29" s="1015" t="n">
        <f aca="false">PGL_Requirements!H7/1000</f>
        <v>0</v>
      </c>
      <c r="H29" s="1022"/>
      <c r="J29" s="1005" t="s">
        <v>684</v>
      </c>
      <c r="K29" s="1015" t="n">
        <f aca="false">PGL_Supplies!AC8/1000+PGL_Supplies!L8/1000-PGL_Requirements!O8/1000</f>
        <v>20.155</v>
      </c>
    </row>
    <row r="30" customFormat="false" ht="10.5" hidden="false" customHeight="true" outlineLevel="0" collapsed="false">
      <c r="A30" s="1041"/>
      <c r="B30" s="1015"/>
      <c r="C30" s="1005"/>
      <c r="D30" s="1015"/>
      <c r="F30" s="1040" t="n">
        <f aca="false">PGL_Requirements!A8</f>
        <v>37060</v>
      </c>
      <c r="G30" s="1015" t="n">
        <f aca="false">PGL_Requirements!H8/1000</f>
        <v>58.834</v>
      </c>
    </row>
    <row r="31" customFormat="false" ht="17.25" hidden="false" customHeight="true" outlineLevel="0" collapsed="false">
      <c r="A31" s="1007" t="s">
        <v>685</v>
      </c>
      <c r="B31" s="1042"/>
      <c r="C31" s="1043"/>
      <c r="D31" s="1018"/>
      <c r="G31" s="1027" t="s">
        <v>686</v>
      </c>
      <c r="H31" s="1018"/>
      <c r="J31" s="1005" t="s">
        <v>672</v>
      </c>
      <c r="K31" s="1018" t="n">
        <f aca="false">SUM(K28+K29-K26)</f>
        <v>-86.546</v>
      </c>
    </row>
    <row r="32" customFormat="false" ht="11.25" hidden="false" customHeight="false" outlineLevel="0" collapsed="false">
      <c r="A32" s="1015" t="n">
        <f aca="false">PGL_Supplies!H8/1000</f>
        <v>1</v>
      </c>
      <c r="G32" s="1015" t="n">
        <f aca="false">PGL_Requirements!P8/1000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0" t="s">
        <v>687</v>
      </c>
      <c r="G34" s="1005" t="s">
        <v>688</v>
      </c>
    </row>
    <row r="35" customFormat="false" ht="11.25" hidden="false" customHeight="false" outlineLevel="0" collapsed="false">
      <c r="A35" s="1035" t="n">
        <v>0</v>
      </c>
      <c r="G35" s="1015" t="n">
        <f aca="false">PGL_Requirements!B8/1000</f>
        <v>0</v>
      </c>
    </row>
    <row r="36" customFormat="false" ht="11.25" hidden="false" customHeight="false" outlineLevel="0" collapsed="false">
      <c r="G36" s="1015"/>
    </row>
    <row r="37" customFormat="false" ht="11.25" hidden="false" customHeight="false" outlineLevel="0" collapsed="false">
      <c r="C37" s="1010" t="s">
        <v>689</v>
      </c>
      <c r="F37" s="1010" t="s">
        <v>690</v>
      </c>
      <c r="G37" s="1015"/>
    </row>
    <row r="38" customFormat="false" ht="11.25" hidden="false" customHeight="false" outlineLevel="0" collapsed="false">
      <c r="C38" s="1026" t="n">
        <v>668</v>
      </c>
      <c r="F38" s="1026" t="n">
        <v>754</v>
      </c>
    </row>
    <row r="39" customFormat="false" ht="11.25" hidden="false" customHeight="false" outlineLevel="0" collapsed="false">
      <c r="A39" s="1012" t="s">
        <v>691</v>
      </c>
      <c r="E39" s="1011" t="s">
        <v>692</v>
      </c>
      <c r="F39" s="1011"/>
    </row>
    <row r="40" customFormat="false" ht="11.25" hidden="false" customHeight="false" outlineLevel="0" collapsed="false">
      <c r="A40" s="1018" t="n">
        <f aca="false">SUM(A3:A35)</f>
        <v>292.133</v>
      </c>
      <c r="B40" s="1025"/>
      <c r="C40" s="1044"/>
      <c r="D40" s="1025"/>
      <c r="E40" s="1025"/>
      <c r="F40" s="1015"/>
      <c r="G40" s="1015" t="n">
        <f aca="false">SUM(G30:G35)</f>
        <v>193.834</v>
      </c>
      <c r="H40" s="1025"/>
      <c r="I40" s="1044"/>
    </row>
    <row r="41" customFormat="false" ht="11.25" hidden="false" customHeight="false" outlineLevel="0" collapsed="false">
      <c r="A41" s="1045" t="s">
        <v>693</v>
      </c>
      <c r="B41" s="1015"/>
      <c r="C41" s="1025"/>
      <c r="D41" s="1025"/>
      <c r="E41" s="1025"/>
      <c r="F41" s="1025"/>
      <c r="G41" s="1025"/>
      <c r="H41" s="1025"/>
      <c r="I41" s="1044"/>
    </row>
    <row r="42" customFormat="false" ht="11.25" hidden="false" customHeight="false" outlineLevel="0" collapsed="false">
      <c r="A42" s="1015" t="n">
        <f aca="false">SUM(A40-G40)</f>
        <v>98.299</v>
      </c>
      <c r="B42" s="1015"/>
      <c r="C42" s="1025"/>
      <c r="D42" s="1025"/>
      <c r="E42" s="1025"/>
      <c r="F42" s="1046"/>
      <c r="G42" s="1047" t="s">
        <v>694</v>
      </c>
      <c r="H42" s="1048"/>
      <c r="I42" s="1049"/>
      <c r="J42" s="1048"/>
      <c r="K42" s="1030"/>
    </row>
    <row r="43" customFormat="false" ht="14.25" hidden="false" customHeight="true" outlineLevel="0" collapsed="false">
      <c r="A43" s="1015"/>
      <c r="B43" s="1015"/>
      <c r="C43" s="1015"/>
      <c r="D43" s="1015"/>
      <c r="E43" s="1046"/>
      <c r="F43" s="1037" t="s">
        <v>695</v>
      </c>
      <c r="G43" s="1046" t="s">
        <v>696</v>
      </c>
      <c r="I43" s="1015"/>
    </row>
    <row r="44" customFormat="false" ht="12.75" hidden="false" customHeight="true" outlineLevel="0" collapsed="false">
      <c r="A44" s="1045" t="s">
        <v>697</v>
      </c>
      <c r="B44" s="1015" t="s">
        <v>698</v>
      </c>
      <c r="C44" s="1015" t="s">
        <v>699</v>
      </c>
      <c r="D44" s="1015" t="s">
        <v>700</v>
      </c>
      <c r="E44" s="1050"/>
      <c r="F44" s="1050" t="s">
        <v>701</v>
      </c>
      <c r="G44" s="1025" t="s">
        <v>702</v>
      </c>
      <c r="H44" s="1011" t="s">
        <v>703</v>
      </c>
      <c r="I44" s="1015"/>
      <c r="K44" s="1011"/>
    </row>
    <row r="45" customFormat="false" ht="11.25" hidden="false" customHeight="false" outlineLevel="0" collapsed="false">
      <c r="A45" s="1045" t="s">
        <v>704</v>
      </c>
      <c r="B45" s="1051" t="n">
        <v>250</v>
      </c>
      <c r="C45" s="1051" t="n">
        <v>410</v>
      </c>
      <c r="D45" s="1052" t="n">
        <f aca="false">SUM(F2+F15)/2</f>
        <v>378</v>
      </c>
      <c r="E45" s="1053"/>
      <c r="F45" s="1054" t="n">
        <v>0.067</v>
      </c>
      <c r="G45" s="1055" t="n">
        <f aca="false">(C45-D45)*F45</f>
        <v>2.144</v>
      </c>
      <c r="H45" s="1055" t="n">
        <f aca="false">(D45-B45)*F45</f>
        <v>8.576</v>
      </c>
      <c r="I45" s="1015"/>
      <c r="J45" s="1056"/>
    </row>
    <row r="46" customFormat="false" ht="11.25" hidden="false" customHeight="false" outlineLevel="0" collapsed="false">
      <c r="A46" s="1011" t="s">
        <v>705</v>
      </c>
      <c r="B46" s="1057" t="n">
        <v>797</v>
      </c>
      <c r="C46" s="1051" t="n">
        <v>797</v>
      </c>
      <c r="D46" s="1052" t="n">
        <v>797</v>
      </c>
      <c r="E46" s="1053"/>
      <c r="F46" s="1054" t="n">
        <v>0.139</v>
      </c>
      <c r="G46" s="1055" t="n">
        <f aca="false">(C46-D46)*F46</f>
        <v>0</v>
      </c>
      <c r="H46" s="1055" t="n">
        <f aca="false">(D46-B46)*F46</f>
        <v>0</v>
      </c>
      <c r="I46" s="1015"/>
    </row>
    <row r="47" customFormat="false" ht="11.25" hidden="false" customHeight="false" outlineLevel="0" collapsed="false">
      <c r="A47" s="1011" t="s">
        <v>706</v>
      </c>
      <c r="B47" s="1057" t="n">
        <v>250</v>
      </c>
      <c r="C47" s="1051" t="n">
        <v>410</v>
      </c>
      <c r="D47" s="1052" t="n">
        <f aca="false">SUM(C2+C15)/2</f>
        <v>377.5</v>
      </c>
      <c r="E47" s="1053"/>
      <c r="F47" s="1054" t="n">
        <v>0.141</v>
      </c>
      <c r="G47" s="1055" t="n">
        <f aca="false">(C47-D47)*F47</f>
        <v>4.5825</v>
      </c>
      <c r="H47" s="1055" t="n">
        <f aca="false">(D47-B47)*F47</f>
        <v>17.9775</v>
      </c>
      <c r="I47" s="1015"/>
    </row>
    <row r="48" customFormat="false" ht="11.25" hidden="false" customHeight="false" outlineLevel="0" collapsed="false">
      <c r="A48" s="1011" t="s">
        <v>707</v>
      </c>
      <c r="B48" s="1057" t="n">
        <v>285</v>
      </c>
      <c r="C48" s="1051" t="n">
        <v>750</v>
      </c>
      <c r="D48" s="1052" t="n">
        <f aca="false">SUM(C18+C38)/2</f>
        <v>668</v>
      </c>
      <c r="E48" s="1053"/>
      <c r="F48" s="1054" t="n">
        <v>0.161</v>
      </c>
      <c r="G48" s="1055" t="n">
        <f aca="false">(C48-D48)*F48</f>
        <v>13.202</v>
      </c>
      <c r="H48" s="1055" t="n">
        <f aca="false">(D48-B48)*F48</f>
        <v>61.663</v>
      </c>
    </row>
    <row r="49" customFormat="false" ht="11.25" hidden="false" customHeight="false" outlineLevel="0" collapsed="false">
      <c r="B49" s="1023"/>
      <c r="C49" s="1023"/>
      <c r="D49" s="1023"/>
      <c r="E49" s="1023"/>
      <c r="F49" s="1058" t="s">
        <v>708</v>
      </c>
      <c r="G49" s="1055" t="n">
        <f aca="false">SUM(G45:G48)</f>
        <v>19.9285</v>
      </c>
      <c r="H49" s="1055" t="n">
        <f aca="false">SUM(H45:H48)</f>
        <v>88.2165</v>
      </c>
    </row>
    <row r="55" customFormat="false" ht="11.25" hidden="false" customHeight="false" outlineLevel="0" collapsed="false">
      <c r="A55" s="1059"/>
      <c r="G55" s="105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37059</v>
      </c>
      <c r="B5" s="18" t="n">
        <v>87</v>
      </c>
      <c r="C5" s="19" t="n">
        <v>66</v>
      </c>
      <c r="D5" s="19" t="n">
        <v>6.9</v>
      </c>
      <c r="E5" s="18" t="n">
        <v>76.8</v>
      </c>
      <c r="F5" s="18" t="n">
        <v>77</v>
      </c>
      <c r="G5" s="18" t="n">
        <v>6689</v>
      </c>
      <c r="H5" s="18" t="n">
        <v>0</v>
      </c>
      <c r="I5" s="20" t="s">
        <v>29</v>
      </c>
      <c r="J5" s="20"/>
      <c r="K5" s="18" t="n">
        <v>5</v>
      </c>
      <c r="L5" s="18" t="n">
        <v>1</v>
      </c>
      <c r="N5" s="13" t="str">
        <f aca="false">I5&amp;" "&amp;I5</f>
        <v>OVERNIGHT... BECOMING  MOSTLY  CLOUDY WITH   A  40%  CHANCE OF SHOWERS. OVERNIGHT... BECOMING  MOSTLY  CLOUDY WITH   A  40%  CHANCE OF SHOWERS.</v>
      </c>
      <c r="AE5" s="13" t="n">
        <v>1</v>
      </c>
      <c r="AH5" s="13" t="s">
        <v>30</v>
      </c>
    </row>
    <row r="6" customFormat="false" ht="16.5" hidden="false" customHeight="true" outlineLevel="0" collapsed="false">
      <c r="A6" s="17" t="n">
        <f aca="false">A5+1</f>
        <v>37060</v>
      </c>
      <c r="B6" s="18" t="n">
        <v>92</v>
      </c>
      <c r="C6" s="19" t="n">
        <v>70</v>
      </c>
      <c r="D6" s="19" t="n">
        <v>14</v>
      </c>
      <c r="E6" s="18" t="s">
        <v>0</v>
      </c>
      <c r="F6" s="18" t="s">
        <v>0</v>
      </c>
      <c r="G6" s="18"/>
      <c r="H6" s="18" t="s">
        <v>0</v>
      </c>
      <c r="I6" s="20" t="s">
        <v>31</v>
      </c>
      <c r="J6" s="20" t="s">
        <v>32</v>
      </c>
      <c r="K6" s="18" t="n">
        <v>6</v>
      </c>
      <c r="L6" s="18" t="s">
        <v>33</v>
      </c>
      <c r="N6" s="13" t="str">
        <f aca="false">I6&amp;" "&amp;J6</f>
        <v>SHOWERS AND T'STORMS THIS MORNING THEN BECOMING PARTLY SUNNY AND WINDY. S.W. WINDS 15 TO 25 MPH. OVERNIGHT…PARTLY CLOUDY/WINDY. S.W. 15 TO 25.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37061</v>
      </c>
      <c r="B7" s="18" t="n">
        <v>82</v>
      </c>
      <c r="C7" s="19" t="n">
        <v>59</v>
      </c>
      <c r="D7" s="19" t="n">
        <v>14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3</v>
      </c>
      <c r="L7" s="18" t="s">
        <v>17</v>
      </c>
      <c r="N7" s="13" t="str">
        <f aca="false">I7&amp;" "&amp;J7</f>
        <v>PARTLY SUNNY. A 30% CHANCE OF A.M. T'STORMS. OVERNIGHT…PARTLY CLOUDY.  </v>
      </c>
    </row>
    <row r="8" customFormat="false" ht="16.5" hidden="false" customHeight="true" outlineLevel="0" collapsed="false">
      <c r="A8" s="17" t="n">
        <f aca="false">A7+1</f>
        <v>37062</v>
      </c>
      <c r="B8" s="18" t="n">
        <v>74</v>
      </c>
      <c r="C8" s="19" t="n">
        <v>54</v>
      </c>
      <c r="D8" s="19" t="n">
        <v>12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3</v>
      </c>
      <c r="L8" s="18"/>
      <c r="N8" s="13" t="str">
        <f aca="false">I8&amp;" "&amp;J8</f>
        <v>PARTLY CLOUDY.  </v>
      </c>
    </row>
    <row r="9" customFormat="false" ht="16.5" hidden="false" customHeight="true" outlineLevel="0" collapsed="false">
      <c r="A9" s="17" t="n">
        <f aca="false">A8+1</f>
        <v>37063</v>
      </c>
      <c r="B9" s="18" t="n">
        <v>70</v>
      </c>
      <c r="C9" s="19" t="n">
        <v>52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36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PARTLY CLOUDY.  </v>
      </c>
    </row>
    <row r="10" customFormat="false" ht="16.5" hidden="false" customHeight="true" outlineLevel="0" collapsed="false">
      <c r="A10" s="17" t="n">
        <f aca="false">A9+1</f>
        <v>37064</v>
      </c>
      <c r="B10" s="18" t="n">
        <v>74</v>
      </c>
      <c r="C10" s="19" t="n">
        <v>51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37</v>
      </c>
      <c r="J10" s="20" t="s">
        <v>0</v>
      </c>
      <c r="K10" s="18" t="n">
        <v>1</v>
      </c>
      <c r="L10" s="18" t="s">
        <v>38</v>
      </c>
      <c r="N10" s="13" t="str">
        <f aca="false">I10&amp;" "&amp;J10</f>
        <v>SUNNY.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0" t="s">
        <v>679</v>
      </c>
      <c r="B2" s="1061" t="n">
        <f aca="false">PGL_Deliveries!U5/1000</f>
        <v>191.192</v>
      </c>
      <c r="C2" s="73"/>
      <c r="D2" s="1062" t="s">
        <v>664</v>
      </c>
      <c r="E2" s="1063" t="n">
        <f aca="false">Weather_Input!A5</f>
        <v>37059</v>
      </c>
      <c r="F2" s="73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0" t="s">
        <v>709</v>
      </c>
      <c r="B3" s="1064" t="n">
        <f aca="false">PGL_Supplies!J7/1000</f>
        <v>0</v>
      </c>
      <c r="C3" s="1065"/>
      <c r="D3" s="1066" t="s">
        <v>292</v>
      </c>
      <c r="E3" s="1067" t="n">
        <f aca="false">PGL_Deliveries!T5/1000</f>
        <v>0</v>
      </c>
      <c r="F3" s="1068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48"/>
      <c r="B4" s="1069"/>
      <c r="C4" s="350"/>
      <c r="D4" s="1070"/>
      <c r="E4" s="979"/>
      <c r="F4" s="107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72" t="s">
        <v>710</v>
      </c>
      <c r="B5" s="971" t="n">
        <f aca="false">PGL_Deliveries!D5/1000</f>
        <v>0</v>
      </c>
      <c r="C5" s="72"/>
      <c r="D5" s="75" t="s">
        <v>711</v>
      </c>
      <c r="E5" s="971" t="n">
        <f aca="false">PGL_Deliveries!O5/1000</f>
        <v>0.001</v>
      </c>
      <c r="F5" s="107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74" t="s">
        <v>504</v>
      </c>
      <c r="B6" s="971" t="n">
        <f aca="false">PGL_Deliveries!I5/1000</f>
        <v>175.672</v>
      </c>
      <c r="C6" s="1075"/>
      <c r="D6" s="75" t="s">
        <v>712</v>
      </c>
      <c r="E6" s="971" t="n">
        <f aca="false">PGL_Deliveries!P5/1000</f>
        <v>0.788</v>
      </c>
      <c r="F6" s="107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76" t="s">
        <v>713</v>
      </c>
      <c r="B7" s="1077" t="n">
        <f aca="false">SUM(B5:B6)</f>
        <v>175.672</v>
      </c>
      <c r="C7" s="1075"/>
      <c r="D7" s="75" t="s">
        <v>453</v>
      </c>
      <c r="E7" s="971" t="n">
        <f aca="false">PGL_Deliveries!E5/1000</f>
        <v>0</v>
      </c>
      <c r="F7" s="107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78" t="s">
        <v>673</v>
      </c>
      <c r="B8" s="971" t="n">
        <f aca="false">PGL_Deliveries!V5/1000</f>
        <v>121.19</v>
      </c>
      <c r="C8" s="1079"/>
      <c r="D8" s="75" t="s">
        <v>714</v>
      </c>
      <c r="E8" s="971" t="n">
        <f aca="false">PGL_Deliveries!N5/1000</f>
        <v>0.133</v>
      </c>
      <c r="F8" s="107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65" t="s">
        <v>85</v>
      </c>
      <c r="B9" s="971" t="n">
        <f aca="false">PGL_Deliveries!W5/1000</f>
        <v>0</v>
      </c>
      <c r="C9" s="72"/>
      <c r="D9" s="75" t="s">
        <v>456</v>
      </c>
      <c r="E9" s="971" t="n">
        <f aca="false">PGL_Deliveries!Q5/1000</f>
        <v>0.237</v>
      </c>
      <c r="F9" s="107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65" t="s">
        <v>425</v>
      </c>
      <c r="B10" s="971" t="n">
        <f aca="false">PGL_Deliveries!X5/1000</f>
        <v>0</v>
      </c>
      <c r="C10" s="72"/>
      <c r="D10" s="75" t="s">
        <v>457</v>
      </c>
      <c r="E10" s="971" t="n">
        <f aca="false">PGL_Deliveries!S5/1000</f>
        <v>4.511</v>
      </c>
      <c r="F10" s="107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0" t="s">
        <v>94</v>
      </c>
      <c r="B11" s="971" t="n">
        <f aca="false">(PGL_Deliveries!AJ5+PGL_Deliveries!AK5)/1000</f>
        <v>19.913</v>
      </c>
      <c r="C11" s="72"/>
      <c r="D11" s="75" t="s">
        <v>715</v>
      </c>
      <c r="E11" s="971" t="n">
        <f aca="false">PGL_Deliveries!R5/1000</f>
        <v>0.898</v>
      </c>
      <c r="F11" s="107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65" t="s">
        <v>716</v>
      </c>
      <c r="B12" s="971" t="n">
        <f aca="false">PGL_Supplies!K7/1000</f>
        <v>0</v>
      </c>
      <c r="C12" s="72"/>
      <c r="D12" s="75" t="s">
        <v>460</v>
      </c>
      <c r="E12" s="971" t="n">
        <f aca="false">PGL_Deliveries!G5/1000</f>
        <v>3.67</v>
      </c>
      <c r="F12" s="107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65" t="s">
        <v>717</v>
      </c>
      <c r="B13" s="971" t="n">
        <f aca="false">PGL_Deliveries!Y5/1000+PGL_Deliveries!Z5/1000+PGL_Deliveries!AA5/1000-PGL_Deliveries!BE5/1000-PGL_Deliveries!BF5/1000</f>
        <v>231.749</v>
      </c>
      <c r="C13" s="72"/>
      <c r="D13" s="75" t="s">
        <v>461</v>
      </c>
      <c r="E13" s="971" t="n">
        <f aca="false">PGL_Deliveries!F5/1000</f>
        <v>0</v>
      </c>
      <c r="F13" s="107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65" t="s">
        <v>427</v>
      </c>
      <c r="B14" s="971" t="n">
        <f aca="false">PGL_Deliveries!AD5/1000</f>
        <v>0</v>
      </c>
      <c r="C14" s="72"/>
      <c r="D14" s="75" t="s">
        <v>463</v>
      </c>
      <c r="E14" s="971" t="n">
        <f aca="false">PGL_Deliveries!H5/1000</f>
        <v>3.654</v>
      </c>
      <c r="F14" s="1073"/>
      <c r="G14" s="97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65" t="s">
        <v>67</v>
      </c>
      <c r="B15" s="971" t="n">
        <f aca="false">PGL_Deliveries!AH5/1000+PGL_Deliveries!AX5/1000+PGL_Deliveries!AT5/1000-PGL_Deliveries!AS5/1000-PGL_Deliveries!AU5/1000+PGL_Deliveries!AE5/1000+PGL_Deliveries!AF5/1000-PGL_Deliveries!AV5/1000</f>
        <v>-174.482</v>
      </c>
      <c r="C15" s="72"/>
      <c r="D15" s="75" t="s">
        <v>465</v>
      </c>
      <c r="E15" s="971" t="n">
        <f aca="false">PGL_Deliveries!K5/1000</f>
        <v>0</v>
      </c>
      <c r="F15" s="107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65" t="s">
        <v>718</v>
      </c>
      <c r="B16" s="73"/>
      <c r="C16" s="1080" t="n">
        <f aca="false">PGL_Deliveries!AO5/1000</f>
        <v>22.698</v>
      </c>
      <c r="D16" s="75" t="s">
        <v>469</v>
      </c>
      <c r="E16" s="971" t="n">
        <f aca="false">PGL_Deliveries!L5/1000</f>
        <v>0.09</v>
      </c>
      <c r="F16" s="107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7" t="s">
        <v>429</v>
      </c>
      <c r="B17" s="971" t="n">
        <f aca="false">PGL_Deliveries!AP5/1000</f>
        <v>0</v>
      </c>
      <c r="C17" s="1075" t="s">
        <v>0</v>
      </c>
      <c r="D17" s="1081" t="s">
        <v>467</v>
      </c>
      <c r="E17" s="978" t="n">
        <f aca="false">PGL_Deliveries!M5/1000</f>
        <v>1.538</v>
      </c>
      <c r="F17" s="107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82" t="s">
        <v>719</v>
      </c>
      <c r="B18" s="1001" t="n">
        <f aca="false">SUM(B8:B17)-C16</f>
        <v>175.672</v>
      </c>
      <c r="C18" s="1075"/>
      <c r="D18" s="1083" t="s">
        <v>720</v>
      </c>
      <c r="E18" s="1084" t="n">
        <f aca="false">SUM(E5:E17)</f>
        <v>15.52</v>
      </c>
      <c r="F18" s="107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78" t="s">
        <v>634</v>
      </c>
      <c r="B19" s="971" t="n">
        <f aca="false">PGL_Supplies!Y7/1000</f>
        <v>103.4</v>
      </c>
      <c r="C19" s="1079"/>
      <c r="D19" s="75" t="s">
        <v>611</v>
      </c>
      <c r="E19" s="971" t="n">
        <f aca="false">PGL_Deliveries!AI5/1000</f>
        <v>0</v>
      </c>
      <c r="F19" s="107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65" t="s">
        <v>278</v>
      </c>
      <c r="B20" s="971" t="n">
        <f aca="false">PGL_Supplies!X7/1000</f>
        <v>18</v>
      </c>
      <c r="C20" s="72"/>
      <c r="D20" s="75" t="s">
        <v>433</v>
      </c>
      <c r="E20" s="971" t="n">
        <f aca="false">PGL_Deliveries!AW5/1000+B41</f>
        <v>2.61465</v>
      </c>
      <c r="F20" s="107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65" t="s">
        <v>638</v>
      </c>
      <c r="C21" s="972" t="n">
        <f aca="false">PGL_Requirements!J7/1000</f>
        <v>0</v>
      </c>
      <c r="D21" s="1085" t="s">
        <v>721</v>
      </c>
      <c r="E21" s="1086" t="n">
        <f aca="false">SUM(E18:E20)</f>
        <v>18.13465</v>
      </c>
      <c r="F21" s="108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8" t="s">
        <v>708</v>
      </c>
      <c r="B22" s="1089" t="n">
        <f aca="false">+B19+B20-C21</f>
        <v>121.4</v>
      </c>
      <c r="C22" s="103"/>
      <c r="D22" s="1090" t="s">
        <v>722</v>
      </c>
      <c r="E22" s="971" t="n">
        <f aca="false">NSG_Requirements!$L$7/1000</f>
        <v>0</v>
      </c>
      <c r="F22" s="107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65" t="s">
        <v>473</v>
      </c>
      <c r="B23" s="971" t="n">
        <f aca="false">PGL_Supplies!Z7/1000</f>
        <v>0.2</v>
      </c>
      <c r="C23" s="72"/>
      <c r="D23" s="1090" t="s">
        <v>723</v>
      </c>
      <c r="E23" s="73"/>
      <c r="F23" s="972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0" t="s">
        <v>724</v>
      </c>
      <c r="B24" s="1091"/>
      <c r="C24" s="1080" t="n">
        <f aca="false">PGL_Requirements!U7/1000</f>
        <v>0</v>
      </c>
      <c r="D24" s="73" t="s">
        <v>725</v>
      </c>
      <c r="E24" s="73"/>
      <c r="F24" s="972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0" t="s">
        <v>726</v>
      </c>
      <c r="B25" s="971" t="n">
        <f aca="false">PGL_Supplies!R7/1000</f>
        <v>0</v>
      </c>
      <c r="C25" s="72"/>
      <c r="D25" s="1090" t="s">
        <v>727</v>
      </c>
      <c r="E25" s="73"/>
      <c r="F25" s="972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88" t="s">
        <v>470</v>
      </c>
      <c r="B26" s="83" t="s">
        <v>0</v>
      </c>
      <c r="C26" s="1092" t="s">
        <v>0</v>
      </c>
      <c r="D26" s="73" t="s">
        <v>728</v>
      </c>
      <c r="E26" s="73"/>
      <c r="F26" s="972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65" t="s">
        <v>729</v>
      </c>
      <c r="B27" s="971" t="n">
        <f aca="false">PGL_Supplies!AA7/1000</f>
        <v>0</v>
      </c>
      <c r="C27" s="72"/>
      <c r="D27" s="73" t="s">
        <v>436</v>
      </c>
      <c r="E27" s="73" t="s">
        <v>0</v>
      </c>
      <c r="F27" s="972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65" t="s">
        <v>730</v>
      </c>
      <c r="B28" s="971" t="n">
        <v>0</v>
      </c>
      <c r="C28" s="72"/>
      <c r="D28" s="1090" t="s">
        <v>731</v>
      </c>
      <c r="E28" s="73"/>
      <c r="F28" s="972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88" t="s">
        <v>732</v>
      </c>
      <c r="B29" s="83"/>
      <c r="C29" s="1092" t="n">
        <f aca="false">PGL_Requirements!J12/1000</f>
        <v>0</v>
      </c>
      <c r="D29" s="1090" t="s">
        <v>441</v>
      </c>
      <c r="E29" s="1093" t="s">
        <v>0</v>
      </c>
      <c r="F29" s="972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65" t="s">
        <v>733</v>
      </c>
      <c r="B30" s="1094" t="n">
        <f aca="false">PGL_Supplies!AD7/1000</f>
        <v>4</v>
      </c>
      <c r="C30" s="72"/>
      <c r="D30" s="1090" t="s">
        <v>734</v>
      </c>
      <c r="E30" s="73" t="s">
        <v>0</v>
      </c>
      <c r="F30" s="972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65" t="s">
        <v>735</v>
      </c>
      <c r="B31" s="971" t="n">
        <f aca="false">PGL_Supplies!AE7/1000</f>
        <v>0</v>
      </c>
      <c r="C31" s="72"/>
      <c r="D31" s="1090" t="s">
        <v>736</v>
      </c>
      <c r="E31" s="73" t="s">
        <v>0</v>
      </c>
      <c r="F31" s="972" t="n">
        <f aca="false">PGL_Requirements!O7/1000</f>
        <v>2.533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0" t="s">
        <v>737</v>
      </c>
      <c r="B32" s="73"/>
      <c r="C32" s="1080" t="n">
        <v>0</v>
      </c>
      <c r="D32" s="1095" t="s">
        <v>738</v>
      </c>
      <c r="E32" s="971" t="n">
        <f aca="false">PGL_Deliveries!AR5/1000</f>
        <v>0</v>
      </c>
      <c r="F32" s="107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90" t="s">
        <v>739</v>
      </c>
      <c r="B33" s="971" t="n">
        <f aca="false">PGL_Supplies!Q7/1000</f>
        <v>0</v>
      </c>
      <c r="C33" s="72"/>
      <c r="D33" s="1090" t="s">
        <v>740</v>
      </c>
      <c r="E33" s="971" t="n">
        <f aca="false">PGL_Supplies!M7/1000</f>
        <v>0</v>
      </c>
      <c r="F33" s="107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65" t="s">
        <v>741</v>
      </c>
      <c r="B34" s="1096" t="n">
        <f aca="false">(PGL_Deliveries!AB5+PGL_Deliveries!AC5+PGL_Deliveries!AD5)/1000</f>
        <v>0</v>
      </c>
      <c r="C34" s="72"/>
      <c r="D34" s="73" t="s">
        <v>347</v>
      </c>
      <c r="E34" s="971" t="n">
        <f aca="false">PGL_Supplies!AC7/1000</f>
        <v>20.668</v>
      </c>
      <c r="F34" s="107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965" t="s">
        <v>742</v>
      </c>
      <c r="B35" s="73"/>
      <c r="C35" s="72" t="n">
        <f aca="false">PGL_Deliveries!AC5/1000</f>
        <v>0</v>
      </c>
      <c r="D35" s="73" t="s">
        <v>743</v>
      </c>
      <c r="E35" s="971" t="n">
        <v>0</v>
      </c>
      <c r="F35" s="107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88" t="s">
        <v>744</v>
      </c>
      <c r="B36" s="83"/>
      <c r="C36" s="1092" t="n">
        <f aca="false">PGL_Deliveries!AB5/1000</f>
        <v>0</v>
      </c>
      <c r="D36" s="1095" t="s">
        <v>745</v>
      </c>
      <c r="E36" s="971" t="n">
        <f aca="false">PGL_Supplies!N7/1000</f>
        <v>0</v>
      </c>
      <c r="F36" s="107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0" t="s">
        <v>746</v>
      </c>
      <c r="B37" s="971" t="s">
        <v>0</v>
      </c>
      <c r="C37" s="1080" t="n">
        <f aca="false">PGL_Requirements!P7/1000</f>
        <v>174.31</v>
      </c>
      <c r="D37" s="1090" t="s">
        <v>747</v>
      </c>
      <c r="E37" s="971" t="n">
        <f aca="false">PGL_Supplies!O7/1000</f>
        <v>0</v>
      </c>
      <c r="F37" s="107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90" t="s">
        <v>748</v>
      </c>
      <c r="B38" s="971" t="n">
        <f aca="false">PGL_Supplies!M7/1000</f>
        <v>0</v>
      </c>
      <c r="C38" s="72"/>
      <c r="F38" s="1073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65" t="s">
        <v>749</v>
      </c>
      <c r="B39" s="73"/>
      <c r="C39" s="1080" t="n">
        <f aca="false">PGL_Deliveries!AS5/1000</f>
        <v>0</v>
      </c>
      <c r="D39" s="1097" t="s">
        <v>372</v>
      </c>
      <c r="E39" s="1086" t="n">
        <f aca="false">SUM(E22:E37)-SUM(F23:F38)-E33</f>
        <v>18.135</v>
      </c>
      <c r="F39" s="1071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65" t="s">
        <v>454</v>
      </c>
      <c r="B40" s="971" t="n">
        <f aca="false">PGL_Deliveries!AT5/1000</f>
        <v>0.418</v>
      </c>
      <c r="C40" s="72"/>
      <c r="D40" s="1098" t="s">
        <v>750</v>
      </c>
      <c r="E40" s="1067"/>
      <c r="F40" s="972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65" t="s">
        <v>330</v>
      </c>
      <c r="B41" s="971" t="n">
        <f aca="false">PGL_Deliveries!AG5/1000</f>
        <v>0</v>
      </c>
      <c r="C41" s="72"/>
      <c r="D41" s="1090" t="s">
        <v>751</v>
      </c>
      <c r="E41" s="1099" t="n">
        <f aca="false">PGL_Supplies!AB7/1000</f>
        <v>211.567</v>
      </c>
      <c r="F41" s="1073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90" t="s">
        <v>752</v>
      </c>
      <c r="B42" s="971" t="n">
        <f aca="false">PGL_Deliveries!AF5/1000</f>
        <v>0</v>
      </c>
      <c r="C42" s="72"/>
      <c r="D42" s="73" t="s">
        <v>442</v>
      </c>
      <c r="E42" s="1099" t="n">
        <f aca="false">PGL_Supplies!W7/1000</f>
        <v>0</v>
      </c>
      <c r="F42" s="107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65" t="s">
        <v>753</v>
      </c>
      <c r="B43" s="971" t="n">
        <f aca="false">PGL_Deliveries!AW5/1000</f>
        <v>2.61465</v>
      </c>
      <c r="C43" s="72"/>
      <c r="D43" s="73" t="s">
        <v>629</v>
      </c>
      <c r="E43" s="971"/>
      <c r="F43" s="972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7" t="s">
        <v>754</v>
      </c>
      <c r="B44" s="978" t="s">
        <v>0</v>
      </c>
      <c r="C44" s="1080" t="n">
        <f aca="false">PGL_Requirements!R7/1000</f>
        <v>0.59</v>
      </c>
      <c r="D44" s="73" t="s">
        <v>755</v>
      </c>
      <c r="E44" s="971" t="n">
        <f aca="false">NSG_Requirements!$AB$7+NSG_Requirements!$AC$7+NSG_Requirements!$AD$7+NSG_Requirements!$AE$7/1000+NSG_Requirements!K7/1000</f>
        <v>0</v>
      </c>
      <c r="F44" s="972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78" t="s">
        <v>756</v>
      </c>
      <c r="B45" s="73" t="n">
        <f aca="false">Weather_Input!B5</f>
        <v>87</v>
      </c>
      <c r="C45" s="1065"/>
      <c r="D45" s="73" t="s">
        <v>359</v>
      </c>
      <c r="E45" s="1099" t="n">
        <f aca="false">PGL_Supplies!T7/1000</f>
        <v>20</v>
      </c>
      <c r="F45" s="1073"/>
    </row>
    <row r="46" customFormat="false" ht="15" hidden="false" customHeight="false" outlineLevel="0" collapsed="false">
      <c r="A46" s="965" t="s">
        <v>757</v>
      </c>
      <c r="B46" s="1100" t="n">
        <f aca="false">Weather_Input!C5</f>
        <v>66</v>
      </c>
      <c r="C46" s="41"/>
      <c r="D46" s="30" t="s">
        <v>758</v>
      </c>
      <c r="E46" s="73"/>
      <c r="F46" s="972" t="n">
        <f aca="false">PGL_Deliveries!BE5/1000</f>
        <v>0</v>
      </c>
    </row>
    <row r="47" customFormat="false" ht="15" hidden="false" customHeight="false" outlineLevel="0" collapsed="false">
      <c r="A47" s="990" t="s">
        <v>759</v>
      </c>
      <c r="B47" s="73" t="n">
        <f aca="false">Weather_Input!E5</f>
        <v>76.8</v>
      </c>
      <c r="C47" s="41"/>
      <c r="D47" s="1101" t="s">
        <v>760</v>
      </c>
      <c r="E47" s="83"/>
      <c r="F47" s="972" t="n">
        <f aca="false">PGL_Deliveries!BF5/1000</f>
        <v>0</v>
      </c>
    </row>
    <row r="48" customFormat="false" ht="15" hidden="false" customHeight="false" outlineLevel="0" collapsed="false">
      <c r="A48" s="965" t="s">
        <v>761</v>
      </c>
      <c r="B48" s="1102" t="n">
        <f aca="false">Weather_Input!D5</f>
        <v>6.9</v>
      </c>
      <c r="C48" s="41"/>
      <c r="D48" s="1090" t="s">
        <v>494</v>
      </c>
      <c r="E48" s="971" t="n">
        <f aca="false">PGL_Deliveries!AI5/1000</f>
        <v>0</v>
      </c>
      <c r="F48" s="399"/>
    </row>
    <row r="49" customFormat="false" ht="15" hidden="false" customHeight="false" outlineLevel="0" collapsed="false">
      <c r="A49" s="965" t="s">
        <v>762</v>
      </c>
      <c r="B49" s="971" t="n">
        <f aca="false">PGL_Deliveries!AM5/1000</f>
        <v>1.03</v>
      </c>
      <c r="C49" s="41"/>
      <c r="D49" s="73" t="s">
        <v>763</v>
      </c>
      <c r="E49" s="971" t="n">
        <f aca="false">PGL_Deliveries!AJ5/1000</f>
        <v>19.913</v>
      </c>
      <c r="F49" s="399"/>
    </row>
    <row r="50" customFormat="false" ht="15.75" hidden="false" customHeight="false" outlineLevel="2" collapsed="false">
      <c r="A50" s="948" t="s">
        <v>764</v>
      </c>
      <c r="B50" s="1069"/>
      <c r="C50" s="350"/>
      <c r="D50" s="979" t="s">
        <v>765</v>
      </c>
      <c r="E50" s="978" t="n">
        <f aca="false">PGL_Deliveries!AK5/1000</f>
        <v>0</v>
      </c>
      <c r="F50" s="998"/>
    </row>
    <row r="51" customFormat="false" ht="15" hidden="false" customHeight="false" outlineLevel="2" collapsed="false">
      <c r="A51" s="1103" t="s">
        <v>766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3" t="s">
        <v>0</v>
      </c>
      <c r="B61" s="1102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3"/>
      <c r="D64" s="0"/>
      <c r="E64" s="0"/>
      <c r="F64" s="0"/>
    </row>
    <row r="65" customFormat="false" ht="15" hidden="false" customHeight="false" outlineLevel="0" collapsed="false">
      <c r="A65" s="73"/>
      <c r="D65" s="0"/>
      <c r="E65" s="0"/>
      <c r="F65" s="0"/>
    </row>
    <row r="66" customFormat="false" ht="12.75" hidden="false" customHeight="false" outlineLevel="0" collapsed="false">
      <c r="A66" s="73"/>
      <c r="D66" s="73"/>
    </row>
    <row r="67" customFormat="false" ht="12.75" hidden="false" customHeight="false" outlineLevel="0" collapsed="false">
      <c r="A67" s="73"/>
    </row>
    <row r="68" customFormat="false" ht="12.75" hidden="false" customHeight="false" outlineLevel="0" collapsed="false">
      <c r="A68" s="73"/>
    </row>
    <row r="69" customFormat="false" ht="12.75" hidden="false" customHeight="false" outlineLevel="0" collapsed="false">
      <c r="A69" s="73"/>
    </row>
    <row r="70" customFormat="false" ht="12.75" hidden="false" customHeight="false" outlineLevel="0" collapsed="false">
      <c r="A70" s="73"/>
    </row>
    <row r="71" customFormat="false" ht="12.75" hidden="false" customHeight="false" outlineLevel="0" collapsed="false">
      <c r="A71" s="73"/>
    </row>
    <row r="72" customFormat="false" ht="12.75" hidden="false" customHeight="false" outlineLevel="0" collapsed="false">
      <c r="A72" s="73"/>
    </row>
    <row r="73" customFormat="false" ht="12.75" hidden="false" customHeight="false" outlineLevel="0" collapsed="false">
      <c r="A73" s="73"/>
    </row>
    <row r="74" customFormat="false" ht="12.75" hidden="false" customHeight="false" outlineLevel="0" collapsed="false">
      <c r="A74" s="73"/>
    </row>
    <row r="75" customFormat="false" ht="12.75" hidden="false" customHeight="false" outlineLevel="0" collapsed="false">
      <c r="A75" s="73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04" t="s">
        <v>767</v>
      </c>
      <c r="B3" s="1105" t="n">
        <f aca="false">NSG_Deliveries!H5/1000</f>
        <v>34.715</v>
      </c>
      <c r="C3" s="472"/>
      <c r="D3" s="1106" t="s">
        <v>664</v>
      </c>
      <c r="E3" s="1107" t="n">
        <f aca="false">Weather_Input!A5</f>
        <v>37059</v>
      </c>
      <c r="F3" s="472"/>
      <c r="G3" s="0"/>
      <c r="J3" s="0"/>
      <c r="K3" s="0"/>
    </row>
    <row r="4" customFormat="false" ht="15.75" hidden="false" customHeight="false" outlineLevel="0" collapsed="false">
      <c r="A4" s="255"/>
      <c r="B4" s="1108"/>
      <c r="C4" s="1109"/>
      <c r="D4" s="41"/>
      <c r="E4" s="41"/>
      <c r="F4" s="1110"/>
      <c r="G4" s="0"/>
      <c r="J4" s="0"/>
      <c r="K4" s="0"/>
    </row>
    <row r="5" customFormat="false" ht="15" hidden="false" customHeight="false" outlineLevel="0" collapsed="false">
      <c r="A5" s="1111" t="s">
        <v>422</v>
      </c>
      <c r="B5" s="1112" t="n">
        <f aca="false">NSG_Deliveries!E5/1000</f>
        <v>1.831</v>
      </c>
      <c r="C5" s="1113"/>
      <c r="D5" s="1114" t="s">
        <v>674</v>
      </c>
      <c r="E5" s="1115" t="n">
        <f aca="false">NSG_Deliveries!D5/1000</f>
        <v>0</v>
      </c>
      <c r="F5" s="1116"/>
      <c r="G5" s="0"/>
      <c r="J5" s="0"/>
      <c r="K5" s="0"/>
    </row>
    <row r="6" customFormat="false" ht="15" hidden="false" customHeight="true" outlineLevel="0" collapsed="false">
      <c r="A6" s="255"/>
      <c r="B6" s="1108"/>
      <c r="C6" s="1109"/>
      <c r="D6" s="41"/>
      <c r="E6" s="41"/>
      <c r="F6" s="1117"/>
      <c r="G6" s="0"/>
    </row>
    <row r="7" customFormat="false" ht="15" hidden="false" customHeight="true" outlineLevel="0" collapsed="false">
      <c r="A7" s="1111" t="s">
        <v>768</v>
      </c>
      <c r="B7" s="1115" t="n">
        <f aca="false">NSG_Deliveries!G5/1000</f>
        <v>25.47</v>
      </c>
      <c r="C7" s="1118"/>
      <c r="D7" s="1114" t="s">
        <v>769</v>
      </c>
      <c r="E7" s="1115" t="n">
        <f aca="false">NSG_Supplies!U7/1000</f>
        <v>0</v>
      </c>
      <c r="F7" s="1119"/>
      <c r="G7" s="0"/>
    </row>
    <row r="8" customFormat="false" ht="15" hidden="false" customHeight="true" outlineLevel="0" collapsed="false">
      <c r="A8" s="1120" t="s">
        <v>372</v>
      </c>
      <c r="B8" s="1115" t="n">
        <f aca="false">B5+B7</f>
        <v>27.301</v>
      </c>
      <c r="C8" s="399"/>
      <c r="D8" s="1121" t="s">
        <v>770</v>
      </c>
      <c r="E8" s="1122" t="n">
        <f aca="false">NSG_Deliveries!F5/1000</f>
        <v>7.414</v>
      </c>
      <c r="F8" s="266"/>
      <c r="G8" s="0"/>
    </row>
    <row r="9" customFormat="false" ht="15" hidden="false" customHeight="true" outlineLevel="0" collapsed="false">
      <c r="A9" s="1123" t="s">
        <v>616</v>
      </c>
      <c r="B9" s="1124" t="s">
        <v>0</v>
      </c>
      <c r="C9" s="1125" t="n">
        <f aca="false">NSG_Requirements!L7/1000</f>
        <v>0</v>
      </c>
      <c r="D9" s="29" t="s">
        <v>294</v>
      </c>
      <c r="E9" s="1126" t="s">
        <v>0</v>
      </c>
      <c r="F9" s="1127" t="n">
        <f aca="false">NSG_Deliveries!M5/1000</f>
        <v>7.801</v>
      </c>
      <c r="G9" s="40"/>
    </row>
    <row r="10" customFormat="false" ht="15" hidden="false" customHeight="true" outlineLevel="0" collapsed="false">
      <c r="A10" s="1128" t="s">
        <v>771</v>
      </c>
      <c r="B10" s="1129" t="n">
        <f aca="false">NSG_Supplies!H7/1000</f>
        <v>0</v>
      </c>
      <c r="C10" s="1130"/>
      <c r="D10" s="1131" t="s">
        <v>772</v>
      </c>
      <c r="E10" s="1132" t="n">
        <f aca="false">NSG_Deliveries!N5/1000</f>
        <v>0</v>
      </c>
      <c r="F10" s="1133"/>
      <c r="G10" s="0"/>
    </row>
    <row r="11" customFormat="false" ht="15" hidden="false" customHeight="true" outlineLevel="0" collapsed="false">
      <c r="A11" s="1134" t="s">
        <v>773</v>
      </c>
      <c r="B11" s="1135" t="s">
        <v>0</v>
      </c>
      <c r="C11" s="1136"/>
      <c r="D11" s="977" t="s">
        <v>774</v>
      </c>
      <c r="E11" s="1137" t="n">
        <f aca="false">NSG_Supplies!Q7/1000</f>
        <v>15.215</v>
      </c>
      <c r="F11" s="1138"/>
      <c r="G11" s="0"/>
    </row>
    <row r="12" customFormat="false" ht="15" hidden="false" customHeight="true" outlineLevel="0" collapsed="false">
      <c r="A12" s="1128" t="s">
        <v>775</v>
      </c>
      <c r="B12" s="1129" t="n">
        <v>0</v>
      </c>
      <c r="C12" s="1109"/>
      <c r="D12" s="0" t="s">
        <v>776</v>
      </c>
      <c r="E12" s="1108"/>
      <c r="F12" s="1139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28" t="s">
        <v>777</v>
      </c>
      <c r="B13" s="1129" t="n">
        <f aca="false">NSG_Supplies!R7/1000</f>
        <v>28.599</v>
      </c>
      <c r="C13" s="1109"/>
      <c r="D13" s="1140" t="s">
        <v>778</v>
      </c>
      <c r="E13" s="1141"/>
      <c r="F13" s="1142"/>
      <c r="G13" s="0"/>
    </row>
    <row r="14" customFormat="false" ht="15" hidden="false" customHeight="true" outlineLevel="0" collapsed="false">
      <c r="A14" s="1128" t="s">
        <v>438</v>
      </c>
      <c r="B14" s="1129" t="n">
        <f aca="false">NSG_Supplies!C7/1000</f>
        <v>0</v>
      </c>
      <c r="C14" s="1109"/>
      <c r="D14" s="1143" t="s">
        <v>779</v>
      </c>
      <c r="E14" s="1144" t="s">
        <v>0</v>
      </c>
      <c r="F14" s="1145" t="n">
        <f aca="false">NSG_Requirements!M7/1000</f>
        <v>0</v>
      </c>
    </row>
    <row r="15" customFormat="false" ht="15" hidden="false" customHeight="true" outlineLevel="0" collapsed="false">
      <c r="A15" s="1146" t="s">
        <v>780</v>
      </c>
      <c r="B15" s="1143"/>
      <c r="C15" s="1125" t="n">
        <f aca="false">NSG_Deliveries!K5/1000</f>
        <v>1.298</v>
      </c>
      <c r="D15" s="1147" t="s">
        <v>781</v>
      </c>
      <c r="E15" s="1148" t="n">
        <f aca="false">+NSG_Supplies!O7/1000</f>
        <v>0</v>
      </c>
      <c r="F15" s="1149"/>
    </row>
    <row r="16" customFormat="false" ht="15" hidden="false" customHeight="true" outlineLevel="0" collapsed="false">
      <c r="A16" s="1146" t="s">
        <v>782</v>
      </c>
      <c r="B16" s="1132" t="n">
        <f aca="false">NSG_Deliveries!L5/1000</f>
        <v>0</v>
      </c>
      <c r="C16" s="1150"/>
      <c r="D16" s="1151" t="s">
        <v>492</v>
      </c>
      <c r="E16" s="1152" t="s">
        <v>0</v>
      </c>
      <c r="F16" s="1145" t="n">
        <f aca="false">NSG_Requirements!X7/1000</f>
        <v>0</v>
      </c>
    </row>
    <row r="17" customFormat="false" ht="15" hidden="false" customHeight="true" outlineLevel="0" collapsed="false">
      <c r="A17" s="1128" t="s">
        <v>783</v>
      </c>
      <c r="B17" s="1143"/>
      <c r="C17" s="1125" t="n">
        <f aca="false">NSG_Requirements!P7/1000</f>
        <v>0</v>
      </c>
      <c r="D17" s="1153" t="s">
        <v>784</v>
      </c>
      <c r="E17" s="435"/>
      <c r="F17" s="467"/>
    </row>
    <row r="18" customFormat="false" ht="15" hidden="false" customHeight="true" outlineLevel="0" collapsed="false">
      <c r="A18" s="1128" t="s">
        <v>785</v>
      </c>
      <c r="B18" s="1129" t="n">
        <f aca="false">NSG_Supplies!I7/1000</f>
        <v>0</v>
      </c>
      <c r="C18" s="1109"/>
      <c r="D18" s="72" t="s">
        <v>786</v>
      </c>
      <c r="E18" s="41"/>
      <c r="F18" s="1145" t="n">
        <f aca="false">NSG_Requirements!N7/1000</f>
        <v>0</v>
      </c>
    </row>
    <row r="19" customFormat="false" ht="15" hidden="false" customHeight="true" outlineLevel="0" collapsed="false">
      <c r="A19" s="1146" t="s">
        <v>787</v>
      </c>
      <c r="B19" s="1132" t="n">
        <f aca="false">PGL_Requirements!Y7/1000+PGL_Requirements!AB7/1000</f>
        <v>0</v>
      </c>
      <c r="C19" s="1154"/>
      <c r="D19" s="1155" t="s">
        <v>788</v>
      </c>
      <c r="E19" s="41"/>
      <c r="F19" s="1145" t="n">
        <f aca="false">NSG_Requirements!S7/1000</f>
        <v>0</v>
      </c>
    </row>
    <row r="20" customFormat="false" ht="15" hidden="false" customHeight="true" outlineLevel="0" collapsed="false">
      <c r="A20" s="1146" t="s">
        <v>789</v>
      </c>
      <c r="B20" s="1132" t="n">
        <f aca="false">PGL_Requirements!Z7/1000</f>
        <v>0</v>
      </c>
      <c r="C20" s="1154" t="s">
        <v>0</v>
      </c>
      <c r="D20" s="1143" t="s">
        <v>790</v>
      </c>
      <c r="E20" s="41"/>
      <c r="F20" s="1145" t="n">
        <f aca="false">NSG_Requirements!O7/1000</f>
        <v>0</v>
      </c>
    </row>
    <row r="21" customFormat="false" ht="15" hidden="false" customHeight="true" outlineLevel="0" collapsed="false">
      <c r="A21" s="1146" t="s">
        <v>791</v>
      </c>
      <c r="B21" s="1132" t="n">
        <f aca="false">PGL_Requirements!AA7/1000</f>
        <v>0</v>
      </c>
      <c r="C21" s="1154"/>
      <c r="D21" s="1156" t="s">
        <v>792</v>
      </c>
      <c r="E21" s="1129" t="n">
        <f aca="false">NSG_Supplies!L7/1000</f>
        <v>0</v>
      </c>
      <c r="F21" s="1157"/>
    </row>
    <row r="22" customFormat="false" ht="15" hidden="false" customHeight="true" outlineLevel="0" collapsed="false">
      <c r="A22" s="1128" t="s">
        <v>793</v>
      </c>
      <c r="B22" s="1143"/>
      <c r="C22" s="1125" t="n">
        <f aca="false">NSG_Requirements!C7/1000</f>
        <v>0</v>
      </c>
      <c r="D22" s="1156" t="s">
        <v>794</v>
      </c>
      <c r="E22" s="1129" t="n">
        <f aca="false">NSG_Supplies!M7/1000</f>
        <v>0</v>
      </c>
      <c r="F22" s="1157"/>
    </row>
    <row r="23" customFormat="false" ht="15" hidden="false" customHeight="true" outlineLevel="0" collapsed="false">
      <c r="A23" s="1128" t="s">
        <v>795</v>
      </c>
      <c r="B23" s="1143"/>
      <c r="C23" s="1125" t="n">
        <f aca="false">NSG_Requirements!R7/1000</f>
        <v>0</v>
      </c>
      <c r="D23" s="1156" t="s">
        <v>796</v>
      </c>
      <c r="E23" s="1129" t="n">
        <f aca="false">PGL_Supplies!S7/1000</f>
        <v>0</v>
      </c>
      <c r="F23" s="1145" t="s">
        <v>0</v>
      </c>
    </row>
    <row r="24" customFormat="false" ht="15" hidden="false" customHeight="true" outlineLevel="0" collapsed="false">
      <c r="A24" s="1128" t="s">
        <v>797</v>
      </c>
      <c r="B24" s="1129" t="n">
        <f aca="false">NSG_Supplies!K7/1000</f>
        <v>0</v>
      </c>
      <c r="C24" s="1109"/>
      <c r="D24" s="1156" t="s">
        <v>798</v>
      </c>
      <c r="E24" s="1129" t="n">
        <f aca="false">NSG_Supplies!P7/1000</f>
        <v>0</v>
      </c>
      <c r="F24" s="1117"/>
    </row>
    <row r="25" customFormat="false" ht="15" hidden="false" customHeight="true" outlineLevel="0" collapsed="false">
      <c r="A25" s="1146" t="s">
        <v>799</v>
      </c>
      <c r="B25" s="1143"/>
      <c r="C25" s="1125" t="n">
        <f aca="false">NSG_Requirements!Q7/1000</f>
        <v>0</v>
      </c>
      <c r="D25" s="1156" t="s">
        <v>800</v>
      </c>
      <c r="E25" s="1129" t="n">
        <f aca="false">PGL_Requirements!V71/1000</f>
        <v>0</v>
      </c>
      <c r="F25" s="289"/>
    </row>
    <row r="26" customFormat="false" ht="15" hidden="false" customHeight="true" outlineLevel="0" collapsed="false">
      <c r="A26" s="1158" t="s">
        <v>801</v>
      </c>
      <c r="B26" s="1159" t="n">
        <f aca="false">NSG_Supplies!J7/1000</f>
        <v>0</v>
      </c>
      <c r="C26" s="1113"/>
      <c r="D26" s="1160" t="s">
        <v>802</v>
      </c>
      <c r="E26" s="1161"/>
      <c r="F26" s="1145" t="n">
        <f aca="false">NSG_Requirements!D7/1000</f>
        <v>0</v>
      </c>
    </row>
    <row r="27" customFormat="false" ht="15" hidden="false" customHeight="true" outlineLevel="0" collapsed="false">
      <c r="A27" s="1162" t="s">
        <v>372</v>
      </c>
      <c r="B27" s="1163" t="n">
        <f aca="false">SUM(B9:B26)-SUM(C9:C26)</f>
        <v>27.301</v>
      </c>
      <c r="C27" s="1164"/>
      <c r="D27" s="1165" t="s">
        <v>803</v>
      </c>
      <c r="E27" s="1163" t="n">
        <f aca="false">SUM(E18:E26)-SUM(F18:F26)</f>
        <v>0</v>
      </c>
      <c r="F27" s="1166"/>
      <c r="H27" s="29" t="s">
        <v>0</v>
      </c>
    </row>
    <row r="28" customFormat="false" ht="15" hidden="false" customHeight="true" outlineLevel="0" collapsed="false">
      <c r="A28" s="9" t="s">
        <v>804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27" t="s">
        <v>805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6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67" t="s">
        <v>0</v>
      </c>
    </row>
    <row r="2" customFormat="false" ht="15.75" hidden="false" customHeight="false" outlineLevel="0" collapsed="false">
      <c r="B2" s="1062" t="s">
        <v>0</v>
      </c>
      <c r="C2" s="1062" t="s">
        <v>0</v>
      </c>
      <c r="D2" s="1062" t="s">
        <v>2</v>
      </c>
      <c r="E2" s="1062" t="s">
        <v>0</v>
      </c>
      <c r="F2" s="1062" t="s">
        <v>2</v>
      </c>
      <c r="G2" s="1062" t="s">
        <v>0</v>
      </c>
    </row>
    <row r="4" customFormat="false" ht="15.75" hidden="false" customHeight="false" outlineLevel="0" collapsed="false">
      <c r="B4" s="1168" t="s">
        <v>2</v>
      </c>
    </row>
    <row r="6" customFormat="false" ht="15.75" hidden="false" customHeight="false" outlineLevel="0" collapsed="false">
      <c r="B6" s="1062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62"/>
    </row>
    <row r="8" customFormat="false" ht="15.75" hidden="false" customHeight="false" outlineLevel="0" collapsed="false">
      <c r="B8" s="1062" t="s">
        <v>0</v>
      </c>
    </row>
    <row r="9" customFormat="false" ht="15.75" hidden="false" customHeight="false" outlineLevel="0" collapsed="false">
      <c r="B9" s="1062"/>
    </row>
    <row r="10" customFormat="false" ht="15.75" hidden="false" customHeight="false" outlineLevel="0" collapsed="false">
      <c r="B10" s="1062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62" t="s">
        <v>0</v>
      </c>
    </row>
    <row r="12" customFormat="false" ht="15.75" hidden="false" customHeight="false" outlineLevel="0" collapsed="false">
      <c r="B12" s="1062" t="s">
        <v>0</v>
      </c>
    </row>
    <row r="13" customFormat="false" ht="15.75" hidden="false" customHeight="false" outlineLevel="0" collapsed="false">
      <c r="B13" s="1062"/>
    </row>
    <row r="14" customFormat="false" ht="15.75" hidden="false" customHeight="false" outlineLevel="0" collapsed="false">
      <c r="B14" s="1062" t="s">
        <v>0</v>
      </c>
    </row>
    <row r="15" customFormat="false" ht="15.75" hidden="false" customHeight="false" outlineLevel="0" collapsed="false">
      <c r="B15" s="1062"/>
    </row>
    <row r="16" customFormat="false" ht="15.75" hidden="false" customHeight="false" outlineLevel="0" collapsed="false">
      <c r="B16" s="1062" t="s">
        <v>0</v>
      </c>
    </row>
    <row r="17" customFormat="false" ht="15.75" hidden="false" customHeight="false" outlineLevel="0" collapsed="false">
      <c r="B17" s="1062"/>
    </row>
    <row r="18" customFormat="false" ht="15.75" hidden="false" customHeight="false" outlineLevel="0" collapsed="false">
      <c r="B18" s="1062" t="s">
        <v>0</v>
      </c>
    </row>
    <row r="19" customFormat="false" ht="15.75" hidden="false" customHeight="false" outlineLevel="0" collapsed="false">
      <c r="B19" s="1062"/>
    </row>
    <row r="20" customFormat="false" ht="15.75" hidden="false" customHeight="false" outlineLevel="0" collapsed="false">
      <c r="B20" s="1062" t="s">
        <v>0</v>
      </c>
    </row>
    <row r="21" customFormat="false" ht="15.75" hidden="false" customHeight="false" outlineLevel="0" collapsed="false">
      <c r="B21" s="1062"/>
    </row>
    <row r="22" customFormat="false" ht="15.75" hidden="false" customHeight="false" outlineLevel="0" collapsed="false">
      <c r="B22" s="1062" t="s">
        <v>0</v>
      </c>
    </row>
    <row r="24" customFormat="false" ht="15.75" hidden="false" customHeight="false" outlineLevel="0" collapsed="false">
      <c r="B24" s="1062" t="s">
        <v>0</v>
      </c>
    </row>
    <row r="25" customFormat="false" ht="15.75" hidden="false" customHeight="false" outlineLevel="0" collapsed="false">
      <c r="E25" s="1062" t="s">
        <v>0</v>
      </c>
    </row>
    <row r="27" customFormat="false" ht="15.75" hidden="false" customHeight="false" outlineLevel="0" collapsed="false">
      <c r="B27" s="1062" t="s">
        <v>0</v>
      </c>
    </row>
    <row r="29" customFormat="false" ht="15.75" hidden="false" customHeight="false" outlineLevel="0" collapsed="false">
      <c r="B29" s="1062" t="s">
        <v>0</v>
      </c>
    </row>
    <row r="30" customFormat="false" ht="15.75" hidden="false" customHeight="false" outlineLevel="0" collapsed="false">
      <c r="B30" s="1062"/>
    </row>
    <row r="31" customFormat="false" ht="15.75" hidden="false" customHeight="false" outlineLevel="0" collapsed="false">
      <c r="B31" s="1062" t="s">
        <v>0</v>
      </c>
    </row>
    <row r="32" customFormat="false" ht="15.75" hidden="false" customHeight="false" outlineLevel="0" collapsed="false">
      <c r="B32" s="1062"/>
    </row>
    <row r="33" customFormat="false" ht="15.75" hidden="false" customHeight="false" outlineLevel="0" collapsed="false">
      <c r="B33" s="1062" t="s">
        <v>0</v>
      </c>
    </row>
    <row r="34" customFormat="false" ht="15.75" hidden="false" customHeight="false" outlineLevel="0" collapsed="false">
      <c r="B34" s="1062"/>
    </row>
    <row r="35" customFormat="false" ht="15.75" hidden="false" customHeight="false" outlineLevel="0" collapsed="false">
      <c r="B35" s="1062" t="s">
        <v>0</v>
      </c>
    </row>
    <row r="36" customFormat="false" ht="15.75" hidden="false" customHeight="false" outlineLevel="0" collapsed="false">
      <c r="B36" s="1062"/>
    </row>
    <row r="37" customFormat="false" ht="15.75" hidden="false" customHeight="false" outlineLevel="0" collapsed="false">
      <c r="B37" s="1062" t="s">
        <v>0</v>
      </c>
    </row>
    <row r="38" customFormat="false" ht="15.75" hidden="false" customHeight="false" outlineLevel="0" collapsed="false">
      <c r="B38" s="1062"/>
    </row>
    <row r="39" customFormat="false" ht="15.75" hidden="false" customHeight="false" outlineLevel="0" collapsed="false">
      <c r="B39" s="1062" t="s">
        <v>0</v>
      </c>
    </row>
    <row r="40" customFormat="false" ht="15.75" hidden="false" customHeight="false" outlineLevel="0" collapsed="false">
      <c r="B40" s="1062"/>
    </row>
    <row r="41" customFormat="false" ht="15.75" hidden="false" customHeight="false" outlineLevel="0" collapsed="false">
      <c r="B41" s="1062" t="s">
        <v>0</v>
      </c>
    </row>
    <row r="42" customFormat="false" ht="15.75" hidden="false" customHeight="false" outlineLevel="0" collapsed="false">
      <c r="B42" s="1062"/>
    </row>
    <row r="43" customFormat="false" ht="15.75" hidden="false" customHeight="false" outlineLevel="0" collapsed="false">
      <c r="B43" s="1062" t="s">
        <v>0</v>
      </c>
    </row>
    <row r="44" customFormat="false" ht="15.75" hidden="false" customHeight="false" outlineLevel="0" collapsed="false">
      <c r="B44" s="1062"/>
    </row>
    <row r="45" customFormat="false" ht="15.75" hidden="false" customHeight="false" outlineLevel="0" collapsed="false">
      <c r="B45" s="1062" t="s">
        <v>0</v>
      </c>
    </row>
    <row r="47" customFormat="false" ht="15.75" hidden="false" customHeight="false" outlineLevel="0" collapsed="false">
      <c r="B47" s="1062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U1" colorId="64" zoomScale="75" zoomScaleNormal="75" zoomScalePageLayoutView="100" workbookViewId="0">
      <selection pane="topLeft" activeCell="BH5" activeCellId="0" sqref="BH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0</v>
      </c>
      <c r="AD2" s="33" t="s">
        <v>0</v>
      </c>
      <c r="AE2" s="33" t="s">
        <v>43</v>
      </c>
      <c r="AF2" s="33"/>
      <c r="AG2" s="33" t="s">
        <v>43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0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10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42</v>
      </c>
      <c r="AD3" s="36" t="s">
        <v>42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48</v>
      </c>
      <c r="BA4" s="44" t="s">
        <v>49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37059</v>
      </c>
      <c r="B5" s="29" t="n">
        <f aca="false">(Weather_Input!B5+Weather_Input!C5)/2</f>
        <v>76.5</v>
      </c>
      <c r="C5" s="46" t="n">
        <v>185000</v>
      </c>
      <c r="D5" s="47" t="n">
        <v>0</v>
      </c>
      <c r="E5" s="47" t="n">
        <v>0</v>
      </c>
      <c r="F5" s="47" t="n">
        <v>0</v>
      </c>
      <c r="G5" s="47" t="n">
        <v>3670</v>
      </c>
      <c r="H5" s="47" t="n">
        <v>3654</v>
      </c>
      <c r="I5" s="47" t="n">
        <v>175672</v>
      </c>
      <c r="J5" s="47" t="n">
        <v>0</v>
      </c>
      <c r="K5" s="47" t="n">
        <v>0</v>
      </c>
      <c r="L5" s="47" t="n">
        <v>90</v>
      </c>
      <c r="M5" s="47" t="n">
        <v>1538</v>
      </c>
      <c r="N5" s="47" t="n">
        <v>133</v>
      </c>
      <c r="O5" s="47" t="n">
        <v>1</v>
      </c>
      <c r="P5" s="47" t="n">
        <v>788</v>
      </c>
      <c r="Q5" s="47" t="n">
        <v>237</v>
      </c>
      <c r="R5" s="47" t="n">
        <v>898</v>
      </c>
      <c r="S5" s="48" t="n">
        <v>4511</v>
      </c>
      <c r="T5" s="49" t="n">
        <v>0</v>
      </c>
      <c r="U5" s="46" t="n">
        <f aca="false">SUM(D5:S5)-T5</f>
        <v>191192</v>
      </c>
      <c r="V5" s="46" t="n">
        <v>121190</v>
      </c>
      <c r="W5" s="18" t="n">
        <v>0</v>
      </c>
      <c r="X5" s="18" t="n">
        <v>0</v>
      </c>
      <c r="Y5" s="18" t="n">
        <v>0</v>
      </c>
      <c r="Z5" s="18" t="n">
        <v>231749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19913</v>
      </c>
      <c r="AK5" s="18" t="n">
        <v>0</v>
      </c>
      <c r="AL5" s="18" t="n">
        <v>0</v>
      </c>
      <c r="AM5" s="29" t="n">
        <v>1030</v>
      </c>
      <c r="AN5" s="29"/>
      <c r="AO5" s="29" t="n">
        <v>22698</v>
      </c>
      <c r="AP5" s="29" t="n">
        <v>0</v>
      </c>
      <c r="AQ5" s="29" t="n">
        <v>2533</v>
      </c>
      <c r="AR5" s="29" t="n">
        <v>0</v>
      </c>
      <c r="AS5" s="29" t="n">
        <v>0</v>
      </c>
      <c r="AT5" s="29" t="n">
        <v>418</v>
      </c>
      <c r="AU5" s="29" t="n">
        <v>174310</v>
      </c>
      <c r="AV5" s="29" t="n">
        <v>590</v>
      </c>
      <c r="AW5" s="50" t="n">
        <f aca="false">AU5*0.015</f>
        <v>2614.65</v>
      </c>
      <c r="AX5" s="29" t="n">
        <v>0</v>
      </c>
      <c r="AY5" s="29"/>
      <c r="AZ5" s="29" t="n">
        <v>3679</v>
      </c>
      <c r="BA5" s="29" t="n">
        <v>3714</v>
      </c>
      <c r="BB5" s="29" t="n">
        <v>0</v>
      </c>
      <c r="BC5" s="29" t="n">
        <v>0</v>
      </c>
      <c r="BD5" s="29"/>
      <c r="BE5" s="29" t="n">
        <v>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37060</v>
      </c>
      <c r="B6" s="51" t="n">
        <f aca="false">(Weather_Input!B6+Weather_Input!C6)/2</f>
        <v>81</v>
      </c>
      <c r="C6" s="46" t="n">
        <v>205000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37061</v>
      </c>
      <c r="B7" s="51" t="n">
        <f aca="false">(Weather_Input!B7+Weather_Input!C7)/2</f>
        <v>70.5</v>
      </c>
      <c r="C7" s="46" t="n">
        <v>215000</v>
      </c>
      <c r="D7" s="52" t="s">
        <v>0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37062</v>
      </c>
      <c r="B8" s="51" t="n">
        <f aca="false">(Weather_Input!B8+Weather_Input!C8)/2</f>
        <v>64</v>
      </c>
      <c r="C8" s="46" t="n">
        <v>225000</v>
      </c>
      <c r="D8" s="52" t="s">
        <v>0</v>
      </c>
      <c r="E8" s="53" t="s">
        <v>0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37063</v>
      </c>
      <c r="B9" s="51" t="n">
        <f aca="false">(Weather_Input!B9+Weather_Input!C9)/2</f>
        <v>61</v>
      </c>
      <c r="C9" s="46" t="n">
        <v>225000</v>
      </c>
      <c r="D9" s="52" t="s">
        <v>0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37064</v>
      </c>
      <c r="B10" s="51" t="n">
        <f aca="false">(Weather_Input!B10+Weather_Input!C10)/2</f>
        <v>62.5</v>
      </c>
      <c r="C10" s="46" t="n">
        <v>210000</v>
      </c>
      <c r="D10" s="52" t="s">
        <v>0</v>
      </c>
      <c r="E10" s="53" t="s">
        <v>0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69" width="8.88"/>
    <col collapsed="false" customWidth="false" hidden="false" outlineLevel="0" max="257" min="2" style="1170" width="8.88"/>
  </cols>
  <sheetData>
    <row r="1" customFormat="false" ht="15.75" hidden="false" customHeight="false" outlineLevel="0" collapsed="false">
      <c r="A1" s="1171"/>
      <c r="B1" s="1172"/>
      <c r="D1" s="1173"/>
    </row>
    <row r="2" customFormat="false" ht="15.75" hidden="false" customHeight="false" outlineLevel="0" collapsed="false">
      <c r="A2" s="1174"/>
      <c r="G2" s="1172"/>
    </row>
    <row r="3" customFormat="false" ht="15" hidden="false" customHeight="false" outlineLevel="0" collapsed="false">
      <c r="DZ3" s="0"/>
      <c r="EA3" s="1175"/>
    </row>
    <row r="5" customFormat="false" ht="15.75" hidden="false" customHeight="false" outlineLevel="0" collapsed="false">
      <c r="A5" s="1176"/>
      <c r="B5" s="1172"/>
    </row>
    <row r="6" customFormat="false" ht="12.75" hidden="false" customHeight="false" outlineLevel="0" collapsed="false">
      <c r="A6" s="1177"/>
    </row>
    <row r="7" customFormat="false" ht="12.75" hidden="false" customHeight="false" outlineLevel="0" collapsed="false">
      <c r="A7" s="1177"/>
    </row>
    <row r="8" customFormat="false" ht="12.75" hidden="false" customHeight="false" outlineLevel="0" collapsed="false">
      <c r="A8" s="1177"/>
    </row>
    <row r="9" customFormat="false" ht="12.75" hidden="false" customHeight="false" outlineLevel="0" collapsed="false">
      <c r="A9" s="1177" t="s">
        <v>0</v>
      </c>
      <c r="C9" s="1178"/>
    </row>
    <row r="10" customFormat="false" ht="12.75" hidden="false" customHeight="false" outlineLevel="0" collapsed="false">
      <c r="A10" s="1177"/>
    </row>
    <row r="11" customFormat="false" ht="12.75" hidden="false" customHeight="false" outlineLevel="0" collapsed="false">
      <c r="A11" s="1177"/>
    </row>
    <row r="12" customFormat="false" ht="12.75" hidden="false" customHeight="false" outlineLevel="0" collapsed="false">
      <c r="A12" s="1177"/>
    </row>
    <row r="13" customFormat="false" ht="12.75" hidden="false" customHeight="false" outlineLevel="0" collapsed="false">
      <c r="A13" s="1177"/>
    </row>
    <row r="14" customFormat="false" ht="12.75" hidden="false" customHeight="false" outlineLevel="0" collapsed="false">
      <c r="A14" s="1177"/>
      <c r="C14" s="1170" t="s">
        <v>0</v>
      </c>
      <c r="D14" s="1170" t="s">
        <v>0</v>
      </c>
    </row>
    <row r="15" customFormat="false" ht="12.75" hidden="false" customHeight="false" outlineLevel="0" collapsed="false">
      <c r="A15" s="1177"/>
    </row>
    <row r="16" customFormat="false" ht="12.75" hidden="false" customHeight="false" outlineLevel="0" collapsed="false">
      <c r="A16" s="1177"/>
    </row>
    <row r="17" customFormat="false" ht="12.75" hidden="false" customHeight="false" outlineLevel="0" collapsed="false">
      <c r="A17" s="1177"/>
    </row>
    <row r="18" customFormat="false" ht="12.75" hidden="false" customHeight="false" outlineLevel="0" collapsed="false">
      <c r="A18" s="1177"/>
    </row>
    <row r="19" customFormat="false" ht="12.75" hidden="false" customHeight="false" outlineLevel="0" collapsed="false">
      <c r="A19" s="1177"/>
    </row>
    <row r="20" customFormat="false" ht="12.75" hidden="false" customHeight="false" outlineLevel="0" collapsed="false">
      <c r="A20" s="1177"/>
    </row>
    <row r="21" customFormat="false" ht="12.75" hidden="false" customHeight="false" outlineLevel="0" collapsed="false">
      <c r="A21" s="1177"/>
    </row>
    <row r="22" customFormat="false" ht="12.75" hidden="false" customHeight="false" outlineLevel="0" collapsed="false">
      <c r="A22" s="1177"/>
    </row>
    <row r="23" customFormat="false" ht="12.75" hidden="false" customHeight="false" outlineLevel="0" collapsed="false">
      <c r="A23" s="1177"/>
    </row>
    <row r="24" customFormat="false" ht="12.75" hidden="false" customHeight="false" outlineLevel="0" collapsed="false">
      <c r="A24" s="1177"/>
    </row>
    <row r="25" customFormat="false" ht="12.75" hidden="false" customHeight="false" outlineLevel="0" collapsed="false">
      <c r="A25" s="1177"/>
    </row>
    <row r="26" customFormat="false" ht="12.75" hidden="false" customHeight="false" outlineLevel="0" collapsed="false">
      <c r="A26" s="1177"/>
    </row>
    <row r="27" customFormat="false" ht="12.75" hidden="false" customHeight="false" outlineLevel="0" collapsed="false">
      <c r="A27" s="1177"/>
    </row>
    <row r="28" customFormat="false" ht="12.75" hidden="false" customHeight="false" outlineLevel="0" collapsed="false">
      <c r="A28" s="1177"/>
    </row>
    <row r="29" customFormat="false" ht="12.75" hidden="false" customHeight="false" outlineLevel="0" collapsed="false">
      <c r="A29" s="1177"/>
    </row>
    <row r="30" customFormat="false" ht="12.75" hidden="false" customHeight="false" outlineLevel="0" collapsed="false">
      <c r="A30" s="1177"/>
    </row>
    <row r="31" customFormat="false" ht="12.75" hidden="false" customHeight="false" outlineLevel="0" collapsed="false">
      <c r="A31" s="1177"/>
    </row>
    <row r="32" customFormat="false" ht="12.75" hidden="false" customHeight="false" outlineLevel="0" collapsed="false">
      <c r="A32" s="1177"/>
    </row>
    <row r="33" customFormat="false" ht="12.75" hidden="false" customHeight="false" outlineLevel="0" collapsed="false">
      <c r="A33" s="1177"/>
    </row>
    <row r="34" customFormat="false" ht="12.75" hidden="false" customHeight="false" outlineLevel="0" collapsed="false">
      <c r="A34" s="1177"/>
    </row>
    <row r="35" customFormat="false" ht="12.75" hidden="false" customHeight="false" outlineLevel="0" collapsed="false">
      <c r="A35" s="117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806</v>
      </c>
      <c r="B1" s="112" t="n">
        <f aca="false">Weather_Input!A5</f>
        <v>37059</v>
      </c>
      <c r="C1" s="1179"/>
    </row>
    <row r="2" customFormat="false" ht="15" hidden="false" customHeight="false" outlineLevel="0" collapsed="false">
      <c r="A2" s="28" t="s">
        <v>807</v>
      </c>
      <c r="B2" s="1179"/>
      <c r="C2" s="1179"/>
    </row>
    <row r="3" customFormat="false" ht="15.75" hidden="false" customHeight="false" outlineLevel="0" collapsed="false">
      <c r="B3" s="1180" t="s">
        <v>85</v>
      </c>
      <c r="C3" s="1180"/>
      <c r="D3" s="1180"/>
      <c r="E3" s="1180"/>
      <c r="F3" s="1180"/>
      <c r="G3" s="1180"/>
      <c r="H3" s="1181" t="s">
        <v>86</v>
      </c>
      <c r="I3" s="1181"/>
      <c r="J3" s="1181"/>
      <c r="K3" s="1181"/>
      <c r="L3" s="1181"/>
      <c r="M3" s="1181"/>
      <c r="N3" s="926" t="s">
        <v>42</v>
      </c>
      <c r="O3" s="926"/>
      <c r="P3" s="926"/>
      <c r="Q3" s="926"/>
      <c r="R3" s="926"/>
      <c r="S3" s="926"/>
    </row>
    <row r="4" customFormat="false" ht="15" hidden="false" customHeight="false" outlineLevel="0" collapsed="false">
      <c r="B4" s="1182" t="s">
        <v>808</v>
      </c>
      <c r="C4" s="1182"/>
      <c r="D4" s="11" t="s">
        <v>708</v>
      </c>
      <c r="E4" s="11" t="s">
        <v>708</v>
      </c>
      <c r="F4" s="1183" t="s">
        <v>809</v>
      </c>
      <c r="G4" s="1183"/>
      <c r="H4" s="4" t="s">
        <v>808</v>
      </c>
      <c r="I4" s="4"/>
      <c r="J4" s="11" t="s">
        <v>708</v>
      </c>
      <c r="K4" s="11" t="s">
        <v>708</v>
      </c>
      <c r="L4" s="1183" t="s">
        <v>809</v>
      </c>
      <c r="M4" s="1183"/>
      <c r="N4" s="4" t="s">
        <v>808</v>
      </c>
      <c r="O4" s="4"/>
      <c r="P4" s="11" t="s">
        <v>708</v>
      </c>
      <c r="Q4" s="11" t="s">
        <v>708</v>
      </c>
      <c r="R4" s="4" t="s">
        <v>809</v>
      </c>
      <c r="S4" s="4"/>
    </row>
    <row r="5" customFormat="false" ht="15" hidden="false" customHeight="false" outlineLevel="0" collapsed="false">
      <c r="A5" s="877"/>
      <c r="B5" s="1184" t="s">
        <v>810</v>
      </c>
      <c r="C5" s="1185" t="s">
        <v>811</v>
      </c>
      <c r="D5" s="1186" t="s">
        <v>812</v>
      </c>
      <c r="E5" s="1186" t="s">
        <v>813</v>
      </c>
      <c r="F5" s="1186" t="s">
        <v>810</v>
      </c>
      <c r="G5" s="1187" t="s">
        <v>811</v>
      </c>
      <c r="H5" s="1186" t="s">
        <v>810</v>
      </c>
      <c r="I5" s="1186" t="s">
        <v>811</v>
      </c>
      <c r="J5" s="1186" t="s">
        <v>812</v>
      </c>
      <c r="K5" s="1186" t="s">
        <v>813</v>
      </c>
      <c r="L5" s="1186" t="s">
        <v>810</v>
      </c>
      <c r="M5" s="1187" t="s">
        <v>811</v>
      </c>
      <c r="N5" s="1186" t="s">
        <v>810</v>
      </c>
      <c r="O5" s="1186" t="s">
        <v>811</v>
      </c>
      <c r="P5" s="1186" t="s">
        <v>812</v>
      </c>
      <c r="Q5" s="1186" t="s">
        <v>813</v>
      </c>
      <c r="R5" s="1186" t="s">
        <v>810</v>
      </c>
      <c r="S5" s="1186" t="s">
        <v>811</v>
      </c>
    </row>
    <row r="6" customFormat="false" ht="15" hidden="false" customHeight="false" outlineLevel="0" collapsed="false">
      <c r="A6" s="1179" t="n">
        <f aca="false">B1-1</f>
        <v>37058</v>
      </c>
      <c r="B6" s="934" t="e">
        <f aca="false"/>
        <v>#REF!</v>
      </c>
      <c r="C6" s="1188" t="e">
        <f aca="false"/>
        <v>#REF!</v>
      </c>
      <c r="D6" s="1188" t="e">
        <f aca="false"/>
        <v>#REF!</v>
      </c>
      <c r="E6" s="1188" t="e">
        <f aca="false"/>
        <v>#REF!</v>
      </c>
      <c r="F6" s="1188" t="e">
        <f aca="false"/>
        <v>#REF!</v>
      </c>
      <c r="G6" s="1188" t="e">
        <f aca="false"/>
        <v>#REF!</v>
      </c>
      <c r="H6" s="1188" t="e">
        <f aca="false"/>
        <v>#REF!</v>
      </c>
      <c r="I6" s="1188" t="e">
        <f aca="false"/>
        <v>#REF!</v>
      </c>
      <c r="J6" s="1188" t="e">
        <f aca="false"/>
        <v>#REF!</v>
      </c>
      <c r="K6" s="1188" t="e">
        <f aca="false"/>
        <v>#REF!</v>
      </c>
      <c r="L6" s="1188" t="e">
        <f aca="false"/>
        <v>#REF!</v>
      </c>
      <c r="M6" s="1188" t="e">
        <f aca="false"/>
        <v>#REF!</v>
      </c>
      <c r="N6" s="1188" t="n">
        <v>107400</v>
      </c>
      <c r="O6" s="1188" t="n">
        <v>0</v>
      </c>
      <c r="P6" s="1188" t="n">
        <v>51676686</v>
      </c>
      <c r="Q6" s="1188" t="n">
        <v>15045098</v>
      </c>
      <c r="R6" s="1188" t="n">
        <v>36631588</v>
      </c>
      <c r="S6" s="1188" t="n">
        <v>0</v>
      </c>
    </row>
    <row r="7" customFormat="false" ht="15" hidden="false" customHeight="false" outlineLevel="0" collapsed="false">
      <c r="A7" s="1179" t="n">
        <f aca="false">B1</f>
        <v>37059</v>
      </c>
      <c r="B7" s="934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89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9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9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107400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51784086</v>
      </c>
      <c r="Q7" s="0" t="n">
        <f aca="false">IF(O7&gt;0,Q6+O7,Q6)</f>
        <v>15045098</v>
      </c>
      <c r="R7" s="0" t="n">
        <f aca="false">IF(P7&gt;Q7,P7-Q7,0)</f>
        <v>36738988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79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814</v>
      </c>
      <c r="C1" s="36" t="s">
        <v>815</v>
      </c>
      <c r="D1" s="1190" t="s">
        <v>816</v>
      </c>
    </row>
    <row r="2" customFormat="false" ht="15" hidden="false" customHeight="false" outlineLevel="0" collapsed="false">
      <c r="B2" s="36" t="s">
        <v>817</v>
      </c>
      <c r="C2" s="36" t="s">
        <v>22</v>
      </c>
      <c r="D2" s="1190" t="s">
        <v>22</v>
      </c>
    </row>
    <row r="3" customFormat="false" ht="15" hidden="false" customHeight="false" outlineLevel="0" collapsed="false">
      <c r="A3" s="1179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79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79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79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79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79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79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79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79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79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79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79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79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79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79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79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79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79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79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79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79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79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79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79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79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79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79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79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79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79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79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79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79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79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79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79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79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79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79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79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79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79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79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79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79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79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79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79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79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79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79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79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79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79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79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79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79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79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79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79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79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79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79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79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79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79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79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79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79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79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79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79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79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79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79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79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79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79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79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79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79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79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79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79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79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79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79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79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79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79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79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79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79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79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79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79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79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79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79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79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79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79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79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79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79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79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79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79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79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79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79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79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79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79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79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79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79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79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79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79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79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79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79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79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79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79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79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79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79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79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79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79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79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79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79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79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79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79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79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79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79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79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79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79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79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79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79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79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79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79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79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79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79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79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79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79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79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79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79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79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79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79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79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79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79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79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79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79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79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79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79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79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79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79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79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79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79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79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79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79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79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79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79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79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79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79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79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79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79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79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79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79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79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79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79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79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79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79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79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79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79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79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79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79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79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79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79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79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79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79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79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79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79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79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79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79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79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79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79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79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79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79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79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79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79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79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79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79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79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79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79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79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79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79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79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79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79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79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79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79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79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79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79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79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79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79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79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79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79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79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79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79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79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79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79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79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79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79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79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79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79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79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79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79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79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79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79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79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79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79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79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79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79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79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79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79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79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79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79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79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79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79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79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79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79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79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79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79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79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79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79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79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79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79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79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79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79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79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79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79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79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79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79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79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79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79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79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79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79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79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79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79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79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79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79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79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79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79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79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79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79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79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79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79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79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79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79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79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79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79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79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79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79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79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79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79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79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79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79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79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79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79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79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79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79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79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79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79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79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79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79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79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79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79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79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79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79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79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79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79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79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79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79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79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79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79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79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79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79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79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79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79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Q5" activeCellId="0" sqref="Q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46</v>
      </c>
      <c r="C3" s="29" t="s">
        <v>70</v>
      </c>
      <c r="D3" s="36" t="s">
        <v>121</v>
      </c>
      <c r="F3" s="36" t="s">
        <v>122</v>
      </c>
      <c r="G3" s="36" t="s">
        <v>123</v>
      </c>
      <c r="H3" s="36" t="s">
        <v>10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70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37059</v>
      </c>
      <c r="B5" s="29" t="n">
        <f aca="false">(Weather_Input!B5+Weather_Input!C5)/2</f>
        <v>76.5</v>
      </c>
      <c r="C5" s="46" t="n">
        <v>34000</v>
      </c>
      <c r="D5" s="46" t="n">
        <v>0</v>
      </c>
      <c r="E5" s="46" t="n">
        <v>1831</v>
      </c>
      <c r="F5" s="46" t="n">
        <v>7414</v>
      </c>
      <c r="G5" s="46" t="n">
        <v>25470</v>
      </c>
      <c r="H5" s="63" t="n">
        <f aca="false">SUM(D5:G5)</f>
        <v>34715</v>
      </c>
      <c r="I5" s="29" t="n">
        <v>1006</v>
      </c>
      <c r="J5" s="29" t="s">
        <v>0</v>
      </c>
      <c r="K5" s="29" t="n">
        <v>1298</v>
      </c>
      <c r="L5" s="29" t="n">
        <v>0</v>
      </c>
      <c r="M5" s="29" t="n">
        <v>7801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37060</v>
      </c>
      <c r="B6" s="51" t="n">
        <f aca="false">(Weather_Input!B6+Weather_Input!C6)/2</f>
        <v>81</v>
      </c>
      <c r="C6" s="46" t="n">
        <v>36000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37061</v>
      </c>
      <c r="B7" s="51" t="n">
        <f aca="false">(Weather_Input!B7+Weather_Input!C7)/2</f>
        <v>70.5</v>
      </c>
      <c r="C7" s="46" t="n">
        <v>38000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37062</v>
      </c>
      <c r="B8" s="51" t="n">
        <f aca="false">(Weather_Input!B8+Weather_Input!C8)/2</f>
        <v>64</v>
      </c>
      <c r="C8" s="46" t="n">
        <v>38000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37063</v>
      </c>
      <c r="B9" s="51" t="n">
        <f aca="false">(Weather_Input!B9+Weather_Input!C9)/2</f>
        <v>61</v>
      </c>
      <c r="C9" s="46" t="n">
        <v>38000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37064</v>
      </c>
      <c r="B10" s="51" t="n">
        <f aca="false">(Weather_Input!B10+Weather_Input!C10)/2</f>
        <v>62.5</v>
      </c>
      <c r="C10" s="46" t="n">
        <v>36000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M1" colorId="64" zoomScale="75" zoomScaleNormal="75" zoomScalePageLayoutView="100" workbookViewId="0">
      <selection pane="topLeft" activeCell="X7" activeCellId="0" sqref="X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132</v>
      </c>
      <c r="D3" s="69"/>
      <c r="E3" s="69"/>
      <c r="F3" s="69"/>
      <c r="G3" s="68"/>
      <c r="H3" s="67"/>
      <c r="I3" s="69" t="s">
        <v>0</v>
      </c>
      <c r="J3" s="69"/>
      <c r="K3" s="69"/>
      <c r="L3" s="69"/>
      <c r="M3" s="69"/>
      <c r="N3" s="69"/>
      <c r="O3" s="69"/>
      <c r="P3" s="70" t="s">
        <v>92</v>
      </c>
      <c r="Q3" s="70"/>
      <c r="R3" s="70"/>
      <c r="S3" s="70"/>
      <c r="T3" s="70"/>
      <c r="U3" s="70"/>
      <c r="V3" s="71" t="s">
        <v>0</v>
      </c>
      <c r="W3" s="71"/>
      <c r="X3" s="71"/>
      <c r="Y3" s="71"/>
      <c r="Z3" s="71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2"/>
      <c r="C4" s="73"/>
      <c r="D4" s="29"/>
      <c r="E4" s="29"/>
      <c r="F4" s="72"/>
      <c r="G4" s="72"/>
      <c r="H4" s="74" t="n">
        <v>1</v>
      </c>
      <c r="I4" s="36" t="s">
        <v>133</v>
      </c>
      <c r="J4" s="36" t="s">
        <v>134</v>
      </c>
      <c r="K4" s="36" t="s">
        <v>105</v>
      </c>
      <c r="L4" s="29"/>
      <c r="M4" s="36" t="s">
        <v>135</v>
      </c>
      <c r="N4" s="72"/>
      <c r="O4" s="75"/>
      <c r="P4" s="76"/>
      <c r="Q4" s="76"/>
      <c r="R4" s="29"/>
      <c r="S4" s="29"/>
      <c r="T4" s="29"/>
      <c r="U4" s="29"/>
      <c r="V4" s="77" t="s">
        <v>136</v>
      </c>
      <c r="W4" s="77"/>
      <c r="X4" s="77"/>
      <c r="Y4" s="75" t="s">
        <v>43</v>
      </c>
      <c r="Z4" s="75"/>
      <c r="AA4" s="75"/>
      <c r="AB4" s="75"/>
      <c r="AC4" s="37" t="s">
        <v>137</v>
      </c>
      <c r="AD4" s="37"/>
      <c r="AE4" s="37"/>
      <c r="AF4" s="30"/>
      <c r="AG4" s="36" t="s">
        <v>138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139</v>
      </c>
      <c r="C5" s="75"/>
      <c r="D5" s="29"/>
      <c r="E5" s="29"/>
      <c r="F5" s="79"/>
      <c r="G5" s="78" t="s">
        <v>0</v>
      </c>
      <c r="H5" s="80" t="s">
        <v>140</v>
      </c>
      <c r="I5" s="33" t="s">
        <v>141</v>
      </c>
      <c r="J5" s="81" t="s">
        <v>84</v>
      </c>
      <c r="K5" s="36" t="s">
        <v>142</v>
      </c>
      <c r="L5" s="29"/>
      <c r="M5" s="36" t="s">
        <v>143</v>
      </c>
      <c r="N5" s="72"/>
      <c r="O5" s="75" t="s">
        <v>43</v>
      </c>
      <c r="P5" s="36" t="s">
        <v>63</v>
      </c>
      <c r="Q5" s="36" t="s">
        <v>74</v>
      </c>
      <c r="R5" s="36" t="s">
        <v>74</v>
      </c>
      <c r="S5" s="36" t="s">
        <v>43</v>
      </c>
      <c r="T5" s="33" t="s">
        <v>67</v>
      </c>
      <c r="U5" s="82" t="s">
        <v>144</v>
      </c>
      <c r="V5" s="37" t="s">
        <v>145</v>
      </c>
      <c r="W5" s="37" t="s">
        <v>146</v>
      </c>
      <c r="X5" s="36" t="s">
        <v>147</v>
      </c>
      <c r="Y5" s="36" t="s">
        <v>148</v>
      </c>
      <c r="Z5" s="36" t="s">
        <v>148</v>
      </c>
      <c r="AA5" s="36" t="s">
        <v>148</v>
      </c>
      <c r="AB5" s="36" t="s">
        <v>148</v>
      </c>
      <c r="AC5" s="37" t="s">
        <v>148</v>
      </c>
      <c r="AD5" s="36" t="s">
        <v>148</v>
      </c>
      <c r="AE5" s="36" t="s">
        <v>148</v>
      </c>
      <c r="AF5" s="37" t="s">
        <v>148</v>
      </c>
      <c r="AG5" s="36" t="s">
        <v>148</v>
      </c>
      <c r="AH5" s="36" t="s">
        <v>148</v>
      </c>
      <c r="AI5" s="36" t="s">
        <v>148</v>
      </c>
      <c r="AJ5" s="29"/>
    </row>
    <row r="6" customFormat="false" ht="12.75" hidden="false" customHeight="false" outlineLevel="0" collapsed="false">
      <c r="A6" s="83"/>
      <c r="B6" s="84" t="s">
        <v>149</v>
      </c>
      <c r="C6" s="81" t="s">
        <v>85</v>
      </c>
      <c r="D6" s="81" t="s">
        <v>137</v>
      </c>
      <c r="E6" s="81" t="s">
        <v>138</v>
      </c>
      <c r="F6" s="85" t="s">
        <v>150</v>
      </c>
      <c r="G6" s="81" t="s">
        <v>151</v>
      </c>
      <c r="H6" s="86" t="s">
        <v>152</v>
      </c>
      <c r="I6" s="87" t="s">
        <v>153</v>
      </c>
      <c r="J6" s="81" t="s">
        <v>154</v>
      </c>
      <c r="K6" s="81" t="s">
        <v>155</v>
      </c>
      <c r="L6" s="81" t="s">
        <v>156</v>
      </c>
      <c r="M6" s="81" t="s">
        <v>86</v>
      </c>
      <c r="N6" s="81" t="s">
        <v>0</v>
      </c>
      <c r="O6" s="81" t="s">
        <v>157</v>
      </c>
      <c r="P6" s="81" t="s">
        <v>74</v>
      </c>
      <c r="Q6" s="81" t="s">
        <v>158</v>
      </c>
      <c r="R6" s="81" t="s">
        <v>159</v>
      </c>
      <c r="S6" s="81" t="s">
        <v>160</v>
      </c>
      <c r="T6" s="88" t="s">
        <v>161</v>
      </c>
      <c r="U6" s="87" t="s">
        <v>157</v>
      </c>
      <c r="V6" s="89" t="s">
        <v>162</v>
      </c>
      <c r="W6" s="89" t="s">
        <v>163</v>
      </c>
      <c r="X6" s="81" t="n">
        <v>9</v>
      </c>
      <c r="Y6" s="81" t="s">
        <v>43</v>
      </c>
      <c r="Z6" s="81" t="s">
        <v>85</v>
      </c>
      <c r="AA6" s="81" t="s">
        <v>137</v>
      </c>
      <c r="AB6" s="81" t="s">
        <v>138</v>
      </c>
      <c r="AC6" s="81" t="s">
        <v>85</v>
      </c>
      <c r="AD6" s="81" t="s">
        <v>43</v>
      </c>
      <c r="AE6" s="81" t="s">
        <v>137</v>
      </c>
      <c r="AF6" s="81" t="s">
        <v>85</v>
      </c>
      <c r="AG6" s="81" t="s">
        <v>43</v>
      </c>
      <c r="AH6" s="81" t="s">
        <v>137</v>
      </c>
      <c r="AI6" s="81" t="s">
        <v>138</v>
      </c>
      <c r="AJ6" s="29"/>
    </row>
    <row r="7" customFormat="false" ht="12.75" hidden="false" customHeight="false" outlineLevel="0" collapsed="false">
      <c r="A7" s="90" t="n">
        <f aca="false">Weather_Input!A5</f>
        <v>37059</v>
      </c>
      <c r="B7" s="91" t="n">
        <v>0</v>
      </c>
      <c r="C7" s="92" t="n">
        <v>200</v>
      </c>
      <c r="D7" s="93" t="n">
        <v>0</v>
      </c>
      <c r="E7" s="93" t="n">
        <v>0</v>
      </c>
      <c r="F7" s="91" t="n">
        <v>4000</v>
      </c>
      <c r="G7" s="91" t="n">
        <v>22698</v>
      </c>
      <c r="H7" s="94" t="n">
        <v>0</v>
      </c>
      <c r="I7" s="95" t="n">
        <v>0</v>
      </c>
      <c r="J7" s="95" t="n">
        <v>0</v>
      </c>
      <c r="K7" s="93" t="n">
        <v>0</v>
      </c>
      <c r="L7" s="95" t="n">
        <v>0</v>
      </c>
      <c r="M7" s="93" t="n">
        <v>0</v>
      </c>
      <c r="N7" s="93" t="n">
        <v>0</v>
      </c>
      <c r="O7" s="96" t="n">
        <v>2533</v>
      </c>
      <c r="P7" s="93" t="n">
        <v>174310</v>
      </c>
      <c r="Q7" s="50" t="n">
        <f aca="false">P7*0.015</f>
        <v>2614.65</v>
      </c>
      <c r="R7" s="93" t="n">
        <v>590</v>
      </c>
      <c r="S7" s="93" t="n">
        <v>0</v>
      </c>
      <c r="T7" s="93" t="n">
        <v>0</v>
      </c>
      <c r="U7" s="95" t="n">
        <v>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37059</v>
      </c>
    </row>
    <row r="8" customFormat="false" ht="12.75" hidden="false" customHeight="false" outlineLevel="0" collapsed="false">
      <c r="A8" s="90" t="n">
        <f aca="false">A7+1</f>
        <v>37060</v>
      </c>
      <c r="B8" s="91" t="n">
        <v>0</v>
      </c>
      <c r="C8" s="92" t="n">
        <v>200</v>
      </c>
      <c r="D8" s="93" t="n">
        <v>0</v>
      </c>
      <c r="E8" s="93" t="n">
        <v>0</v>
      </c>
      <c r="F8" s="91" t="n">
        <v>4000</v>
      </c>
      <c r="G8" s="91" t="n">
        <v>0</v>
      </c>
      <c r="H8" s="94" t="n">
        <v>58834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135000</v>
      </c>
      <c r="Q8" s="50" t="n">
        <f aca="false">P8*0.015</f>
        <v>2025</v>
      </c>
      <c r="R8" s="93" t="n">
        <v>500</v>
      </c>
      <c r="S8" s="93" t="n">
        <v>0</v>
      </c>
      <c r="T8" s="93" t="n">
        <v>0</v>
      </c>
      <c r="U8" s="95" t="n">
        <v>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37060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37061</v>
      </c>
      <c r="B9" s="91" t="n">
        <v>0</v>
      </c>
      <c r="C9" s="92" t="n">
        <v>200</v>
      </c>
      <c r="D9" s="93" t="n">
        <v>0</v>
      </c>
      <c r="E9" s="93" t="n">
        <v>0</v>
      </c>
      <c r="F9" s="91" t="n">
        <v>4000</v>
      </c>
      <c r="G9" s="91" t="n">
        <v>0</v>
      </c>
      <c r="H9" s="94" t="n">
        <v>18425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135000</v>
      </c>
      <c r="Q9" s="50" t="n">
        <f aca="false">P9*0.015</f>
        <v>2025</v>
      </c>
      <c r="R9" s="93" t="n">
        <v>500</v>
      </c>
      <c r="S9" s="93" t="n">
        <v>0</v>
      </c>
      <c r="T9" s="93" t="n">
        <v>0</v>
      </c>
      <c r="U9" s="95" t="n">
        <v>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37061</v>
      </c>
      <c r="AN9" s="95"/>
    </row>
    <row r="10" customFormat="false" ht="12.75" hidden="false" customHeight="false" outlineLevel="0" collapsed="false">
      <c r="A10" s="90" t="n">
        <f aca="false">A9+1</f>
        <v>37062</v>
      </c>
      <c r="B10" s="91" t="n">
        <v>0</v>
      </c>
      <c r="C10" s="92" t="n">
        <v>200</v>
      </c>
      <c r="D10" s="93" t="n">
        <v>0</v>
      </c>
      <c r="E10" s="93" t="n">
        <v>0</v>
      </c>
      <c r="F10" s="91" t="n">
        <v>4000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135000</v>
      </c>
      <c r="Q10" s="50" t="n">
        <f aca="false">P10*0.015</f>
        <v>2025</v>
      </c>
      <c r="R10" s="93" t="n">
        <v>500</v>
      </c>
      <c r="S10" s="93" t="n">
        <v>0</v>
      </c>
      <c r="T10" s="93" t="n">
        <v>0</v>
      </c>
      <c r="U10" s="95" t="n">
        <v>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37062</v>
      </c>
    </row>
    <row r="11" customFormat="false" ht="12.75" hidden="false" customHeight="false" outlineLevel="0" collapsed="false">
      <c r="A11" s="90" t="n">
        <f aca="false">A10+1</f>
        <v>37063</v>
      </c>
      <c r="B11" s="91" t="n">
        <v>0</v>
      </c>
      <c r="C11" s="92" t="n">
        <v>200</v>
      </c>
      <c r="D11" s="93" t="n">
        <v>0</v>
      </c>
      <c r="E11" s="93" t="n">
        <v>0</v>
      </c>
      <c r="F11" s="91" t="n">
        <v>4000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135000</v>
      </c>
      <c r="Q11" s="50" t="n">
        <f aca="false">P11*0.015</f>
        <v>2025</v>
      </c>
      <c r="R11" s="93" t="n">
        <v>500</v>
      </c>
      <c r="S11" s="93" t="n">
        <v>0</v>
      </c>
      <c r="T11" s="93" t="n">
        <v>0</v>
      </c>
      <c r="U11" s="95" t="n">
        <v>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37063</v>
      </c>
    </row>
    <row r="12" customFormat="false" ht="12.75" hidden="false" customHeight="false" outlineLevel="0" collapsed="false">
      <c r="A12" s="90" t="n">
        <f aca="false">A11+1</f>
        <v>37064</v>
      </c>
      <c r="B12" s="91" t="n">
        <v>0</v>
      </c>
      <c r="C12" s="92" t="n">
        <v>200</v>
      </c>
      <c r="D12" s="93" t="n">
        <v>0</v>
      </c>
      <c r="E12" s="93" t="n">
        <v>0</v>
      </c>
      <c r="F12" s="91" t="n">
        <v>4000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135000</v>
      </c>
      <c r="Q12" s="50" t="n">
        <f aca="false">P12*0.015</f>
        <v>2025</v>
      </c>
      <c r="R12" s="93" t="n">
        <v>500</v>
      </c>
      <c r="S12" s="93" t="n">
        <v>0</v>
      </c>
      <c r="T12" s="93" t="n">
        <v>0</v>
      </c>
      <c r="U12" s="95" t="n">
        <v>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37064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164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3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P7" activeCellId="0" sqref="P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19" min="18" style="29" width="8.77"/>
    <col collapsed="false" customWidth="false" hidden="false" outlineLevel="0" max="20" min="20" style="36" width="8.77"/>
    <col collapsed="false" customWidth="false" hidden="false" outlineLevel="0" max="23" min="21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3"/>
    </row>
    <row r="3" customFormat="false" ht="12.75" hidden="false" customHeight="true" outlineLevel="0" collapsed="false">
      <c r="C3" s="99" t="s">
        <v>165</v>
      </c>
      <c r="D3" s="99"/>
      <c r="E3" s="99"/>
      <c r="F3" s="99"/>
      <c r="G3" s="99"/>
      <c r="H3" s="70" t="s">
        <v>166</v>
      </c>
      <c r="I3" s="70"/>
      <c r="J3" s="70"/>
      <c r="K3" s="70"/>
      <c r="L3" s="70"/>
      <c r="M3" s="70" t="s">
        <v>167</v>
      </c>
      <c r="N3" s="70"/>
      <c r="O3" s="70"/>
      <c r="P3" s="70"/>
      <c r="Q3" s="70"/>
      <c r="R3" s="70"/>
      <c r="S3" s="70"/>
      <c r="T3" s="75"/>
      <c r="U3" s="100"/>
      <c r="V3" s="101"/>
      <c r="W3" s="101"/>
      <c r="X3" s="36"/>
      <c r="Y3" s="75"/>
      <c r="Z3" s="69" t="s">
        <v>168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2"/>
      <c r="K4" s="72"/>
      <c r="L4" s="75"/>
      <c r="M4" s="37"/>
      <c r="R4" s="102" t="s">
        <v>169</v>
      </c>
      <c r="S4" s="103"/>
      <c r="T4" s="80" t="s">
        <v>170</v>
      </c>
      <c r="V4" s="36" t="s">
        <v>171</v>
      </c>
      <c r="Y4" s="72"/>
      <c r="Z4" s="73"/>
      <c r="AE4" s="72"/>
    </row>
    <row r="5" customFormat="false" ht="12.75" hidden="false" customHeight="false" outlineLevel="0" collapsed="false">
      <c r="B5" s="36" t="s">
        <v>172</v>
      </c>
      <c r="C5" s="37"/>
      <c r="D5" s="36"/>
      <c r="E5" s="36"/>
      <c r="F5" s="36"/>
      <c r="G5" s="78"/>
      <c r="H5" s="36"/>
      <c r="I5" s="36"/>
      <c r="J5" s="36"/>
      <c r="K5" s="78" t="s">
        <v>62</v>
      </c>
      <c r="L5" s="75" t="s">
        <v>43</v>
      </c>
      <c r="M5" s="37" t="s">
        <v>63</v>
      </c>
      <c r="N5" s="37" t="s">
        <v>0</v>
      </c>
      <c r="O5" s="36" t="s">
        <v>0</v>
      </c>
      <c r="P5" s="36" t="s">
        <v>0</v>
      </c>
      <c r="Q5" s="36" t="s">
        <v>173</v>
      </c>
      <c r="R5" s="33" t="s">
        <v>174</v>
      </c>
      <c r="S5" s="104" t="s">
        <v>175</v>
      </c>
      <c r="T5" s="80" t="s">
        <v>83</v>
      </c>
      <c r="U5" s="33" t="s">
        <v>141</v>
      </c>
      <c r="V5" s="36" t="s">
        <v>176</v>
      </c>
      <c r="W5" s="36"/>
      <c r="X5" s="75" t="s">
        <v>84</v>
      </c>
      <c r="Y5" s="72"/>
      <c r="Z5" s="36"/>
      <c r="AA5" s="36"/>
      <c r="AB5" s="36"/>
      <c r="AE5" s="78" t="s">
        <v>177</v>
      </c>
    </row>
    <row r="6" customFormat="false" ht="12.75" hidden="false" customHeight="false" outlineLevel="0" collapsed="false">
      <c r="B6" s="81" t="s">
        <v>178</v>
      </c>
      <c r="C6" s="105" t="s">
        <v>85</v>
      </c>
      <c r="D6" s="81" t="s">
        <v>137</v>
      </c>
      <c r="E6" s="81" t="s">
        <v>138</v>
      </c>
      <c r="F6" s="81" t="s">
        <v>83</v>
      </c>
      <c r="G6" s="84" t="s">
        <v>150</v>
      </c>
      <c r="H6" s="81" t="s">
        <v>139</v>
      </c>
      <c r="I6" s="81" t="s">
        <v>94</v>
      </c>
      <c r="J6" s="81" t="s">
        <v>75</v>
      </c>
      <c r="K6" s="84" t="s">
        <v>95</v>
      </c>
      <c r="L6" s="81" t="s">
        <v>179</v>
      </c>
      <c r="M6" s="105" t="s">
        <v>74</v>
      </c>
      <c r="N6" s="81" t="s">
        <v>0</v>
      </c>
      <c r="O6" s="81" t="s">
        <v>0</v>
      </c>
      <c r="P6" s="81" t="s">
        <v>0</v>
      </c>
      <c r="Q6" s="106" t="s">
        <v>180</v>
      </c>
      <c r="R6" s="88" t="s">
        <v>157</v>
      </c>
      <c r="S6" s="88" t="s">
        <v>157</v>
      </c>
      <c r="T6" s="86" t="s">
        <v>181</v>
      </c>
      <c r="U6" s="88" t="s">
        <v>153</v>
      </c>
      <c r="V6" s="81" t="s">
        <v>182</v>
      </c>
      <c r="W6" s="81" t="s">
        <v>0</v>
      </c>
      <c r="X6" s="107" t="s">
        <v>183</v>
      </c>
      <c r="Y6" s="84" t="s">
        <v>84</v>
      </c>
      <c r="Z6" s="81" t="s">
        <v>85</v>
      </c>
      <c r="AA6" s="81" t="s">
        <v>137</v>
      </c>
      <c r="AB6" s="81" t="s">
        <v>138</v>
      </c>
      <c r="AC6" s="81" t="s">
        <v>43</v>
      </c>
      <c r="AD6" s="81" t="s">
        <v>150</v>
      </c>
      <c r="AE6" s="84" t="s">
        <v>184</v>
      </c>
    </row>
    <row r="7" customFormat="false" ht="12.75" hidden="false" customHeight="false" outlineLevel="0" collapsed="false">
      <c r="A7" s="90" t="n">
        <f aca="false">Weather_Input!A5</f>
        <v>37059</v>
      </c>
      <c r="B7" s="50" t="n">
        <v>0</v>
      </c>
      <c r="C7" s="108" t="n">
        <v>0</v>
      </c>
      <c r="D7" s="50" t="n">
        <v>0</v>
      </c>
      <c r="E7" s="50" t="n">
        <v>13000</v>
      </c>
      <c r="F7" s="50" t="n">
        <v>0</v>
      </c>
      <c r="G7" s="91" t="n">
        <v>0</v>
      </c>
      <c r="H7" s="93" t="n">
        <v>418</v>
      </c>
      <c r="I7" s="93" t="n">
        <v>19913</v>
      </c>
      <c r="J7" s="93" t="n">
        <v>0</v>
      </c>
      <c r="K7" s="109" t="n">
        <v>0</v>
      </c>
      <c r="L7" s="96" t="n">
        <v>0</v>
      </c>
      <c r="M7" s="110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9" t="n">
        <v>0</v>
      </c>
      <c r="T7" s="111" t="n">
        <v>20000</v>
      </c>
      <c r="U7" s="93" t="n">
        <v>0</v>
      </c>
      <c r="V7" s="96" t="n">
        <v>133673</v>
      </c>
      <c r="W7" s="96" t="n">
        <v>0</v>
      </c>
      <c r="X7" s="95" t="n">
        <v>18000</v>
      </c>
      <c r="Y7" s="109" t="n">
        <v>103400</v>
      </c>
      <c r="Z7" s="96" t="n">
        <v>200</v>
      </c>
      <c r="AA7" s="29" t="n">
        <v>0</v>
      </c>
      <c r="AB7" s="95" t="n">
        <v>211567</v>
      </c>
      <c r="AC7" s="95" t="n">
        <v>20668</v>
      </c>
      <c r="AD7" s="95" t="n">
        <v>4000</v>
      </c>
      <c r="AE7" s="109" t="n">
        <v>0</v>
      </c>
      <c r="AF7" s="112" t="n">
        <f aca="false">Weather_Input!A5</f>
        <v>37059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37060</v>
      </c>
      <c r="B8" s="50" t="n">
        <v>10820</v>
      </c>
      <c r="C8" s="108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9" t="n">
        <v>0</v>
      </c>
      <c r="L8" s="96" t="n">
        <v>0</v>
      </c>
      <c r="M8" s="110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9" t="n">
        <v>0</v>
      </c>
      <c r="T8" s="111" t="n">
        <v>20000</v>
      </c>
      <c r="U8" s="93" t="n">
        <v>0</v>
      </c>
      <c r="V8" s="96" t="n">
        <v>133160</v>
      </c>
      <c r="W8" s="96" t="n">
        <v>0</v>
      </c>
      <c r="X8" s="95" t="n">
        <v>0</v>
      </c>
      <c r="Y8" s="109" t="n">
        <v>103400</v>
      </c>
      <c r="Z8" s="96" t="n">
        <v>200</v>
      </c>
      <c r="AA8" s="29" t="n">
        <v>0</v>
      </c>
      <c r="AB8" s="95" t="n">
        <v>211567</v>
      </c>
      <c r="AC8" s="95" t="n">
        <v>20155</v>
      </c>
      <c r="AD8" s="95" t="n">
        <v>4000</v>
      </c>
      <c r="AE8" s="109" t="n">
        <v>0</v>
      </c>
      <c r="AF8" s="90" t="n">
        <f aca="false">AF7+1</f>
        <v>37060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37061</v>
      </c>
      <c r="B9" s="50" t="n">
        <v>0</v>
      </c>
      <c r="C9" s="108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9" t="n">
        <v>0</v>
      </c>
      <c r="L9" s="96" t="n">
        <v>0</v>
      </c>
      <c r="M9" s="110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9" t="n">
        <v>0</v>
      </c>
      <c r="T9" s="111" t="n">
        <v>34334</v>
      </c>
      <c r="U9" s="93" t="n">
        <v>0</v>
      </c>
      <c r="V9" s="96" t="n">
        <v>133160</v>
      </c>
      <c r="W9" s="96" t="n">
        <v>0</v>
      </c>
      <c r="X9" s="95" t="n">
        <v>0</v>
      </c>
      <c r="Y9" s="109" t="n">
        <v>103400</v>
      </c>
      <c r="Z9" s="96" t="n">
        <v>200</v>
      </c>
      <c r="AA9" s="29" t="n">
        <v>0</v>
      </c>
      <c r="AB9" s="95" t="n">
        <v>211567</v>
      </c>
      <c r="AC9" s="95" t="n">
        <v>20155</v>
      </c>
      <c r="AD9" s="95" t="n">
        <v>4000</v>
      </c>
      <c r="AE9" s="109" t="n">
        <v>0</v>
      </c>
      <c r="AF9" s="90" t="n">
        <f aca="false">AF8+1</f>
        <v>37061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37062</v>
      </c>
      <c r="B10" s="50" t="n">
        <v>0</v>
      </c>
      <c r="C10" s="108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9" t="n">
        <v>0</v>
      </c>
      <c r="L10" s="96" t="n">
        <v>0</v>
      </c>
      <c r="M10" s="110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9" t="n">
        <v>0</v>
      </c>
      <c r="T10" s="111" t="n">
        <v>0</v>
      </c>
      <c r="U10" s="93" t="n">
        <v>0</v>
      </c>
      <c r="V10" s="96" t="n">
        <v>133160</v>
      </c>
      <c r="W10" s="96" t="n">
        <v>0</v>
      </c>
      <c r="X10" s="95" t="n">
        <v>0</v>
      </c>
      <c r="Y10" s="109" t="n">
        <v>103400</v>
      </c>
      <c r="Z10" s="96" t="n">
        <v>200</v>
      </c>
      <c r="AA10" s="29" t="n">
        <v>0</v>
      </c>
      <c r="AB10" s="95" t="n">
        <v>211567</v>
      </c>
      <c r="AC10" s="95" t="n">
        <v>20155</v>
      </c>
      <c r="AD10" s="95" t="n">
        <v>4000</v>
      </c>
      <c r="AE10" s="109" t="n">
        <v>0</v>
      </c>
      <c r="AF10" s="90" t="n">
        <f aca="false">AF9+1</f>
        <v>37062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37063</v>
      </c>
      <c r="B11" s="50" t="n">
        <v>0</v>
      </c>
      <c r="C11" s="108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9" t="n">
        <v>0</v>
      </c>
      <c r="L11" s="96" t="n">
        <v>0</v>
      </c>
      <c r="M11" s="110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9" t="n">
        <v>0</v>
      </c>
      <c r="T11" s="111" t="n">
        <v>0</v>
      </c>
      <c r="U11" s="93" t="n">
        <v>0</v>
      </c>
      <c r="V11" s="96" t="n">
        <v>133160</v>
      </c>
      <c r="W11" s="96" t="n">
        <v>0</v>
      </c>
      <c r="X11" s="95" t="n">
        <v>0</v>
      </c>
      <c r="Y11" s="109" t="n">
        <v>103400</v>
      </c>
      <c r="Z11" s="96" t="n">
        <v>200</v>
      </c>
      <c r="AA11" s="29" t="n">
        <v>0</v>
      </c>
      <c r="AB11" s="95" t="n">
        <v>211567</v>
      </c>
      <c r="AC11" s="95" t="n">
        <v>20155</v>
      </c>
      <c r="AD11" s="95" t="n">
        <v>4000</v>
      </c>
      <c r="AE11" s="109" t="n">
        <v>0</v>
      </c>
      <c r="AF11" s="90" t="n">
        <f aca="false">AF10+1</f>
        <v>37063</v>
      </c>
    </row>
    <row r="12" customFormat="false" ht="12.75" hidden="false" customHeight="false" outlineLevel="0" collapsed="false">
      <c r="A12" s="90" t="n">
        <f aca="false">A11+1</f>
        <v>37064</v>
      </c>
      <c r="B12" s="50" t="n">
        <v>0</v>
      </c>
      <c r="C12" s="108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9" t="n">
        <v>0</v>
      </c>
      <c r="L12" s="96" t="n">
        <v>0</v>
      </c>
      <c r="M12" s="110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9" t="n">
        <v>0</v>
      </c>
      <c r="T12" s="111" t="n">
        <v>0</v>
      </c>
      <c r="U12" s="93" t="n">
        <v>0</v>
      </c>
      <c r="V12" s="96" t="n">
        <v>133160</v>
      </c>
      <c r="W12" s="96" t="n">
        <v>0</v>
      </c>
      <c r="X12" s="95" t="n">
        <v>0</v>
      </c>
      <c r="Y12" s="109" t="n">
        <v>103400</v>
      </c>
      <c r="Z12" s="96" t="n">
        <v>200</v>
      </c>
      <c r="AA12" s="29" t="n">
        <v>0</v>
      </c>
      <c r="AB12" s="95" t="n">
        <v>211567</v>
      </c>
      <c r="AC12" s="95" t="n">
        <v>20155</v>
      </c>
      <c r="AD12" s="95" t="n">
        <v>4000</v>
      </c>
      <c r="AE12" s="109" t="n">
        <v>0</v>
      </c>
      <c r="AF12" s="90" t="n">
        <f aca="false">AF11+1</f>
        <v>37064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13"/>
      <c r="U13" s="29" t="s">
        <v>0</v>
      </c>
      <c r="V13" s="18" t="s">
        <v>0</v>
      </c>
      <c r="W13" s="96" t="s">
        <v>0</v>
      </c>
      <c r="X13" s="95"/>
      <c r="Z13" s="73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S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7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185</v>
      </c>
      <c r="C3" s="70" t="s">
        <v>186</v>
      </c>
      <c r="D3" s="70"/>
      <c r="E3" s="70"/>
      <c r="F3" s="70"/>
      <c r="G3" s="71" t="s">
        <v>187</v>
      </c>
      <c r="H3" s="71"/>
      <c r="I3" s="71"/>
      <c r="J3" s="71"/>
      <c r="K3" s="71"/>
      <c r="L3" s="70" t="s">
        <v>92</v>
      </c>
      <c r="M3" s="70"/>
      <c r="N3" s="70"/>
      <c r="O3" s="70"/>
      <c r="P3" s="70"/>
      <c r="Q3" s="70"/>
      <c r="R3" s="70"/>
      <c r="S3" s="71" t="s">
        <v>188</v>
      </c>
      <c r="T3" s="71"/>
      <c r="U3" s="71"/>
      <c r="V3" s="71"/>
      <c r="W3" s="71"/>
      <c r="X3" s="71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189</v>
      </c>
      <c r="C4" s="29"/>
      <c r="D4" s="29"/>
      <c r="E4" s="29"/>
      <c r="F4" s="29"/>
      <c r="G4" s="37" t="s">
        <v>190</v>
      </c>
      <c r="H4" s="37"/>
      <c r="I4" s="36" t="s">
        <v>191</v>
      </c>
      <c r="J4" s="36"/>
      <c r="K4" s="75" t="s">
        <v>192</v>
      </c>
      <c r="L4" s="75" t="s">
        <v>192</v>
      </c>
      <c r="M4" s="37" t="s">
        <v>192</v>
      </c>
      <c r="N4" s="75" t="s">
        <v>124</v>
      </c>
      <c r="O4" s="29"/>
      <c r="P4" s="29"/>
      <c r="Q4" s="29"/>
      <c r="R4" s="36"/>
      <c r="S4" s="114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2"/>
      <c r="C5" s="29"/>
      <c r="D5" s="29"/>
      <c r="E5" s="29"/>
      <c r="F5" s="29"/>
      <c r="G5" s="37" t="s">
        <v>193</v>
      </c>
      <c r="H5" s="36" t="s">
        <v>43</v>
      </c>
      <c r="I5" s="115" t="n">
        <v>0.05</v>
      </c>
      <c r="J5" s="115" t="s">
        <v>85</v>
      </c>
      <c r="K5" s="75" t="s">
        <v>74</v>
      </c>
      <c r="L5" s="75" t="s">
        <v>74</v>
      </c>
      <c r="M5" s="75" t="s">
        <v>74</v>
      </c>
      <c r="N5" s="75" t="s">
        <v>74</v>
      </c>
      <c r="O5" s="36" t="s">
        <v>85</v>
      </c>
      <c r="P5" s="36" t="s">
        <v>43</v>
      </c>
      <c r="Q5" s="36" t="s">
        <v>43</v>
      </c>
      <c r="R5" s="115" t="s">
        <v>43</v>
      </c>
      <c r="S5" s="37" t="s">
        <v>85</v>
      </c>
      <c r="T5" s="37"/>
      <c r="U5" s="37"/>
      <c r="V5" s="36" t="s">
        <v>0</v>
      </c>
      <c r="W5" s="36" t="s">
        <v>137</v>
      </c>
      <c r="X5" s="36" t="s">
        <v>0</v>
      </c>
      <c r="Y5" s="29"/>
      <c r="Z5" s="36" t="s">
        <v>43</v>
      </c>
      <c r="AA5" s="36"/>
      <c r="AB5" s="36" t="s">
        <v>0</v>
      </c>
      <c r="AC5" s="28" t="s">
        <v>194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83</v>
      </c>
      <c r="C6" s="81" t="s">
        <v>43</v>
      </c>
      <c r="D6" s="81" t="s">
        <v>85</v>
      </c>
      <c r="E6" s="81" t="s">
        <v>137</v>
      </c>
      <c r="F6" s="81" t="s">
        <v>138</v>
      </c>
      <c r="G6" s="105" t="s">
        <v>195</v>
      </c>
      <c r="H6" s="81" t="s">
        <v>179</v>
      </c>
      <c r="I6" s="81" t="s">
        <v>196</v>
      </c>
      <c r="J6" s="81" t="s">
        <v>157</v>
      </c>
      <c r="K6" s="81" t="s">
        <v>197</v>
      </c>
      <c r="L6" s="81" t="s">
        <v>198</v>
      </c>
      <c r="M6" s="81" t="s">
        <v>199</v>
      </c>
      <c r="N6" s="81" t="s">
        <v>200</v>
      </c>
      <c r="O6" s="81" t="n">
        <v>50</v>
      </c>
      <c r="P6" s="81" t="s">
        <v>201</v>
      </c>
      <c r="Q6" s="81" t="s">
        <v>160</v>
      </c>
      <c r="R6" s="81" t="s">
        <v>202</v>
      </c>
      <c r="S6" s="105" t="s">
        <v>203</v>
      </c>
      <c r="T6" s="81" t="s">
        <v>204</v>
      </c>
      <c r="U6" s="81" t="s">
        <v>205</v>
      </c>
      <c r="V6" s="105" t="s">
        <v>203</v>
      </c>
      <c r="W6" s="81" t="s">
        <v>204</v>
      </c>
      <c r="X6" s="81" t="s">
        <v>205</v>
      </c>
      <c r="Y6" s="105" t="s">
        <v>203</v>
      </c>
      <c r="Z6" s="81" t="s">
        <v>204</v>
      </c>
      <c r="AA6" s="81" t="s">
        <v>205</v>
      </c>
      <c r="AB6" s="105" t="s">
        <v>203</v>
      </c>
      <c r="AC6" s="81" t="s">
        <v>204</v>
      </c>
      <c r="AD6" s="81" t="s">
        <v>205</v>
      </c>
      <c r="AE6" s="81" t="s">
        <v>206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6" t="n">
        <f aca="false">Weather_Input!A5</f>
        <v>37059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10" t="n">
        <v>0</v>
      </c>
      <c r="H7" s="93" t="n">
        <v>2000</v>
      </c>
      <c r="I7" s="92" t="n">
        <v>7197</v>
      </c>
      <c r="J7" s="92" t="n">
        <v>7801</v>
      </c>
      <c r="K7" s="108" t="n">
        <v>0</v>
      </c>
      <c r="L7" s="117" t="n">
        <v>0</v>
      </c>
      <c r="M7" s="117" t="n">
        <v>0</v>
      </c>
      <c r="N7" s="117" t="n">
        <v>0</v>
      </c>
      <c r="O7" s="117" t="n">
        <v>0</v>
      </c>
      <c r="P7" s="93" t="n">
        <v>0</v>
      </c>
      <c r="Q7" s="117" t="n">
        <v>0</v>
      </c>
      <c r="R7" s="93" t="n">
        <v>0</v>
      </c>
      <c r="S7" s="118" t="n">
        <v>0</v>
      </c>
      <c r="T7" s="93" t="n">
        <v>0</v>
      </c>
      <c r="U7" s="93" t="n">
        <v>0</v>
      </c>
      <c r="V7" s="118" t="n">
        <v>0</v>
      </c>
      <c r="W7" s="93" t="n">
        <v>0</v>
      </c>
      <c r="X7" s="93" t="n">
        <v>0</v>
      </c>
      <c r="Y7" s="118" t="n">
        <v>0</v>
      </c>
      <c r="Z7" s="93" t="n">
        <v>0</v>
      </c>
      <c r="AA7" s="93" t="n">
        <v>0</v>
      </c>
      <c r="AB7" s="110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37059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6" t="n">
        <f aca="false">Weather_Input!A6</f>
        <v>37060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10" t="n">
        <v>0</v>
      </c>
      <c r="H8" s="93" t="n">
        <v>2000</v>
      </c>
      <c r="I8" s="92" t="n">
        <v>7197</v>
      </c>
      <c r="J8" s="92" t="n">
        <v>5810</v>
      </c>
      <c r="K8" s="108" t="n">
        <v>0</v>
      </c>
      <c r="L8" s="117" t="n">
        <v>0</v>
      </c>
      <c r="M8" s="117" t="n">
        <v>0</v>
      </c>
      <c r="N8" s="117" t="n">
        <v>0</v>
      </c>
      <c r="O8" s="117" t="n">
        <v>0</v>
      </c>
      <c r="P8" s="93" t="n">
        <v>0</v>
      </c>
      <c r="Q8" s="117" t="n">
        <v>0</v>
      </c>
      <c r="R8" s="93" t="n">
        <v>0</v>
      </c>
      <c r="S8" s="118" t="n">
        <v>0</v>
      </c>
      <c r="T8" s="93" t="n">
        <v>0</v>
      </c>
      <c r="U8" s="93" t="n">
        <v>0</v>
      </c>
      <c r="V8" s="118" t="n">
        <v>0</v>
      </c>
      <c r="W8" s="93" t="n">
        <v>0</v>
      </c>
      <c r="X8" s="93" t="n">
        <v>0</v>
      </c>
      <c r="Y8" s="118" t="n">
        <v>0</v>
      </c>
      <c r="Z8" s="93" t="n">
        <v>0</v>
      </c>
      <c r="AA8" s="93" t="n">
        <v>0</v>
      </c>
      <c r="AB8" s="110" t="n">
        <v>0</v>
      </c>
      <c r="AC8" s="93" t="n">
        <v>0</v>
      </c>
      <c r="AD8" s="93" t="n">
        <v>0</v>
      </c>
      <c r="AE8" s="93" t="n">
        <v>0</v>
      </c>
      <c r="AF8" s="116" t="n">
        <f aca="false">AF7+1</f>
        <v>37060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37061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10" t="n">
        <v>0</v>
      </c>
      <c r="H9" s="93" t="n">
        <v>2000</v>
      </c>
      <c r="I9" s="92" t="n">
        <v>7197</v>
      </c>
      <c r="J9" s="92" t="n">
        <v>0</v>
      </c>
      <c r="K9" s="108" t="n">
        <v>0</v>
      </c>
      <c r="L9" s="117" t="n">
        <v>0</v>
      </c>
      <c r="M9" s="117" t="n">
        <v>0</v>
      </c>
      <c r="N9" s="117" t="n">
        <v>0</v>
      </c>
      <c r="O9" s="117" t="n">
        <v>0</v>
      </c>
      <c r="P9" s="93" t="n">
        <v>0</v>
      </c>
      <c r="Q9" s="117" t="n">
        <v>0</v>
      </c>
      <c r="R9" s="93" t="n">
        <v>0</v>
      </c>
      <c r="S9" s="118" t="n">
        <v>0</v>
      </c>
      <c r="T9" s="93" t="n">
        <v>0</v>
      </c>
      <c r="U9" s="93" t="n">
        <v>0</v>
      </c>
      <c r="V9" s="118" t="n">
        <v>0</v>
      </c>
      <c r="W9" s="93" t="n">
        <v>0</v>
      </c>
      <c r="X9" s="93" t="n">
        <v>0</v>
      </c>
      <c r="Y9" s="118" t="n">
        <v>0</v>
      </c>
      <c r="Z9" s="93" t="n">
        <v>0</v>
      </c>
      <c r="AA9" s="93" t="n">
        <v>0</v>
      </c>
      <c r="AB9" s="110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37061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37062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10" t="n">
        <v>0</v>
      </c>
      <c r="H10" s="93" t="n">
        <v>2000</v>
      </c>
      <c r="I10" s="92" t="n">
        <v>7197</v>
      </c>
      <c r="J10" s="92" t="n">
        <v>0</v>
      </c>
      <c r="K10" s="108" t="n">
        <v>0</v>
      </c>
      <c r="L10" s="117" t="n">
        <v>0</v>
      </c>
      <c r="M10" s="117" t="n">
        <v>0</v>
      </c>
      <c r="N10" s="117" t="n">
        <v>0</v>
      </c>
      <c r="O10" s="117" t="n">
        <v>0</v>
      </c>
      <c r="P10" s="93" t="n">
        <v>0</v>
      </c>
      <c r="Q10" s="117" t="n">
        <v>0</v>
      </c>
      <c r="R10" s="93" t="n">
        <v>0</v>
      </c>
      <c r="S10" s="118" t="n">
        <v>0</v>
      </c>
      <c r="T10" s="93" t="n">
        <v>0</v>
      </c>
      <c r="U10" s="93" t="n">
        <v>0</v>
      </c>
      <c r="V10" s="118" t="n">
        <v>0</v>
      </c>
      <c r="W10" s="93" t="n">
        <v>0</v>
      </c>
      <c r="X10" s="93" t="n">
        <v>0</v>
      </c>
      <c r="Y10" s="118" t="n">
        <v>0</v>
      </c>
      <c r="Z10" s="93" t="n">
        <v>0</v>
      </c>
      <c r="AA10" s="93" t="n">
        <v>0</v>
      </c>
      <c r="AB10" s="110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37062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37063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10" t="n">
        <v>0</v>
      </c>
      <c r="H11" s="93" t="n">
        <v>2000</v>
      </c>
      <c r="I11" s="92" t="n">
        <v>7197</v>
      </c>
      <c r="J11" s="92" t="n">
        <v>0</v>
      </c>
      <c r="K11" s="108" t="n">
        <v>0</v>
      </c>
      <c r="L11" s="117" t="n">
        <v>0</v>
      </c>
      <c r="M11" s="117" t="n">
        <v>0</v>
      </c>
      <c r="N11" s="117" t="n">
        <v>0</v>
      </c>
      <c r="O11" s="117" t="n">
        <v>0</v>
      </c>
      <c r="P11" s="93" t="n">
        <v>0</v>
      </c>
      <c r="Q11" s="117" t="n">
        <v>0</v>
      </c>
      <c r="R11" s="93" t="n">
        <v>0</v>
      </c>
      <c r="S11" s="118" t="n">
        <v>0</v>
      </c>
      <c r="T11" s="93" t="n">
        <v>0</v>
      </c>
      <c r="U11" s="93" t="n">
        <v>0</v>
      </c>
      <c r="V11" s="118" t="n">
        <v>0</v>
      </c>
      <c r="W11" s="93" t="n">
        <v>0</v>
      </c>
      <c r="X11" s="93" t="n">
        <v>0</v>
      </c>
      <c r="Y11" s="118" t="n">
        <v>0</v>
      </c>
      <c r="Z11" s="93" t="n">
        <v>0</v>
      </c>
      <c r="AA11" s="93" t="n">
        <v>0</v>
      </c>
      <c r="AB11" s="110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37063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37064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10" t="n">
        <v>0</v>
      </c>
      <c r="H12" s="93" t="n">
        <v>2000</v>
      </c>
      <c r="I12" s="92" t="n">
        <v>7197</v>
      </c>
      <c r="J12" s="92" t="n">
        <v>0</v>
      </c>
      <c r="K12" s="108" t="n">
        <v>0</v>
      </c>
      <c r="L12" s="117" t="n">
        <v>0</v>
      </c>
      <c r="M12" s="117" t="n">
        <v>0</v>
      </c>
      <c r="N12" s="117" t="n">
        <v>0</v>
      </c>
      <c r="O12" s="117" t="n">
        <v>0</v>
      </c>
      <c r="P12" s="93" t="n">
        <v>0</v>
      </c>
      <c r="Q12" s="117" t="n">
        <v>0</v>
      </c>
      <c r="R12" s="93" t="n">
        <v>0</v>
      </c>
      <c r="S12" s="118" t="n">
        <v>0</v>
      </c>
      <c r="T12" s="93" t="n">
        <v>0</v>
      </c>
      <c r="U12" s="93" t="n">
        <v>0</v>
      </c>
      <c r="V12" s="118" t="n">
        <v>0</v>
      </c>
      <c r="W12" s="93" t="n">
        <v>0</v>
      </c>
      <c r="X12" s="93" t="n">
        <v>0</v>
      </c>
      <c r="Y12" s="118" t="n">
        <v>0</v>
      </c>
      <c r="Z12" s="93" t="n">
        <v>0</v>
      </c>
      <c r="AA12" s="93" t="n">
        <v>0</v>
      </c>
      <c r="AB12" s="110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37064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8"/>
      <c r="T13" s="95"/>
      <c r="U13" s="95"/>
      <c r="V13" s="119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0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Q1" activeCellId="0" sqref="Q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20" t="s">
        <v>185</v>
      </c>
      <c r="C3" s="121" t="s">
        <v>207</v>
      </c>
      <c r="D3" s="121"/>
      <c r="E3" s="121"/>
      <c r="F3" s="121"/>
      <c r="G3" s="121"/>
      <c r="H3" s="70" t="s">
        <v>167</v>
      </c>
      <c r="I3" s="70"/>
      <c r="J3" s="70"/>
      <c r="K3" s="70"/>
      <c r="L3" s="70"/>
      <c r="M3" s="70"/>
      <c r="N3" s="70"/>
      <c r="O3" s="69" t="s">
        <v>208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20" t="s">
        <v>209</v>
      </c>
      <c r="C4" s="37"/>
      <c r="D4" s="36"/>
      <c r="E4" s="36"/>
      <c r="F4" s="75"/>
      <c r="G4" s="75" t="s">
        <v>191</v>
      </c>
      <c r="H4" s="37"/>
      <c r="M4" s="72"/>
      <c r="N4" s="73"/>
      <c r="P4" s="36" t="s">
        <v>210</v>
      </c>
      <c r="Q4" s="36"/>
      <c r="U4" s="72"/>
    </row>
    <row r="5" customFormat="false" ht="12.75" hidden="false" customHeight="false" outlineLevel="0" collapsed="false">
      <c r="C5" s="37" t="s">
        <v>43</v>
      </c>
      <c r="D5" s="36" t="s">
        <v>211</v>
      </c>
      <c r="E5" s="36" t="s">
        <v>85</v>
      </c>
      <c r="F5" s="75" t="s">
        <v>43</v>
      </c>
      <c r="G5" s="122" t="n">
        <v>0.05</v>
      </c>
      <c r="H5" s="37" t="s">
        <v>63</v>
      </c>
      <c r="I5" s="36" t="s">
        <v>43</v>
      </c>
      <c r="J5" s="36" t="s">
        <v>43</v>
      </c>
      <c r="K5" s="36" t="s">
        <v>43</v>
      </c>
      <c r="L5" s="36" t="s">
        <v>85</v>
      </c>
      <c r="M5" s="78" t="s">
        <v>85</v>
      </c>
      <c r="N5" s="36" t="s">
        <v>138</v>
      </c>
      <c r="O5" s="36"/>
      <c r="P5" s="36" t="s">
        <v>212</v>
      </c>
      <c r="Q5" s="36" t="s">
        <v>212</v>
      </c>
      <c r="R5" s="36" t="s">
        <v>43</v>
      </c>
      <c r="S5" s="29" t="s">
        <v>213</v>
      </c>
      <c r="U5" s="78"/>
    </row>
    <row r="6" customFormat="false" ht="12.75" hidden="false" customHeight="false" outlineLevel="0" collapsed="false">
      <c r="B6" s="81" t="s">
        <v>83</v>
      </c>
      <c r="C6" s="105" t="s">
        <v>193</v>
      </c>
      <c r="D6" s="81" t="s">
        <v>214</v>
      </c>
      <c r="E6" s="81" t="s">
        <v>157</v>
      </c>
      <c r="F6" s="81" t="s">
        <v>179</v>
      </c>
      <c r="G6" s="81" t="s">
        <v>196</v>
      </c>
      <c r="H6" s="105" t="s">
        <v>74</v>
      </c>
      <c r="I6" s="81" t="s">
        <v>201</v>
      </c>
      <c r="J6" s="81" t="s">
        <v>160</v>
      </c>
      <c r="K6" s="81" t="s">
        <v>202</v>
      </c>
      <c r="L6" s="81" t="s">
        <v>215</v>
      </c>
      <c r="M6" s="84" t="s">
        <v>216</v>
      </c>
      <c r="N6" s="81" t="s">
        <v>217</v>
      </c>
      <c r="O6" s="81" t="s">
        <v>137</v>
      </c>
      <c r="P6" s="81" t="s">
        <v>218</v>
      </c>
      <c r="Q6" s="81" t="s">
        <v>219</v>
      </c>
      <c r="R6" s="81" t="s">
        <v>212</v>
      </c>
      <c r="S6" s="88" t="s">
        <v>43</v>
      </c>
      <c r="T6" s="81" t="s">
        <v>138</v>
      </c>
      <c r="U6" s="84" t="s">
        <v>75</v>
      </c>
    </row>
    <row r="7" customFormat="false" ht="12.75" hidden="false" customHeight="false" outlineLevel="0" collapsed="false">
      <c r="A7" s="90" t="n">
        <f aca="false">Weather_Input!A5</f>
        <v>37059</v>
      </c>
      <c r="B7" s="50" t="n">
        <v>0</v>
      </c>
      <c r="C7" s="108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2266.2</v>
      </c>
      <c r="H7" s="108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8" t="n">
        <v>0</v>
      </c>
      <c r="O7" s="92" t="n">
        <v>0</v>
      </c>
      <c r="P7" s="50" t="n">
        <v>0</v>
      </c>
      <c r="Q7" s="50" t="n">
        <v>15215</v>
      </c>
      <c r="R7" s="50" t="n">
        <v>28599</v>
      </c>
      <c r="S7" s="50" t="n">
        <v>16725</v>
      </c>
      <c r="T7" s="50" t="n">
        <v>0</v>
      </c>
      <c r="U7" s="50" t="n">
        <v>0</v>
      </c>
      <c r="V7" s="90" t="n">
        <f aca="false">Weather_Input!A5</f>
        <v>37059</v>
      </c>
      <c r="W7" s="95"/>
      <c r="X7" s="95"/>
    </row>
    <row r="8" customFormat="false" ht="12.75" hidden="false" customHeight="false" outlineLevel="0" collapsed="false">
      <c r="A8" s="90" t="n">
        <f aca="false">A7+1</f>
        <v>37060</v>
      </c>
      <c r="B8" s="50" t="n">
        <v>0</v>
      </c>
      <c r="C8" s="108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2266.2</v>
      </c>
      <c r="H8" s="108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8" t="n">
        <v>0</v>
      </c>
      <c r="O8" s="92" t="n">
        <v>0</v>
      </c>
      <c r="P8" s="50" t="n">
        <v>0</v>
      </c>
      <c r="Q8" s="50" t="n">
        <v>15215</v>
      </c>
      <c r="R8" s="50" t="n">
        <v>28599</v>
      </c>
      <c r="S8" s="50" t="n">
        <v>16725</v>
      </c>
      <c r="T8" s="50" t="n">
        <v>0</v>
      </c>
      <c r="U8" s="50" t="n">
        <v>0</v>
      </c>
      <c r="V8" s="90" t="n">
        <f aca="false">V7+1</f>
        <v>37060</v>
      </c>
      <c r="W8" s="95"/>
      <c r="X8" s="95"/>
    </row>
    <row r="9" customFormat="false" ht="12.75" hidden="false" customHeight="false" outlineLevel="0" collapsed="false">
      <c r="A9" s="90" t="n">
        <f aca="false">A8+1</f>
        <v>37061</v>
      </c>
      <c r="B9" s="50" t="n">
        <v>0</v>
      </c>
      <c r="C9" s="108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2266.2</v>
      </c>
      <c r="H9" s="108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8" t="n">
        <v>0</v>
      </c>
      <c r="O9" s="92" t="n">
        <v>0</v>
      </c>
      <c r="P9" s="50" t="n">
        <v>0</v>
      </c>
      <c r="Q9" s="50" t="n">
        <v>15215</v>
      </c>
      <c r="R9" s="50" t="n">
        <v>28599</v>
      </c>
      <c r="S9" s="50" t="n">
        <v>16725</v>
      </c>
      <c r="T9" s="50" t="n">
        <v>0</v>
      </c>
      <c r="U9" s="50" t="n">
        <v>0</v>
      </c>
      <c r="V9" s="90" t="n">
        <f aca="false">V8+1</f>
        <v>37061</v>
      </c>
      <c r="W9" s="95"/>
      <c r="X9" s="95"/>
    </row>
    <row r="10" customFormat="false" ht="12.75" hidden="false" customHeight="false" outlineLevel="0" collapsed="false">
      <c r="A10" s="90" t="n">
        <f aca="false">A9+1</f>
        <v>37062</v>
      </c>
      <c r="B10" s="50" t="n">
        <v>0</v>
      </c>
      <c r="C10" s="108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2266.2</v>
      </c>
      <c r="H10" s="108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8" t="n">
        <v>0</v>
      </c>
      <c r="O10" s="92" t="n">
        <v>0</v>
      </c>
      <c r="P10" s="50" t="n">
        <v>0</v>
      </c>
      <c r="Q10" s="50" t="n">
        <v>15215</v>
      </c>
      <c r="R10" s="50" t="n">
        <v>28599</v>
      </c>
      <c r="S10" s="50" t="n">
        <v>16725</v>
      </c>
      <c r="T10" s="50" t="n">
        <v>0</v>
      </c>
      <c r="U10" s="50" t="n">
        <v>0</v>
      </c>
      <c r="V10" s="90" t="n">
        <f aca="false">V9+1</f>
        <v>37062</v>
      </c>
      <c r="W10" s="95"/>
      <c r="X10" s="95"/>
    </row>
    <row r="11" customFormat="false" ht="12.75" hidden="false" customHeight="false" outlineLevel="0" collapsed="false">
      <c r="A11" s="90" t="n">
        <f aca="false">A10+1</f>
        <v>37063</v>
      </c>
      <c r="B11" s="50" t="n">
        <v>0</v>
      </c>
      <c r="C11" s="108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2266.2</v>
      </c>
      <c r="H11" s="108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8" t="n">
        <v>0</v>
      </c>
      <c r="O11" s="92" t="n">
        <v>0</v>
      </c>
      <c r="P11" s="50" t="n">
        <v>0</v>
      </c>
      <c r="Q11" s="50" t="n">
        <v>15215</v>
      </c>
      <c r="R11" s="50" t="n">
        <v>28599</v>
      </c>
      <c r="S11" s="50" t="n">
        <v>16725</v>
      </c>
      <c r="T11" s="50" t="n">
        <v>0</v>
      </c>
      <c r="U11" s="50" t="n">
        <v>0</v>
      </c>
      <c r="V11" s="90" t="n">
        <f aca="false">V10+1</f>
        <v>37063</v>
      </c>
      <c r="W11" s="95"/>
      <c r="X11" s="95"/>
    </row>
    <row r="12" customFormat="false" ht="12.75" hidden="false" customHeight="false" outlineLevel="0" collapsed="false">
      <c r="A12" s="90" t="n">
        <f aca="false">A11+1</f>
        <v>37064</v>
      </c>
      <c r="B12" s="50" t="n">
        <v>0</v>
      </c>
      <c r="C12" s="108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2266.2</v>
      </c>
      <c r="H12" s="108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8" t="n">
        <v>0</v>
      </c>
      <c r="O12" s="92" t="n">
        <v>0</v>
      </c>
      <c r="P12" s="50" t="n">
        <v>0</v>
      </c>
      <c r="Q12" s="50" t="n">
        <v>15215</v>
      </c>
      <c r="R12" s="50" t="n">
        <v>28599</v>
      </c>
      <c r="S12" s="50" t="n">
        <v>16725</v>
      </c>
      <c r="T12" s="50" t="n">
        <v>0</v>
      </c>
      <c r="U12" s="50" t="n">
        <v>0</v>
      </c>
      <c r="V12" s="90" t="n">
        <f aca="false">V11+1</f>
        <v>37064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8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6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3" width="28.99"/>
    <col collapsed="false" customWidth="true" hidden="false" outlineLevel="0" max="2" min="2" style="123" width="11.99"/>
    <col collapsed="false" customWidth="true" hidden="false" outlineLevel="0" max="3" min="3" style="123" width="15.21"/>
    <col collapsed="false" customWidth="true" hidden="false" outlineLevel="0" max="8" min="4" style="123" width="8.65"/>
    <col collapsed="false" customWidth="true" hidden="false" outlineLevel="0" max="9" min="9" style="123" width="8.55"/>
    <col collapsed="false" customWidth="true" hidden="false" outlineLevel="0" max="10" min="10" style="123" width="20.32"/>
    <col collapsed="false" customWidth="true" hidden="false" outlineLevel="0" max="11" min="11" style="123" width="16.55"/>
    <col collapsed="false" customWidth="false" hidden="false" outlineLevel="0" max="12" min="12" style="123" width="9.77"/>
    <col collapsed="false" customWidth="true" hidden="false" outlineLevel="0" max="13" min="13" style="123" width="13.77"/>
    <col collapsed="false" customWidth="false" hidden="false" outlineLevel="0" max="257" min="14" style="123" width="9.77"/>
  </cols>
  <sheetData>
    <row r="1" customFormat="false" ht="18.95" hidden="false" customHeight="true" outlineLevel="0" collapsed="false">
      <c r="A1" s="124" t="s">
        <v>220</v>
      </c>
      <c r="B1" s="125"/>
      <c r="C1" s="126"/>
      <c r="D1" s="125"/>
      <c r="E1" s="125"/>
      <c r="F1" s="125" t="s">
        <v>0</v>
      </c>
      <c r="G1" s="125" t="s">
        <v>221</v>
      </c>
      <c r="H1" s="127" t="str">
        <f aca="false">D3</f>
        <v>SUN</v>
      </c>
      <c r="I1" s="128" t="n">
        <f aca="false">D4</f>
        <v>37059</v>
      </c>
    </row>
    <row r="2" customFormat="false" ht="18.95" hidden="false" customHeight="true" outlineLevel="0" collapsed="false">
      <c r="A2" s="129" t="s">
        <v>222</v>
      </c>
      <c r="B2" s="130"/>
      <c r="C2" s="130"/>
      <c r="D2" s="130"/>
      <c r="E2" s="130"/>
      <c r="F2" s="130"/>
      <c r="G2" s="130"/>
      <c r="H2" s="130"/>
      <c r="I2" s="131"/>
    </row>
    <row r="3" customFormat="false" ht="18.95" hidden="false" customHeight="true" outlineLevel="0" collapsed="false">
      <c r="A3" s="132"/>
      <c r="B3" s="130"/>
      <c r="C3" s="130"/>
      <c r="D3" s="133" t="str">
        <f aca="false">CHOOSE(WEEKDAY(D4),"SUN","MON","TUE","WED","THU","FRI","SAT")</f>
        <v>SUN</v>
      </c>
      <c r="E3" s="133" t="str">
        <f aca="false">CHOOSE(WEEKDAY(E4),"SUN","MON","TUE","WED","THU","FRI","SAT")</f>
        <v>MON</v>
      </c>
      <c r="F3" s="133" t="str">
        <f aca="false">CHOOSE(WEEKDAY(F4),"SUN","MON","TUE","WED","THU","FRI","SAT")</f>
        <v>TUE</v>
      </c>
      <c r="G3" s="133" t="str">
        <f aca="false">CHOOSE(WEEKDAY(G4),"SUN","MON","TUE","WED","THU","FRI","SAT")</f>
        <v>WED</v>
      </c>
      <c r="H3" s="133" t="str">
        <f aca="false">CHOOSE(WEEKDAY(H4),"SUN","MON","TUE","WED","THU","FRI","SAT")</f>
        <v>THU</v>
      </c>
      <c r="I3" s="134" t="str">
        <f aca="false">CHOOSE(WEEKDAY(I4),"SUN","MON","TUE","WED","THU","FRI","SAT")</f>
        <v>FRI</v>
      </c>
    </row>
    <row r="4" customFormat="false" ht="18.95" hidden="false" customHeight="true" outlineLevel="0" collapsed="false">
      <c r="A4" s="135"/>
      <c r="B4" s="136"/>
      <c r="C4" s="136"/>
      <c r="D4" s="137" t="n">
        <f aca="false">Weather_Input!A5</f>
        <v>37059</v>
      </c>
      <c r="E4" s="137" t="n">
        <f aca="false">Weather_Input!A6</f>
        <v>37060</v>
      </c>
      <c r="F4" s="137" t="n">
        <f aca="false">Weather_Input!A7</f>
        <v>37061</v>
      </c>
      <c r="G4" s="137" t="n">
        <f aca="false">Weather_Input!A8</f>
        <v>37062</v>
      </c>
      <c r="H4" s="137" t="n">
        <f aca="false">Weather_Input!A9</f>
        <v>37063</v>
      </c>
      <c r="I4" s="138" t="n">
        <f aca="false">Weather_Input!A10</f>
        <v>37064</v>
      </c>
    </row>
    <row r="5" customFormat="false" ht="18.95" hidden="false" customHeight="true" outlineLevel="0" collapsed="false">
      <c r="A5" s="139" t="s">
        <v>223</v>
      </c>
      <c r="B5" s="130"/>
      <c r="C5" s="130" t="s">
        <v>224</v>
      </c>
      <c r="D5" s="140" t="str">
        <f aca="false">TEXT(Weather_Input!B5,"0")&amp;"/"&amp;TEXT(Weather_Input!C5,"0")&amp;"/"&amp;TEXT((Weather_Input!B5+Weather_Input!C5)/2,"0")</f>
        <v>87/66/77</v>
      </c>
      <c r="E5" s="140" t="str">
        <f aca="false">TEXT(Weather_Input!B6,"0")&amp;"/"&amp;TEXT(Weather_Input!C6,"0")&amp;"/"&amp;TEXT((Weather_Input!B6+Weather_Input!C6)/2,"0")</f>
        <v>92/70/81</v>
      </c>
      <c r="F5" s="140" t="str">
        <f aca="false">TEXT(Weather_Input!B7,"0")&amp;"/"&amp;TEXT(Weather_Input!C7,"0")&amp;"/"&amp;TEXT((Weather_Input!B7+Weather_Input!C7)/2,"0")</f>
        <v>82/59/71</v>
      </c>
      <c r="G5" s="140" t="str">
        <f aca="false">TEXT(Weather_Input!B8,"0")&amp;"/"&amp;TEXT(Weather_Input!C8,"0")&amp;"/"&amp;TEXT((Weather_Input!B8+Weather_Input!C8)/2,"0")</f>
        <v>74/54/64</v>
      </c>
      <c r="H5" s="140" t="str">
        <f aca="false">TEXT(Weather_Input!B9,"0")&amp;"/"&amp;TEXT(Weather_Input!C9,"0")&amp;"/"&amp;TEXT((Weather_Input!B9+Weather_Input!C9)/2,"0")</f>
        <v>70/52/61</v>
      </c>
      <c r="I5" s="141" t="str">
        <f aca="false">TEXT(Weather_Input!B10,"0")&amp;"/"&amp;TEXT(Weather_Input!C10,"0")&amp;"/"&amp;TEXT((Weather_Input!B10+Weather_Input!C10)/2,"0")</f>
        <v>74/51/63</v>
      </c>
    </row>
    <row r="6" customFormat="false" ht="18.95" hidden="false" customHeight="true" outlineLevel="0" collapsed="false">
      <c r="A6" s="142" t="s">
        <v>225</v>
      </c>
      <c r="B6" s="130"/>
      <c r="C6" s="130"/>
      <c r="D6" s="140" t="n">
        <f aca="false">PGL_Deliveries!C5/1000</f>
        <v>185</v>
      </c>
      <c r="E6" s="140" t="n">
        <f aca="false">PGL_Deliveries!C6/1000</f>
        <v>205</v>
      </c>
      <c r="F6" s="140" t="n">
        <f aca="false">PGL_Deliveries!C7/1000</f>
        <v>215</v>
      </c>
      <c r="G6" s="140" t="n">
        <f aca="false">PGL_Deliveries!C8/1000</f>
        <v>225</v>
      </c>
      <c r="H6" s="140" t="n">
        <f aca="false">PGL_Deliveries!C9/1000</f>
        <v>225</v>
      </c>
      <c r="I6" s="141" t="n">
        <f aca="false">PGL_Deliveries!C10/1000</f>
        <v>210</v>
      </c>
    </row>
    <row r="7" customFormat="false" ht="18.95" hidden="false" customHeight="true" outlineLevel="0" collapsed="false">
      <c r="A7" s="142" t="s">
        <v>226</v>
      </c>
      <c r="B7" s="130" t="s">
        <v>0</v>
      </c>
      <c r="C7" s="130"/>
      <c r="D7" s="140" t="n">
        <f aca="false">PGL_Requirements!H7/1000*0.5</f>
        <v>0</v>
      </c>
      <c r="E7" s="140" t="n">
        <f aca="false">PGL_Requirements!H8/1000*0.5</f>
        <v>29.417</v>
      </c>
      <c r="F7" s="140" t="n">
        <f aca="false">PGL_Requirements!H9/1000*0.5</f>
        <v>9.2125</v>
      </c>
      <c r="G7" s="140" t="n">
        <f aca="false">PGL_Requirements!H10/1000*0.5</f>
        <v>0</v>
      </c>
      <c r="H7" s="140" t="n">
        <f aca="false">PGL_Requirements!H11/1000*0.5</f>
        <v>0</v>
      </c>
      <c r="I7" s="141" t="n">
        <f aca="false">PGL_Requirements!H12/1000*0.5</f>
        <v>0</v>
      </c>
    </row>
    <row r="8" customFormat="false" ht="18.95" hidden="false" customHeight="true" outlineLevel="0" collapsed="false">
      <c r="A8" s="142" t="s">
        <v>227</v>
      </c>
      <c r="B8" s="130"/>
      <c r="C8" s="130"/>
      <c r="D8" s="140" t="n">
        <f aca="false">PGL_Requirements!K7/1000</f>
        <v>0</v>
      </c>
      <c r="E8" s="140" t="n">
        <f aca="false">PGL_Requirements!K8/1000</f>
        <v>0</v>
      </c>
      <c r="F8" s="140" t="n">
        <f aca="false">PGL_Requirements!K9/1000</f>
        <v>0</v>
      </c>
      <c r="G8" s="140" t="n">
        <f aca="false">PGL_Requirements!K10/1000</f>
        <v>0</v>
      </c>
      <c r="H8" s="140" t="n">
        <f aca="false">PGL_Requirements!K11/1000</f>
        <v>0</v>
      </c>
      <c r="I8" s="141" t="n">
        <f aca="false">PGL_Requirements!K12/1000</f>
        <v>0</v>
      </c>
    </row>
    <row r="9" customFormat="false" ht="18.95" hidden="false" customHeight="true" outlineLevel="0" collapsed="false">
      <c r="A9" s="139" t="s">
        <v>228</v>
      </c>
      <c r="B9" s="130" t="s">
        <v>0</v>
      </c>
      <c r="C9" s="143"/>
      <c r="D9" s="140" t="n">
        <f aca="false">PGL_Requirements!L7/1000</f>
        <v>0</v>
      </c>
      <c r="E9" s="140" t="n">
        <f aca="false">PGL_Requirements!L8/1000</f>
        <v>0</v>
      </c>
      <c r="F9" s="140" t="n">
        <f aca="false">PGL_Requirements!L9/1000</f>
        <v>0</v>
      </c>
      <c r="G9" s="140" t="n">
        <f aca="false">PGL_Requirements!L10/1000</f>
        <v>0</v>
      </c>
      <c r="H9" s="140" t="n">
        <f aca="false">PGL_Requirements!L11/1000</f>
        <v>0</v>
      </c>
      <c r="I9" s="141" t="n">
        <f aca="false">PGL_Requirements!L12/1000</f>
        <v>0</v>
      </c>
    </row>
    <row r="10" customFormat="false" ht="18.95" hidden="false" customHeight="true" outlineLevel="0" collapsed="false">
      <c r="A10" s="139" t="s">
        <v>229</v>
      </c>
      <c r="B10" s="130"/>
      <c r="C10" s="143"/>
      <c r="D10" s="140" t="n">
        <f aca="false">PGL_Requirements!I7/1000</f>
        <v>0</v>
      </c>
      <c r="E10" s="140" t="n">
        <f aca="false">PGL_Requirements!I8/1000</f>
        <v>0</v>
      </c>
      <c r="F10" s="140" t="n">
        <f aca="false">PGL_Requirements!I9/1000</f>
        <v>0</v>
      </c>
      <c r="G10" s="140" t="n">
        <f aca="false">PGL_Requirements!I10/1000</f>
        <v>0</v>
      </c>
      <c r="H10" s="140" t="n">
        <f aca="false">PGL_Requirements!I11/1000</f>
        <v>0</v>
      </c>
      <c r="I10" s="141" t="n">
        <f aca="false">PGL_Requirements!I12/1000</f>
        <v>0</v>
      </c>
    </row>
    <row r="11" customFormat="false" ht="18.95" hidden="false" customHeight="true" outlineLevel="0" collapsed="false">
      <c r="A11" s="139" t="s">
        <v>230</v>
      </c>
      <c r="B11" s="130" t="s">
        <v>231</v>
      </c>
      <c r="C11" s="130" t="s">
        <v>74</v>
      </c>
      <c r="D11" s="140" t="n">
        <f aca="false">PGL_Requirements!P7/1000</f>
        <v>174.31</v>
      </c>
      <c r="E11" s="140" t="n">
        <f aca="false">PGL_Requirements!P8/1000</f>
        <v>135</v>
      </c>
      <c r="F11" s="140" t="n">
        <f aca="false">PGL_Requirements!P9/1000</f>
        <v>135</v>
      </c>
      <c r="G11" s="140" t="n">
        <f aca="false">PGL_Requirements!P10/1000</f>
        <v>135</v>
      </c>
      <c r="H11" s="140" t="n">
        <f aca="false">PGL_Requirements!P11/1000</f>
        <v>135</v>
      </c>
      <c r="I11" s="141" t="n">
        <f aca="false">PGL_Requirements!P12/1000</f>
        <v>135</v>
      </c>
    </row>
    <row r="12" customFormat="false" ht="18.95" hidden="false" customHeight="true" outlineLevel="0" collapsed="false">
      <c r="A12" s="139"/>
      <c r="B12" s="130"/>
      <c r="C12" s="130" t="s">
        <v>158</v>
      </c>
      <c r="D12" s="140" t="n">
        <f aca="false">PGL_Requirements!Q7/1000</f>
        <v>2.61465</v>
      </c>
      <c r="E12" s="140" t="n">
        <f aca="false">PGL_Requirements!Q8/1000</f>
        <v>2.025</v>
      </c>
      <c r="F12" s="140" t="n">
        <f aca="false">PGL_Requirements!Q9/1000</f>
        <v>2.025</v>
      </c>
      <c r="G12" s="140" t="n">
        <f aca="false">PGL_Requirements!Q10/1000</f>
        <v>2.025</v>
      </c>
      <c r="H12" s="140" t="n">
        <f aca="false">PGL_Requirements!Q11/1000</f>
        <v>2.025</v>
      </c>
      <c r="I12" s="141" t="n">
        <f aca="false">PGL_Requirements!Q12/1000</f>
        <v>2.025</v>
      </c>
    </row>
    <row r="13" customFormat="false" ht="18.95" hidden="false" customHeight="true" outlineLevel="0" collapsed="false">
      <c r="A13" s="139"/>
      <c r="C13" s="130" t="s">
        <v>159</v>
      </c>
      <c r="D13" s="140" t="n">
        <f aca="false">PGL_Requirements!R7/1000</f>
        <v>0.59</v>
      </c>
      <c r="E13" s="140" t="n">
        <f aca="false">PGL_Requirements!R8/1000</f>
        <v>0.5</v>
      </c>
      <c r="F13" s="140" t="n">
        <f aca="false">PGL_Requirements!R9/1000</f>
        <v>0.5</v>
      </c>
      <c r="G13" s="140" t="n">
        <f aca="false">PGL_Requirements!R10/1000</f>
        <v>0.5</v>
      </c>
      <c r="H13" s="140" t="n">
        <f aca="false">PGL_Requirements!R11/1000</f>
        <v>0.5</v>
      </c>
      <c r="I13" s="141" t="n">
        <f aca="false">PGL_Requirements!R12/1000</f>
        <v>0.5</v>
      </c>
    </row>
    <row r="14" customFormat="false" ht="18.95" hidden="false" customHeight="true" outlineLevel="0" collapsed="false">
      <c r="A14" s="139"/>
      <c r="C14" s="130" t="s">
        <v>232</v>
      </c>
      <c r="D14" s="140" t="n">
        <f aca="false">PGL_Requirements!B7/1000</f>
        <v>0</v>
      </c>
      <c r="E14" s="140" t="n">
        <f aca="false">PGL_Requirements!B8/1000</f>
        <v>0</v>
      </c>
      <c r="F14" s="140" t="n">
        <f aca="false">PGL_Requirements!B9/1000</f>
        <v>0</v>
      </c>
      <c r="G14" s="140" t="n">
        <f aca="false">PGL_Requirements!B10/1000</f>
        <v>0</v>
      </c>
      <c r="H14" s="140" t="n">
        <f aca="false">PGL_Requirements!B11/1000</f>
        <v>0</v>
      </c>
      <c r="I14" s="141" t="n">
        <f aca="false">PGL_Requirements!B12/1000</f>
        <v>0</v>
      </c>
      <c r="IV14" s="140" t="s">
        <v>0</v>
      </c>
    </row>
    <row r="15" customFormat="false" ht="18.95" hidden="false" customHeight="true" outlineLevel="0" collapsed="false">
      <c r="A15" s="139"/>
      <c r="B15" s="130" t="s">
        <v>233</v>
      </c>
      <c r="C15" s="130" t="s">
        <v>234</v>
      </c>
      <c r="D15" s="140" t="n">
        <f aca="false">PGL_Requirements!U7/1000</f>
        <v>0</v>
      </c>
      <c r="E15" s="140" t="n">
        <f aca="false">PGL_Requirements!U8/1000</f>
        <v>0</v>
      </c>
      <c r="F15" s="140" t="n">
        <f aca="false">PGL_Requirements!U9/1000</f>
        <v>0</v>
      </c>
      <c r="G15" s="140" t="n">
        <f aca="false">PGL_Requirements!U10/1000</f>
        <v>0</v>
      </c>
      <c r="H15" s="140" t="n">
        <f aca="false">PGL_Requirements!U11/1000</f>
        <v>0</v>
      </c>
      <c r="I15" s="141" t="n">
        <f aca="false">PGL_Requirements!U12/1000</f>
        <v>0</v>
      </c>
    </row>
    <row r="16" customFormat="false" ht="18.95" hidden="false" customHeight="true" outlineLevel="0" collapsed="false">
      <c r="A16" s="139"/>
      <c r="B16" s="130" t="s">
        <v>235</v>
      </c>
      <c r="C16" s="130" t="s">
        <v>157</v>
      </c>
      <c r="D16" s="140" t="n">
        <f aca="false">PGL_Requirements!O7/1000</f>
        <v>2.533</v>
      </c>
      <c r="E16" s="140" t="n">
        <f aca="false">PGL_Requirements!O8/1000</f>
        <v>0</v>
      </c>
      <c r="F16" s="140" t="n">
        <f aca="false">PGL_Requirements!O9/1000</f>
        <v>0</v>
      </c>
      <c r="G16" s="140" t="n">
        <f aca="false">PGL_Requirements!O10/1000</f>
        <v>0</v>
      </c>
      <c r="H16" s="140" t="n">
        <f aca="false">PGL_Requirements!O11/1000</f>
        <v>0</v>
      </c>
      <c r="I16" s="141" t="n">
        <f aca="false">PGL_Requirements!O12/1000</f>
        <v>0</v>
      </c>
    </row>
    <row r="17" customFormat="false" ht="18.95" hidden="false" customHeight="true" outlineLevel="0" collapsed="false">
      <c r="A17" s="139"/>
      <c r="B17" s="144" t="s">
        <v>236</v>
      </c>
      <c r="C17" s="144" t="s">
        <v>204</v>
      </c>
      <c r="D17" s="140" t="n">
        <f aca="false">NSG_Supplies!H7/1000</f>
        <v>0</v>
      </c>
      <c r="E17" s="140" t="n">
        <f aca="false">NSG_Supplies!H8/1000</f>
        <v>0</v>
      </c>
      <c r="F17" s="140" t="n">
        <f aca="false">NSG_Supplies!H9/1000</f>
        <v>0</v>
      </c>
      <c r="G17" s="140" t="n">
        <f aca="false">NSG_Supplies!H10/1000</f>
        <v>0</v>
      </c>
      <c r="H17" s="140" t="n">
        <f aca="false">NSG_Supplies!H11/1000</f>
        <v>0</v>
      </c>
      <c r="I17" s="141" t="n">
        <f aca="false">NSG_Supplies!H12/1000</f>
        <v>0</v>
      </c>
      <c r="J17" s="145"/>
    </row>
    <row r="18" customFormat="false" ht="18.95" hidden="false" customHeight="true" outlineLevel="0" collapsed="false">
      <c r="A18" s="139" t="s">
        <v>237</v>
      </c>
      <c r="B18" s="144"/>
      <c r="C18" s="144"/>
      <c r="D18" s="140" t="n">
        <f aca="false">PGL_Requirements!M7/1000</f>
        <v>0</v>
      </c>
      <c r="E18" s="140" t="n">
        <f aca="false">PGL_Requirements!M8/1000</f>
        <v>0</v>
      </c>
      <c r="F18" s="140" t="n">
        <f aca="false">PGL_Requirements!M9/1000</f>
        <v>0</v>
      </c>
      <c r="G18" s="140" t="n">
        <f aca="false">PGL_Requirements!M10/1000</f>
        <v>0</v>
      </c>
      <c r="H18" s="140" t="n">
        <f aca="false">PGL_Requirements!M11/1000</f>
        <v>0</v>
      </c>
      <c r="I18" s="141" t="n">
        <f aca="false">PGL_Requirements!M12/1000</f>
        <v>0</v>
      </c>
      <c r="J18" s="145"/>
    </row>
    <row r="19" customFormat="false" ht="18.95" hidden="false" customHeight="true" outlineLevel="0" collapsed="false">
      <c r="A19" s="142" t="s">
        <v>238</v>
      </c>
      <c r="B19" s="130"/>
      <c r="C19" s="130"/>
      <c r="D19" s="140" t="n">
        <f aca="false">PGL_Requirements!G7/1000</f>
        <v>22.698</v>
      </c>
      <c r="E19" s="140" t="n">
        <f aca="false">PGL_Requirements!G8/1000</f>
        <v>0</v>
      </c>
      <c r="F19" s="140" t="n">
        <f aca="false">PGL_Requirements!G9/1000</f>
        <v>0</v>
      </c>
      <c r="G19" s="140" t="n">
        <f aca="false">PGL_Requirements!G10/1000</f>
        <v>0</v>
      </c>
      <c r="H19" s="140" t="n">
        <f aca="false">PGL_Requirements!G11/1000</f>
        <v>0</v>
      </c>
      <c r="I19" s="141" t="n">
        <f aca="false">PGL_Requirements!G12/1000</f>
        <v>0</v>
      </c>
    </row>
    <row r="20" customFormat="false" ht="18.95" hidden="false" customHeight="true" outlineLevel="0" collapsed="false">
      <c r="A20" s="139" t="s">
        <v>239</v>
      </c>
      <c r="B20" s="130" t="s">
        <v>240</v>
      </c>
      <c r="C20" s="130"/>
      <c r="D20" s="140" t="n">
        <f aca="false">PGL_Requirements!J7/1000</f>
        <v>0</v>
      </c>
      <c r="E20" s="140" t="n">
        <f aca="false">PGL_Requirements!J8/1000</f>
        <v>0</v>
      </c>
      <c r="F20" s="140" t="n">
        <f aca="false">PGL_Requirements!J9/1000</f>
        <v>0</v>
      </c>
      <c r="G20" s="140" t="n">
        <f aca="false">PGL_Requirements!J10/1000</f>
        <v>0</v>
      </c>
      <c r="H20" s="140" t="n">
        <f aca="false">PGL_Requirements!J11/1000</f>
        <v>0</v>
      </c>
      <c r="I20" s="141" t="n">
        <f aca="false">PGL_Requirements!J12/1000</f>
        <v>0</v>
      </c>
    </row>
    <row r="21" customFormat="false" ht="18.95" hidden="false" customHeight="true" outlineLevel="0" collapsed="false">
      <c r="A21" s="139"/>
      <c r="B21" s="130" t="s">
        <v>85</v>
      </c>
      <c r="C21" s="130"/>
      <c r="D21" s="140" t="n">
        <f aca="false">PGL_Requirements!C7/1000</f>
        <v>0.2</v>
      </c>
      <c r="E21" s="140" t="n">
        <f aca="false">PGL_Requirements!C8/1000</f>
        <v>0.2</v>
      </c>
      <c r="F21" s="140" t="n">
        <f aca="false">PGL_Requirements!C9/1000</f>
        <v>0.2</v>
      </c>
      <c r="G21" s="140" t="n">
        <f aca="false">PGL_Requirements!C10/1000</f>
        <v>0.2</v>
      </c>
      <c r="H21" s="140" t="n">
        <f aca="false">PGL_Requirements!C11/1000</f>
        <v>0.2</v>
      </c>
      <c r="I21" s="141" t="n">
        <f aca="false">PGL_Requirements!C12/1000</f>
        <v>0.2</v>
      </c>
    </row>
    <row r="22" customFormat="false" ht="18.95" hidden="false" customHeight="true" outlineLevel="0" collapsed="false">
      <c r="A22" s="139"/>
      <c r="B22" s="130" t="s">
        <v>137</v>
      </c>
      <c r="C22" s="130"/>
      <c r="D22" s="140" t="n">
        <f aca="false">PGL_Requirements!D7/1000</f>
        <v>0</v>
      </c>
      <c r="E22" s="140" t="n">
        <f aca="false">PGL_Requirements!D8/1000</f>
        <v>0</v>
      </c>
      <c r="F22" s="140" t="n">
        <f aca="false">PGL_Requirements!D9/1000</f>
        <v>0</v>
      </c>
      <c r="G22" s="140" t="n">
        <f aca="false">PGL_Requirements!D10/1000</f>
        <v>0</v>
      </c>
      <c r="H22" s="140" t="n">
        <f aca="false">PGL_Requirements!D11/1000</f>
        <v>0</v>
      </c>
      <c r="I22" s="141" t="n">
        <f aca="false">PGL_Requirements!D12/1000</f>
        <v>0</v>
      </c>
    </row>
    <row r="23" customFormat="false" ht="18.95" hidden="false" customHeight="true" outlineLevel="0" collapsed="false">
      <c r="A23" s="139"/>
      <c r="B23" s="130" t="s">
        <v>138</v>
      </c>
      <c r="C23" s="130"/>
      <c r="D23" s="140" t="n">
        <f aca="false">PGL_Requirements!E7/1000</f>
        <v>0</v>
      </c>
      <c r="E23" s="140" t="n">
        <f aca="false">PGL_Requirements!E8/1000</f>
        <v>0</v>
      </c>
      <c r="F23" s="140" t="n">
        <f aca="false">PGL_Requirements!E9/1000</f>
        <v>0</v>
      </c>
      <c r="G23" s="140" t="n">
        <f aca="false">PGL_Requirements!E10/1000</f>
        <v>0</v>
      </c>
      <c r="H23" s="140" t="n">
        <f aca="false">PGL_Requirements!E11/1000</f>
        <v>0</v>
      </c>
      <c r="I23" s="141" t="n">
        <f aca="false">PGL_Requirements!E12/1000</f>
        <v>0</v>
      </c>
    </row>
    <row r="24" customFormat="false" ht="18.95" hidden="false" customHeight="true" outlineLevel="0" collapsed="false">
      <c r="A24" s="139"/>
      <c r="B24" s="130" t="s">
        <v>150</v>
      </c>
      <c r="C24" s="130"/>
      <c r="D24" s="146" t="n">
        <f aca="false">PGL_Requirements!F7/1000</f>
        <v>4</v>
      </c>
      <c r="E24" s="146" t="n">
        <f aca="false">PGL_Requirements!F8/1000</f>
        <v>4</v>
      </c>
      <c r="F24" s="146" t="n">
        <f aca="false">PGL_Requirements!F9/1000</f>
        <v>4</v>
      </c>
      <c r="G24" s="146" t="n">
        <f aca="false">PGL_Requirements!F10/1000</f>
        <v>4</v>
      </c>
      <c r="H24" s="146" t="n">
        <f aca="false">PGL_Requirements!F11/1000</f>
        <v>4</v>
      </c>
      <c r="I24" s="147" t="n">
        <f aca="false">PGL_Requirements!F12/1000</f>
        <v>4</v>
      </c>
    </row>
    <row r="25" customFormat="false" ht="18.95" hidden="false" customHeight="true" outlineLevel="0" collapsed="false">
      <c r="A25" s="148" t="s">
        <v>241</v>
      </c>
      <c r="B25" s="149"/>
      <c r="C25" s="149"/>
      <c r="D25" s="150" t="n">
        <f aca="false">SUM(D6:D24)</f>
        <v>391.94565</v>
      </c>
      <c r="E25" s="150" t="n">
        <f aca="false">SUM(E6:E24)</f>
        <v>376.142</v>
      </c>
      <c r="F25" s="150" t="n">
        <f aca="false">SUM(F6:F24)</f>
        <v>365.9375</v>
      </c>
      <c r="G25" s="150" t="n">
        <f aca="false">SUM(G6:G24)</f>
        <v>366.725</v>
      </c>
      <c r="H25" s="150" t="n">
        <f aca="false">SUM(H6:H24)</f>
        <v>366.725</v>
      </c>
      <c r="I25" s="151" t="n">
        <f aca="false">SUM(I6:I24)</f>
        <v>351.725</v>
      </c>
    </row>
    <row r="26" customFormat="false" ht="18.95" hidden="false" customHeight="true" outlineLevel="0" collapsed="false">
      <c r="A26" s="152"/>
      <c r="B26" s="130"/>
      <c r="C26" s="130"/>
      <c r="D26" s="153"/>
      <c r="E26" s="154"/>
      <c r="F26" s="154"/>
      <c r="G26" s="154"/>
      <c r="H26" s="154"/>
      <c r="I26" s="155"/>
    </row>
    <row r="27" customFormat="false" ht="18.95" hidden="false" customHeight="true" outlineLevel="0" collapsed="false">
      <c r="A27" s="156" t="s">
        <v>242</v>
      </c>
      <c r="B27" s="157"/>
      <c r="C27" s="157"/>
      <c r="D27" s="158"/>
      <c r="E27" s="159"/>
      <c r="F27" s="159"/>
      <c r="G27" s="159"/>
      <c r="H27" s="159"/>
      <c r="I27" s="160"/>
    </row>
    <row r="28" customFormat="false" ht="18.95" hidden="false" customHeight="true" outlineLevel="0" collapsed="false">
      <c r="A28" s="139" t="s">
        <v>243</v>
      </c>
      <c r="B28" s="130" t="s">
        <v>231</v>
      </c>
      <c r="C28" s="130" t="s">
        <v>74</v>
      </c>
      <c r="D28" s="140" t="n">
        <f aca="false">PGL_Supplies!M7/1000</f>
        <v>0</v>
      </c>
      <c r="E28" s="140" t="n">
        <f aca="false">PGL_Supplies!M8/1000</f>
        <v>0</v>
      </c>
      <c r="F28" s="140" t="n">
        <f aca="false">PGL_Supplies!M9/1000</f>
        <v>0</v>
      </c>
      <c r="G28" s="140" t="n">
        <f aca="false">PGL_Supplies!M10/1000</f>
        <v>0</v>
      </c>
      <c r="H28" s="140" t="n">
        <f aca="false">PGL_Supplies!M11/1000</f>
        <v>0</v>
      </c>
      <c r="I28" s="141" t="n">
        <f aca="false">PGL_Supplies!M12/1000</f>
        <v>0</v>
      </c>
    </row>
    <row r="29" customFormat="false" ht="18.95" hidden="false" customHeight="true" outlineLevel="0" collapsed="false">
      <c r="A29" s="139"/>
      <c r="B29" s="130"/>
      <c r="C29" s="130" t="s">
        <v>139</v>
      </c>
      <c r="D29" s="140" t="n">
        <f aca="false">PGL_Supplies!H7/1000</f>
        <v>0.418</v>
      </c>
      <c r="E29" s="140" t="n">
        <f aca="false">PGL_Supplies!H8/1000</f>
        <v>1</v>
      </c>
      <c r="F29" s="140" t="n">
        <f aca="false">PGL_Supplies!H9/1000</f>
        <v>1</v>
      </c>
      <c r="G29" s="140" t="n">
        <f aca="false">PGL_Supplies!H10/1000</f>
        <v>1</v>
      </c>
      <c r="H29" s="140" t="n">
        <f aca="false">PGL_Supplies!H11/1000</f>
        <v>1</v>
      </c>
      <c r="I29" s="141" t="n">
        <f aca="false">PGL_Supplies!H12/1000</f>
        <v>1</v>
      </c>
    </row>
    <row r="30" customFormat="false" ht="18.95" hidden="false" customHeight="true" outlineLevel="0" collapsed="false">
      <c r="A30" s="139"/>
      <c r="B30" s="130"/>
      <c r="C30" s="130" t="s">
        <v>75</v>
      </c>
      <c r="D30" s="140" t="n">
        <f aca="false">PGL_Supplies!J7/1000</f>
        <v>0</v>
      </c>
      <c r="E30" s="140" t="n">
        <f aca="false">PGL_Supplies!J8/1000</f>
        <v>0</v>
      </c>
      <c r="F30" s="140" t="n">
        <f aca="false">PGL_Supplies!J9/1000</f>
        <v>0</v>
      </c>
      <c r="G30" s="140" t="n">
        <f aca="false">PGL_Supplies!J10/1000</f>
        <v>0</v>
      </c>
      <c r="H30" s="140" t="n">
        <f aca="false">PGL_Supplies!J11/1000</f>
        <v>0</v>
      </c>
      <c r="I30" s="141" t="n">
        <f aca="false">PGL_Supplies!J12/1000</f>
        <v>0</v>
      </c>
    </row>
    <row r="31" customFormat="false" ht="18.95" hidden="false" customHeight="true" outlineLevel="0" collapsed="false">
      <c r="A31" s="139"/>
      <c r="B31" s="130" t="s">
        <v>233</v>
      </c>
      <c r="C31" s="130" t="s">
        <v>234</v>
      </c>
      <c r="D31" s="140" t="n">
        <f aca="false">PGL_Supplies!R7/1000</f>
        <v>0</v>
      </c>
      <c r="E31" s="140" t="n">
        <f aca="false">PGL_Supplies!R8/1000</f>
        <v>0</v>
      </c>
      <c r="F31" s="140" t="n">
        <f aca="false">PGL_Supplies!R9/1000</f>
        <v>0</v>
      </c>
      <c r="G31" s="140" t="n">
        <f aca="false">PGL_Supplies!R10/1000</f>
        <v>0</v>
      </c>
      <c r="H31" s="140" t="n">
        <f aca="false">PGL_Supplies!R11/1000</f>
        <v>0</v>
      </c>
      <c r="I31" s="141" t="n">
        <f aca="false">PGL_Supplies!R12/1000</f>
        <v>0</v>
      </c>
    </row>
    <row r="32" customFormat="false" ht="18.95" hidden="false" customHeight="true" outlineLevel="0" collapsed="false">
      <c r="A32" s="139"/>
      <c r="B32" s="130"/>
      <c r="C32" s="130" t="s">
        <v>244</v>
      </c>
      <c r="D32" s="140" t="n">
        <f aca="false">PGL_Supplies!S7/1000</f>
        <v>0</v>
      </c>
      <c r="E32" s="140" t="n">
        <f aca="false">PGL_Supplies!S8/1000</f>
        <v>0</v>
      </c>
      <c r="F32" s="140" t="n">
        <f aca="false">PGL_Supplies!S9/1000</f>
        <v>0</v>
      </c>
      <c r="G32" s="140" t="n">
        <f aca="false">PGL_Supplies!S10/1000</f>
        <v>0</v>
      </c>
      <c r="H32" s="140" t="n">
        <f aca="false">PGL_Supplies!S11/1000</f>
        <v>0</v>
      </c>
      <c r="I32" s="141" t="n">
        <f aca="false">PGL_Supplies!S12/1000</f>
        <v>0</v>
      </c>
    </row>
    <row r="33" customFormat="false" ht="18.95" hidden="false" customHeight="true" outlineLevel="0" collapsed="false">
      <c r="A33" s="139"/>
      <c r="B33" s="130" t="s">
        <v>235</v>
      </c>
      <c r="C33" s="130" t="s">
        <v>157</v>
      </c>
      <c r="D33" s="140" t="n">
        <f aca="false">PGL_Supplies!L7/1000</f>
        <v>0</v>
      </c>
      <c r="E33" s="140" t="n">
        <f aca="false">PGL_Supplies!L8/1000</f>
        <v>0</v>
      </c>
      <c r="F33" s="140" t="n">
        <f aca="false">PGL_Supplies!L9/1000</f>
        <v>0</v>
      </c>
      <c r="G33" s="140" t="n">
        <f aca="false">PGL_Supplies!L10/1000</f>
        <v>0</v>
      </c>
      <c r="H33" s="140" t="n">
        <f aca="false">PGL_Supplies!L11/1000</f>
        <v>0</v>
      </c>
      <c r="I33" s="141" t="n">
        <f aca="false">PGL_Supplies!L12/1000</f>
        <v>0</v>
      </c>
    </row>
    <row r="34" customFormat="false" ht="18.95" hidden="false" customHeight="true" outlineLevel="0" collapsed="false">
      <c r="A34" s="142" t="s">
        <v>245</v>
      </c>
      <c r="B34" s="130"/>
      <c r="C34" s="130"/>
      <c r="D34" s="140" t="n">
        <f aca="false">PGL_Supplies!U7/1000</f>
        <v>0</v>
      </c>
      <c r="E34" s="140" t="n">
        <f aca="false">PGL_Supplies!U8/1000</f>
        <v>0</v>
      </c>
      <c r="F34" s="140" t="n">
        <f aca="false">PGL_Supplies!U9/1000</f>
        <v>0</v>
      </c>
      <c r="G34" s="140" t="n">
        <f aca="false">PGL_Supplies!U10/1000</f>
        <v>0</v>
      </c>
      <c r="H34" s="140" t="n">
        <f aca="false">PGL_Supplies!U11/1000</f>
        <v>0</v>
      </c>
      <c r="I34" s="141" t="n">
        <f aca="false">PGL_Supplies!U12/1000</f>
        <v>0</v>
      </c>
    </row>
    <row r="35" customFormat="false" ht="18.95" hidden="false" customHeight="true" outlineLevel="0" collapsed="false">
      <c r="A35" s="142" t="s">
        <v>246</v>
      </c>
      <c r="B35" s="130" t="s">
        <v>138</v>
      </c>
      <c r="C35" s="130"/>
      <c r="D35" s="140" t="n">
        <f aca="false">PGL_Supplies!T7/1000*0.5</f>
        <v>10</v>
      </c>
      <c r="E35" s="140" t="n">
        <f aca="false">PGL_Supplies!T8/1000*0.5</f>
        <v>10</v>
      </c>
      <c r="F35" s="140" t="n">
        <f aca="false">PGL_Supplies!T9/1000*0.5</f>
        <v>17.167</v>
      </c>
      <c r="G35" s="140" t="n">
        <f aca="false">PGL_Supplies!T10/1000*0.5</f>
        <v>0</v>
      </c>
      <c r="H35" s="140" t="n">
        <f aca="false">PGL_Supplies!T11/1000*0.5</f>
        <v>0</v>
      </c>
      <c r="I35" s="141" t="n">
        <f aca="false">PGL_Supplies!T12/1000*0.5</f>
        <v>0</v>
      </c>
    </row>
    <row r="36" customFormat="false" ht="18.95" hidden="false" customHeight="true" outlineLevel="0" collapsed="false">
      <c r="A36" s="142" t="s">
        <v>247</v>
      </c>
      <c r="B36" s="130" t="s">
        <v>248</v>
      </c>
      <c r="C36" s="130"/>
      <c r="D36" s="140" t="n">
        <f aca="false">PGL_Supplies!Y7/1000</f>
        <v>103.4</v>
      </c>
      <c r="E36" s="140" t="n">
        <f aca="false">PGL_Supplies!Y8/1000</f>
        <v>103.4</v>
      </c>
      <c r="F36" s="140" t="n">
        <f aca="false">PGL_Supplies!Y9/1000</f>
        <v>103.4</v>
      </c>
      <c r="G36" s="140" t="n">
        <f aca="false">PGL_Supplies!Y10/1000</f>
        <v>103.4</v>
      </c>
      <c r="H36" s="140" t="n">
        <f aca="false">PGL_Supplies!Y11/1000</f>
        <v>103.4</v>
      </c>
      <c r="I36" s="141" t="n">
        <f aca="false">PGL_Supplies!Y12/1000</f>
        <v>103.4</v>
      </c>
    </row>
    <row r="37" customFormat="false" ht="18.95" hidden="false" customHeight="true" outlineLevel="0" collapsed="false">
      <c r="A37" s="142"/>
      <c r="B37" s="130" t="s">
        <v>233</v>
      </c>
      <c r="C37" s="143"/>
      <c r="D37" s="140" t="n">
        <f aca="false">PGL_Supplies!Z7/1000</f>
        <v>0.2</v>
      </c>
      <c r="E37" s="140" t="n">
        <f aca="false">PGL_Supplies!Z8/1000</f>
        <v>0.2</v>
      </c>
      <c r="F37" s="140" t="n">
        <f aca="false">PGL_Supplies!Z9/1000</f>
        <v>0.2</v>
      </c>
      <c r="G37" s="140" t="n">
        <f aca="false">PGL_Supplies!Z10/1000</f>
        <v>0.2</v>
      </c>
      <c r="H37" s="140" t="n">
        <f aca="false">PGL_Supplies!Z11/1000</f>
        <v>0.2</v>
      </c>
      <c r="I37" s="141" t="n">
        <f aca="false">PGL_Supplies!Z12/1000</f>
        <v>0.2</v>
      </c>
    </row>
    <row r="38" customFormat="false" ht="18.95" hidden="false" customHeight="true" outlineLevel="0" collapsed="false">
      <c r="A38" s="142"/>
      <c r="B38" s="130" t="s">
        <v>249</v>
      </c>
      <c r="C38" s="143"/>
      <c r="D38" s="140" t="n">
        <f aca="false">PGL_Supplies!AA7/1000</f>
        <v>0</v>
      </c>
      <c r="E38" s="140" t="n">
        <f aca="false">PGL_Supplies!AA8/1000</f>
        <v>0</v>
      </c>
      <c r="F38" s="140" t="n">
        <f aca="false">PGL_Supplies!AA9/1000</f>
        <v>0</v>
      </c>
      <c r="G38" s="140" t="n">
        <f aca="false">PGL_Supplies!AA10/1000</f>
        <v>0</v>
      </c>
      <c r="H38" s="140" t="n">
        <f aca="false">PGL_Supplies!AA11/1000</f>
        <v>0</v>
      </c>
      <c r="I38" s="141" t="n">
        <f aca="false">PGL_Supplies!AA12/1000</f>
        <v>0</v>
      </c>
    </row>
    <row r="39" customFormat="false" ht="18.95" hidden="false" customHeight="true" outlineLevel="0" collapsed="false">
      <c r="A39" s="142"/>
      <c r="B39" s="130" t="s">
        <v>138</v>
      </c>
      <c r="C39" s="143"/>
      <c r="D39" s="140" t="n">
        <f aca="false">PGL_Supplies!AB7/1000</f>
        <v>211.567</v>
      </c>
      <c r="E39" s="140" t="n">
        <f aca="false">PGL_Supplies!AB8/1000</f>
        <v>211.567</v>
      </c>
      <c r="F39" s="140" t="n">
        <f aca="false">PGL_Supplies!AB9/1000</f>
        <v>211.567</v>
      </c>
      <c r="G39" s="140" t="n">
        <f aca="false">PGL_Supplies!AB10/1000</f>
        <v>211.567</v>
      </c>
      <c r="H39" s="140" t="n">
        <f aca="false">PGL_Supplies!AB11/1000</f>
        <v>211.567</v>
      </c>
      <c r="I39" s="141" t="n">
        <f aca="false">PGL_Supplies!AB12/1000</f>
        <v>211.567</v>
      </c>
    </row>
    <row r="40" customFormat="false" ht="18.95" hidden="false" customHeight="true" outlineLevel="0" collapsed="false">
      <c r="A40" s="142"/>
      <c r="B40" s="130" t="s">
        <v>235</v>
      </c>
      <c r="C40" s="130"/>
      <c r="D40" s="140" t="n">
        <f aca="false">PGL_Supplies!AC7/1000</f>
        <v>20.668</v>
      </c>
      <c r="E40" s="140" t="n">
        <f aca="false">PGL_Supplies!AC8/1000</f>
        <v>20.155</v>
      </c>
      <c r="F40" s="140" t="n">
        <f aca="false">PGL_Supplies!AC9/1000</f>
        <v>20.155</v>
      </c>
      <c r="G40" s="140" t="n">
        <f aca="false">PGL_Supplies!AC10/1000</f>
        <v>20.155</v>
      </c>
      <c r="H40" s="140" t="n">
        <f aca="false">PGL_Supplies!AC11/1000</f>
        <v>20.155</v>
      </c>
      <c r="I40" s="141" t="n">
        <f aca="false">PGL_Supplies!AC12/1000</f>
        <v>20.155</v>
      </c>
    </row>
    <row r="41" customFormat="false" ht="18.95" hidden="false" customHeight="true" outlineLevel="0" collapsed="false">
      <c r="A41" s="142"/>
      <c r="B41" s="130" t="s">
        <v>250</v>
      </c>
      <c r="C41" s="130"/>
      <c r="D41" s="140" t="n">
        <f aca="false">PGL_Supplies!AD7/1000</f>
        <v>4</v>
      </c>
      <c r="E41" s="140" t="n">
        <f aca="false">PGL_Supplies!AD8/1000</f>
        <v>4</v>
      </c>
      <c r="F41" s="140" t="n">
        <f aca="false">PGL_Supplies!AD9/1000</f>
        <v>4</v>
      </c>
      <c r="G41" s="140" t="n">
        <f aca="false">PGL_Supplies!AD10/1000</f>
        <v>4</v>
      </c>
      <c r="H41" s="140" t="n">
        <f aca="false">PGL_Supplies!AD11/1000</f>
        <v>4</v>
      </c>
      <c r="I41" s="141" t="n">
        <f aca="false">PGL_Supplies!AD12/1000</f>
        <v>4</v>
      </c>
    </row>
    <row r="42" customFormat="false" ht="18.95" hidden="false" customHeight="true" outlineLevel="0" collapsed="false">
      <c r="A42" s="142"/>
      <c r="B42" s="130" t="s">
        <v>251</v>
      </c>
      <c r="C42" s="130"/>
      <c r="D42" s="140" t="n">
        <f aca="false">PGL_Supplies!I7/1000</f>
        <v>19.913</v>
      </c>
      <c r="E42" s="140" t="n">
        <f aca="false">PGL_Supplies!I8/1000</f>
        <v>15</v>
      </c>
      <c r="F42" s="140" t="n">
        <f aca="false">PGL_Supplies!I9/1000</f>
        <v>15</v>
      </c>
      <c r="G42" s="140" t="n">
        <f aca="false">PGL_Supplies!I10/1000</f>
        <v>15</v>
      </c>
      <c r="H42" s="140" t="n">
        <f aca="false">PGL_Supplies!I11/1000</f>
        <v>15</v>
      </c>
      <c r="I42" s="141" t="n">
        <f aca="false">PGL_Supplies!I12/1000</f>
        <v>15</v>
      </c>
      <c r="J42" s="123" t="s">
        <v>0</v>
      </c>
    </row>
    <row r="43" customFormat="false" ht="18.95" hidden="false" customHeight="true" outlineLevel="0" collapsed="false">
      <c r="A43" s="139"/>
      <c r="B43" s="130" t="s">
        <v>252</v>
      </c>
      <c r="C43" s="130"/>
      <c r="D43" s="140" t="n">
        <f aca="false">PGL_Supplies!K7/1000</f>
        <v>0</v>
      </c>
      <c r="E43" s="140" t="n">
        <f aca="false">PGL_Supplies!K8/1000</f>
        <v>0</v>
      </c>
      <c r="F43" s="140" t="n">
        <f aca="false">PGL_Supplies!K9/1000</f>
        <v>0</v>
      </c>
      <c r="G43" s="140" t="n">
        <f aca="false">PGL_Supplies!K10/1000</f>
        <v>0</v>
      </c>
      <c r="H43" s="140" t="n">
        <f aca="false">PGL_Supplies!K11/1000</f>
        <v>0</v>
      </c>
      <c r="I43" s="141" t="n">
        <f aca="false">PGL_Supplies!K12/1000</f>
        <v>0</v>
      </c>
    </row>
    <row r="44" customFormat="false" ht="18.95" hidden="false" customHeight="true" outlineLevel="0" collapsed="false">
      <c r="A44" s="142" t="s">
        <v>253</v>
      </c>
      <c r="B44" s="130"/>
      <c r="C44" s="130"/>
      <c r="D44" s="140" t="n">
        <f aca="false">PGL_Supplies!B7/1000</f>
        <v>0</v>
      </c>
      <c r="E44" s="140" t="n">
        <f aca="false">PGL_Supplies!B8/1000</f>
        <v>10.82</v>
      </c>
      <c r="F44" s="140" t="n">
        <f aca="false">PGL_Supplies!B9/1000</f>
        <v>0</v>
      </c>
      <c r="G44" s="140" t="n">
        <f aca="false">PGL_Supplies!B10/1000</f>
        <v>0</v>
      </c>
      <c r="H44" s="140" t="n">
        <f aca="false">PGL_Supplies!B11/1000</f>
        <v>0</v>
      </c>
      <c r="I44" s="141" t="n">
        <f aca="false">PGL_Supplies!B12/1000</f>
        <v>0</v>
      </c>
    </row>
    <row r="45" customFormat="false" ht="18.95" hidden="false" customHeight="true" outlineLevel="0" collapsed="false">
      <c r="A45" s="139" t="s">
        <v>254</v>
      </c>
      <c r="B45" s="130" t="s">
        <v>248</v>
      </c>
      <c r="C45" s="130"/>
      <c r="D45" s="140" t="n">
        <f aca="false">PGL_Supplies!X7/1000</f>
        <v>18</v>
      </c>
      <c r="E45" s="140" t="n">
        <f aca="false">PGL_Supplies!X8/1000</f>
        <v>0</v>
      </c>
      <c r="F45" s="140" t="n">
        <f aca="false">PGL_Supplies!X9/1000</f>
        <v>0</v>
      </c>
      <c r="G45" s="140" t="n">
        <f aca="false">PGL_Supplies!X10/1000</f>
        <v>0</v>
      </c>
      <c r="H45" s="140" t="n">
        <f aca="false">PGL_Supplies!X11/1000</f>
        <v>0</v>
      </c>
      <c r="I45" s="141" t="n">
        <f aca="false">PGL_Supplies!X12/1000</f>
        <v>0</v>
      </c>
    </row>
    <row r="46" customFormat="false" ht="18.95" hidden="false" customHeight="true" outlineLevel="0" collapsed="false">
      <c r="A46" s="139"/>
      <c r="B46" s="130" t="s">
        <v>233</v>
      </c>
      <c r="C46" s="130"/>
      <c r="D46" s="140" t="n">
        <f aca="false">PGL_Supplies!C7/1000</f>
        <v>0</v>
      </c>
      <c r="E46" s="140" t="n">
        <f aca="false">PGL_Supplies!C8/1000</f>
        <v>0</v>
      </c>
      <c r="F46" s="140" t="n">
        <f aca="false">PGL_Supplies!C9/1000</f>
        <v>0</v>
      </c>
      <c r="G46" s="140" t="n">
        <f aca="false">PGL_Supplies!C10/1000</f>
        <v>0</v>
      </c>
      <c r="H46" s="140" t="n">
        <f aca="false">PGL_Supplies!C11/1000</f>
        <v>0</v>
      </c>
      <c r="I46" s="141" t="n">
        <f aca="false">PGL_Supplies!C12/1000</f>
        <v>0</v>
      </c>
    </row>
    <row r="47" customFormat="false" ht="18.95" hidden="false" customHeight="true" outlineLevel="0" collapsed="false">
      <c r="A47" s="139"/>
      <c r="B47" s="144" t="s">
        <v>249</v>
      </c>
      <c r="C47" s="130"/>
      <c r="D47" s="140" t="n">
        <f aca="false">PGL_Supplies!D7/1000</f>
        <v>0</v>
      </c>
      <c r="E47" s="140" t="n">
        <f aca="false">PGL_Supplies!D8/1000</f>
        <v>0</v>
      </c>
      <c r="F47" s="140" t="n">
        <f aca="false">PGL_Supplies!D9/1000</f>
        <v>0</v>
      </c>
      <c r="G47" s="140" t="n">
        <f aca="false">PGL_Supplies!D10/1000</f>
        <v>0</v>
      </c>
      <c r="H47" s="140" t="n">
        <f aca="false">PGL_Supplies!D11/1000</f>
        <v>0</v>
      </c>
      <c r="I47" s="141" t="n">
        <f aca="false">PGL_Supplies!D12/1000</f>
        <v>0</v>
      </c>
    </row>
    <row r="48" customFormat="false" ht="18.95" hidden="false" customHeight="true" outlineLevel="0" collapsed="false">
      <c r="A48" s="139"/>
      <c r="B48" s="130" t="s">
        <v>138</v>
      </c>
      <c r="C48" s="130"/>
      <c r="D48" s="140" t="n">
        <f aca="false">PGL_Supplies!E7/1000</f>
        <v>13</v>
      </c>
      <c r="E48" s="140" t="n">
        <f aca="false">PGL_Supplies!E8/1000</f>
        <v>0</v>
      </c>
      <c r="F48" s="140" t="n">
        <f aca="false">PGL_Supplies!E9/1000</f>
        <v>0</v>
      </c>
      <c r="G48" s="140" t="n">
        <f aca="false">PGL_Supplies!E10/1000</f>
        <v>0</v>
      </c>
      <c r="H48" s="140" t="n">
        <f aca="false">PGL_Supplies!E11/1000</f>
        <v>0</v>
      </c>
      <c r="I48" s="141" t="n">
        <f aca="false">PGL_Supplies!E12/1000</f>
        <v>0</v>
      </c>
    </row>
    <row r="49" customFormat="false" ht="18.95" hidden="false" customHeight="true" outlineLevel="0" collapsed="false">
      <c r="A49" s="161"/>
      <c r="B49" s="162" t="s">
        <v>250</v>
      </c>
      <c r="C49" s="162"/>
      <c r="D49" s="146" t="n">
        <f aca="false">PGL_Supplies!G7/1000</f>
        <v>0</v>
      </c>
      <c r="E49" s="146" t="n">
        <f aca="false">PGL_Supplies!G8/1000</f>
        <v>0</v>
      </c>
      <c r="F49" s="146" t="n">
        <f aca="false">PGL_Supplies!G9/1000</f>
        <v>0</v>
      </c>
      <c r="G49" s="146" t="n">
        <f aca="false">PGL_Supplies!G10/1000</f>
        <v>0</v>
      </c>
      <c r="H49" s="146" t="n">
        <f aca="false">PGL_Supplies!G11/1000</f>
        <v>0</v>
      </c>
      <c r="I49" s="147" t="n">
        <f aca="false">PGL_Supplies!G12/1000</f>
        <v>0</v>
      </c>
    </row>
    <row r="50" customFormat="false" ht="18.95" hidden="false" customHeight="true" outlineLevel="0" collapsed="false">
      <c r="A50" s="163" t="s">
        <v>255</v>
      </c>
      <c r="B50" s="164"/>
      <c r="C50" s="164"/>
      <c r="D50" s="165" t="n">
        <f aca="false">SUM(D28:D49)</f>
        <v>401.166</v>
      </c>
      <c r="E50" s="165" t="n">
        <f aca="false">SUM(E28:E49)</f>
        <v>376.142</v>
      </c>
      <c r="F50" s="165" t="n">
        <f aca="false">SUM(F28:F49)</f>
        <v>372.489</v>
      </c>
      <c r="G50" s="165" t="n">
        <f aca="false">SUM(G28:G49)</f>
        <v>355.322</v>
      </c>
      <c r="H50" s="165" t="n">
        <f aca="false">SUM(H28:H49)</f>
        <v>355.322</v>
      </c>
      <c r="I50" s="166" t="n">
        <f aca="false">SUM(I28:I49)</f>
        <v>355.322</v>
      </c>
    </row>
    <row r="51" customFormat="false" ht="18.95" hidden="false" customHeight="true" outlineLevel="0" collapsed="false">
      <c r="A51" s="167" t="s">
        <v>256</v>
      </c>
      <c r="B51" s="162"/>
      <c r="C51" s="162"/>
      <c r="D51" s="168" t="n">
        <f aca="false">IF(D50-D25&lt;0,0,D50-D25)</f>
        <v>9.22035</v>
      </c>
      <c r="E51" s="168" t="n">
        <f aca="false">IF(E50-E25&lt;0,0,E50-E25)</f>
        <v>0</v>
      </c>
      <c r="F51" s="168" t="n">
        <f aca="false">IF(F50-F25&lt;0,0,F50-F25)</f>
        <v>6.55150000000003</v>
      </c>
      <c r="G51" s="168" t="n">
        <f aca="false">IF(G50-G25&lt;0,0,G50-G25)</f>
        <v>0</v>
      </c>
      <c r="H51" s="168" t="n">
        <f aca="false">IF(H50-H25&lt;0,0,H50-H25)</f>
        <v>0</v>
      </c>
      <c r="I51" s="169" t="n">
        <f aca="false">IF(I50-I25&lt;0,0,I50-I25)</f>
        <v>3.59699999999998</v>
      </c>
    </row>
    <row r="52" customFormat="false" ht="18.95" hidden="false" customHeight="true" outlineLevel="0" collapsed="false">
      <c r="A52" s="170" t="s">
        <v>257</v>
      </c>
      <c r="B52" s="149"/>
      <c r="C52" s="171"/>
      <c r="D52" s="172" t="n">
        <f aca="false">IF(D25-D50&lt;0,0,D25-D50)</f>
        <v>0</v>
      </c>
      <c r="E52" s="172" t="n">
        <f aca="false">IF(E25-E50&lt;0,0,E25-E50)</f>
        <v>0</v>
      </c>
      <c r="F52" s="172" t="n">
        <f aca="false">IF(F25-F50&lt;0,0,F25-F50)</f>
        <v>0</v>
      </c>
      <c r="G52" s="172" t="n">
        <f aca="false">IF(G25-G50&lt;0,0,G25-G50)</f>
        <v>11.403</v>
      </c>
      <c r="H52" s="172" t="n">
        <f aca="false">IF(H25-H50&lt;0,0,H25-H50)</f>
        <v>11.403</v>
      </c>
      <c r="I52" s="173" t="n">
        <f aca="false">IF(I25-I50&lt;0,0,I25-I50)</f>
        <v>0</v>
      </c>
    </row>
    <row r="53" customFormat="false" ht="18.95" hidden="false" customHeight="true" outlineLevel="0" collapsed="false">
      <c r="A53" s="174" t="s">
        <v>258</v>
      </c>
      <c r="B53" s="175"/>
      <c r="C53" s="175"/>
      <c r="D53" s="176" t="n">
        <f aca="false">PGL_Supplies!V7/1000</f>
        <v>133.673</v>
      </c>
      <c r="E53" s="176" t="n">
        <f aca="false">PGL_Supplies!V8/1000</f>
        <v>133.16</v>
      </c>
      <c r="F53" s="176" t="n">
        <f aca="false">PGL_Supplies!V9/1000</f>
        <v>133.16</v>
      </c>
      <c r="G53" s="176" t="n">
        <f aca="false">PGL_Supplies!V10/1000</f>
        <v>133.16</v>
      </c>
      <c r="H53" s="176" t="n">
        <f aca="false">PGL_Supplies!V11/1000</f>
        <v>133.16</v>
      </c>
      <c r="I53" s="177" t="n">
        <f aca="false">PGL_Supplies!V12/1000</f>
        <v>133.16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3" t="s">
        <v>259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2001-06-18T13:25:08Z</cp:lastPrinted>
  <cp:revision>0</cp:revision>
  <dc:subject/>
  <dc:title/>
</cp:coreProperties>
</file>