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<sst xmlns="http://schemas.openxmlformats.org/spreadsheetml/2006/main" count="2098" uniqueCount="816">
  <si>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</si>
  <si>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</si>
  <si>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</si>
  <si>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</si>
  <si>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</si>
  <si>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</si>
  <si>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</si>
  <si>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</si>
  <si>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</si>
  <si>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</si>
  <si>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</si>
  <si>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</si>
  <si>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</si>
  <si>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</si>
  <si>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</si>
  <si>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</si>
  <si>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</si>
  <si>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</si>
  <si>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</si>
  <si>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</si>
  <si>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</si>
  <si>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</si>
  <si>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</si>
  <si>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</si>
  <si>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</si>
  <si>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</si>
  <si>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</si>
  <si>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</si>
  <si>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</si>
  <si>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</si>
  <si>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CLOUDY. HIGH IN THE UPPER 80S. COOLER NEAR THE LAKE.WINDS 5 TO 10</t>
  </si>
  <si>
    <t xml:space="preserve">MPH. TONIGHT… PARTLY CLOUDY. LOW IN THE UPPER 60S . SW WINDS 10 T0 15 MPH.</t>
  </si>
  <si>
    <t xml:space="preserve">RAIN</t>
  </si>
  <si>
    <t xml:space="preserve">PARTLY CLOUDY. HIGH AROUND 90. PARTLY CLOUDY AT NIGHT WITH LOWS IN THE </t>
  </si>
  <si>
    <t xml:space="preserve">LOWER 70S.</t>
  </si>
  <si>
    <t xml:space="preserve">S</t>
  </si>
  <si>
    <t xml:space="preserve">TSTORM</t>
  </si>
  <si>
    <t xml:space="preserve">PARTLY CLOUDY. HIGH IN THE UPPER 80S. </t>
  </si>
  <si>
    <t xml:space="preserve">A CHANCE OF T'STORMS. LOW IN THE UPPER 60S. HIGH IN THE LOWER 80S</t>
  </si>
  <si>
    <t xml:space="preserve">PARTLY CLOUDY. CHANCE OF MORNING SHOWERS AND T-STORMS. LOW IN THE </t>
  </si>
  <si>
    <t xml:space="preserve">LOWER 60S . HIGH NEAR 80.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</si>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</sst>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256</v>
      </c>
      <c r="B1" s="120"/>
      <c r="C1" s="120"/>
      <c r="D1" s="120"/>
      <c r="E1" s="120"/>
      <c r="F1" s="120"/>
      <c r="G1" s="120" t="s">
        <v>217</v>
      </c>
      <c r="H1" s="174" t="str">
        <f aca="false">D3</f>
        <v>MON</v>
      </c>
      <c r="I1" s="175" t="n">
        <f aca="false">D4</f>
        <v>37053</v>
      </c>
      <c r="J1" s="176"/>
    </row>
    <row r="2" customFormat="false" ht="20.1" hidden="false" customHeight="true" outlineLevel="0" collapsed="false">
      <c r="A2" s="124" t="s">
        <v>257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MON</v>
      </c>
      <c r="E3" s="128" t="str">
        <f aca="false">CHOOSE(WEEKDAY(E4),"SUN","MON","TUE","WED","THU","FRI","SAT")</f>
        <v>TUE</v>
      </c>
      <c r="F3" s="128" t="str">
        <f aca="false">CHOOSE(WEEKDAY(F4),"SUN","MON","TUE","WED","THU","FRI","SAT")</f>
        <v>WED</v>
      </c>
      <c r="G3" s="128" t="str">
        <f aca="false">CHOOSE(WEEKDAY(G4),"SUN","MON","TUE","WED","THU","FRI","SAT")</f>
        <v>THU</v>
      </c>
      <c r="H3" s="128" t="str">
        <f aca="false">CHOOSE(WEEKDAY(H4),"SUN","MON","TUE","WED","THU","FRI","SAT")</f>
        <v>FRI</v>
      </c>
      <c r="I3" s="129" t="str">
        <f aca="false">CHOOSE(WEEKDAY(I4),"SUN","MON","TUE","WED","THU","FRI","SAT")</f>
        <v>SAT</v>
      </c>
      <c r="J3" s="176"/>
    </row>
    <row r="4" customFormat="false" ht="20.1" hidden="false" customHeight="true" outlineLevel="0" collapsed="false">
      <c r="A4" s="130" t="s">
        <v>258</v>
      </c>
      <c r="B4" s="131"/>
      <c r="C4" s="131"/>
      <c r="D4" s="177" t="n">
        <f aca="false">Weather_Input!A5</f>
        <v>37053</v>
      </c>
      <c r="E4" s="177" t="n">
        <f aca="false">Weather_Input!A6</f>
        <v>37054</v>
      </c>
      <c r="F4" s="177" t="n">
        <f aca="false">Weather_Input!A7</f>
        <v>37055</v>
      </c>
      <c r="G4" s="177" t="n">
        <f aca="false">Weather_Input!A8</f>
        <v>37056</v>
      </c>
      <c r="H4" s="177" t="n">
        <f aca="false">Weather_Input!A9</f>
        <v>37057</v>
      </c>
      <c r="I4" s="178" t="n">
        <f aca="false">Weather_Input!A10</f>
        <v>37058</v>
      </c>
      <c r="J4" s="176"/>
    </row>
    <row r="5" customFormat="false" ht="20.1" hidden="false" customHeight="true" outlineLevel="0" collapsed="false">
      <c r="A5" s="134" t="s">
        <v>219</v>
      </c>
      <c r="B5" s="125"/>
      <c r="C5" s="125" t="s">
        <v>220</v>
      </c>
      <c r="D5" s="179" t="str">
        <f aca="false">TEXT(Weather_Input!B5,"0")&amp;"/"&amp;TEXT(Weather_Input!C5,"0")&amp;"/"&amp;TEXT((Weather_Input!B5+Weather_Input!C5)/2,"0")</f>
        <v>87/64/76</v>
      </c>
      <c r="E5" s="179" t="str">
        <f aca="false">TEXT(Weather_Input!B6,"0")&amp;"/"&amp;TEXT(Weather_Input!C6,"0")&amp;"/"&amp;TEXT((Weather_Input!B6+Weather_Input!C6)/2,"0")</f>
        <v>90/70/80</v>
      </c>
      <c r="F5" s="179" t="str">
        <f aca="false">TEXT(Weather_Input!B7,"0")&amp;"/"&amp;TEXT(Weather_Input!C7,"0")&amp;"/"&amp;TEXT((Weather_Input!B7+Weather_Input!C7)/2,"0")</f>
        <v>90/69/80</v>
      </c>
      <c r="G5" s="179" t="str">
        <f aca="false">TEXT(Weather_Input!B8,"0")&amp;"/"&amp;TEXT(Weather_Input!C8,"0")&amp;"/"&amp;TEXT((Weather_Input!B8+Weather_Input!C8)/2,"0")</f>
        <v>85/61/73</v>
      </c>
      <c r="H5" s="179" t="str">
        <f aca="false">TEXT(Weather_Input!B9,"0")&amp;"/"&amp;TEXT(Weather_Input!C9,"0")&amp;"/"&amp;TEXT((Weather_Input!B9+Weather_Input!C9)/2,"0")</f>
        <v>78/58/68</v>
      </c>
      <c r="I5" s="180" t="str">
        <f aca="false">TEXT(Weather_Input!B10,"0")&amp;"/"&amp;TEXT(Weather_Input!C10,"0")&amp;"/"&amp;TEXT((Weather_Input!B10+Weather_Input!C10)/2,"0")</f>
        <v>78/58/68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221</v>
      </c>
      <c r="B6" s="125"/>
      <c r="C6" s="125"/>
      <c r="D6" s="181" t="n">
        <f aca="true">VLOOKUP(D4,NSG_Sendouts,CELL("Col",NSG_Deliveries!C5),FALSE())/1000</f>
        <v>36</v>
      </c>
      <c r="E6" s="181" t="n">
        <f aca="true">VLOOKUP(E4,NSG_Sendouts,CELL("Col",NSG_Deliveries!C6),FALSE())/1000</f>
        <v>38</v>
      </c>
      <c r="F6" s="181" t="n">
        <f aca="true">VLOOKUP(F4,NSG_Sendouts,CELL("Col",NSG_Deliveries!C7),FALSE())/1000</f>
        <v>38</v>
      </c>
      <c r="G6" s="181" t="n">
        <f aca="true">VLOOKUP(G4,NSG_Sendouts,CELL("Col",NSG_Deliveries!C8),FALSE())/1000</f>
        <v>38</v>
      </c>
      <c r="H6" s="181" t="n">
        <f aca="true">VLOOKUP(H4,NSG_Sendouts,CELL("Col",NSG_Deliveries!C9),FALSE())/1000</f>
        <v>36</v>
      </c>
      <c r="I6" s="182" t="n">
        <f aca="true">VLOOKUP(I4,NSG_Sendouts,CELL("Col",NSG_Deliveries!C10),FALSE())/1000</f>
        <v>33</v>
      </c>
      <c r="J6" s="118"/>
    </row>
    <row r="7" customFormat="false" ht="20.1" hidden="false" customHeight="true" outlineLevel="0" collapsed="false">
      <c r="A7" s="134" t="s">
        <v>224</v>
      </c>
      <c r="B7" s="125" t="s">
        <v>227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225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226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141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228</v>
      </c>
      <c r="B11" s="125" t="s">
        <v>229</v>
      </c>
      <c r="C11" s="125" t="s">
        <v>77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225</v>
      </c>
      <c r="C12" s="139" t="s">
        <v>156</v>
      </c>
      <c r="D12" s="181" t="n">
        <f aca="false">NSG_Requirements!J7/1000</f>
        <v>6.04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227</v>
      </c>
      <c r="C13" s="139" t="s">
        <v>156</v>
      </c>
      <c r="D13" s="181" t="n">
        <f aca="false">NSG_Requirements!H7/1000</f>
        <v>2</v>
      </c>
      <c r="E13" s="181" t="n">
        <f aca="false">NSG_Requirements!H8/1000</f>
        <v>2</v>
      </c>
      <c r="F13" s="181" t="n">
        <f aca="false">NSG_Requirements!H9/1000</f>
        <v>2</v>
      </c>
      <c r="G13" s="181" t="n">
        <f aca="false">NSG_Requirements!H10/1000</f>
        <v>2</v>
      </c>
      <c r="H13" s="181" t="n">
        <f aca="false">NSG_Requirements!H11/1000</f>
        <v>2</v>
      </c>
      <c r="I13" s="182" t="n">
        <f aca="false">NSG_Requirements!H12/1000</f>
        <v>2</v>
      </c>
      <c r="J13" s="176"/>
    </row>
    <row r="14" customFormat="false" ht="20.1" hidden="false" customHeight="true" outlineLevel="0" collapsed="false">
      <c r="A14" s="134"/>
      <c r="B14" s="125" t="s">
        <v>225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227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226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141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259</v>
      </c>
      <c r="B18" s="157" t="s">
        <v>260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236</v>
      </c>
      <c r="B19" s="166"/>
      <c r="C19" s="166"/>
      <c r="D19" s="186" t="n">
        <f aca="false">SUM(D6:D18)</f>
        <v>44.04</v>
      </c>
      <c r="E19" s="186" t="n">
        <f aca="false">SUM(E6:E18)</f>
        <v>40</v>
      </c>
      <c r="F19" s="186" t="n">
        <f aca="false">SUM(F6:F18)</f>
        <v>40</v>
      </c>
      <c r="G19" s="186" t="n">
        <f aca="false">SUM(G6:G18)</f>
        <v>40</v>
      </c>
      <c r="H19" s="186" t="n">
        <f aca="false">SUM(H6:H18)</f>
        <v>38</v>
      </c>
      <c r="I19" s="187" t="n">
        <f aca="false">SUM(I6:I18)</f>
        <v>35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237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261</v>
      </c>
      <c r="B22" s="125" t="s">
        <v>229</v>
      </c>
      <c r="C22" s="125" t="s">
        <v>262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225</v>
      </c>
      <c r="C23" s="125" t="s">
        <v>263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264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227</v>
      </c>
      <c r="C25" s="139" t="s">
        <v>156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127</v>
      </c>
      <c r="C26" s="125" t="s">
        <v>265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266</v>
      </c>
      <c r="B27" s="139" t="s">
        <v>225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227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226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141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267</v>
      </c>
      <c r="B31" s="125" t="s">
        <v>225</v>
      </c>
      <c r="C31" s="125" t="s">
        <v>268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227</v>
      </c>
      <c r="C32" s="194" t="s">
        <v>269</v>
      </c>
      <c r="D32" s="181" t="n">
        <f aca="false">NSG_Supplies!R7/1000</f>
        <v>28.828</v>
      </c>
      <c r="E32" s="181" t="n">
        <f aca="false">NSG_Supplies!R8/1000</f>
        <v>28.828</v>
      </c>
      <c r="F32" s="181" t="n">
        <f aca="false">NSG_Supplies!R9/1000</f>
        <v>28.828</v>
      </c>
      <c r="G32" s="181" t="n">
        <f aca="false">NSG_Supplies!R10/1000</f>
        <v>28.828</v>
      </c>
      <c r="H32" s="181" t="n">
        <f aca="false">NSG_Supplies!R11/1000</f>
        <v>28.828</v>
      </c>
      <c r="I32" s="182" t="n">
        <f aca="false">NSG_Supplies!R12/1000</f>
        <v>28.828</v>
      </c>
      <c r="J32" s="176"/>
    </row>
    <row r="33" customFormat="false" ht="20.1" hidden="false" customHeight="true" outlineLevel="0" collapsed="false">
      <c r="A33" s="134"/>
      <c r="B33" s="125" t="s">
        <v>225</v>
      </c>
      <c r="C33" s="125" t="s">
        <v>270</v>
      </c>
      <c r="D33" s="181" t="n">
        <f aca="false">NSG_Supplies!Q7/1000</f>
        <v>15.215</v>
      </c>
      <c r="E33" s="181" t="n">
        <f aca="false">NSG_Supplies!Q8/1000</f>
        <v>15.215</v>
      </c>
      <c r="F33" s="181" t="n">
        <f aca="false">NSG_Supplies!Q9/1000</f>
        <v>15.215</v>
      </c>
      <c r="G33" s="181" t="n">
        <f aca="false">NSG_Supplies!Q10/1000</f>
        <v>15.215</v>
      </c>
      <c r="H33" s="181" t="n">
        <f aca="false">NSG_Supplies!Q11/1000</f>
        <v>15.215</v>
      </c>
      <c r="I33" s="182" t="n">
        <f aca="false">NSG_Supplies!Q12/1000</f>
        <v>15.215</v>
      </c>
      <c r="J33" s="176"/>
    </row>
    <row r="34" customFormat="false" ht="20.1" hidden="false" customHeight="true" outlineLevel="0" collapsed="false">
      <c r="A34" s="134" t="s">
        <v>251</v>
      </c>
      <c r="B34" s="125" t="s">
        <v>226</v>
      </c>
      <c r="C34" s="125" t="s">
        <v>271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141</v>
      </c>
      <c r="C35" s="139" t="s">
        <v>272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260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251</v>
      </c>
      <c r="B37" s="159"/>
      <c r="C37" s="159"/>
      <c r="D37" s="196" t="n">
        <f aca="false">SUM(D22:D36)</f>
        <v>44.043</v>
      </c>
      <c r="E37" s="196" t="n">
        <f aca="false">SUM(E22:E36)</f>
        <v>44.043</v>
      </c>
      <c r="F37" s="196" t="n">
        <f aca="false">SUM(F22:F36)</f>
        <v>44.043</v>
      </c>
      <c r="G37" s="196" t="n">
        <f aca="false">SUM(G22:G36)</f>
        <v>44.043</v>
      </c>
      <c r="H37" s="196" t="n">
        <f aca="false">SUM(H22:H36)</f>
        <v>44.043</v>
      </c>
      <c r="I37" s="197" t="n">
        <f aca="false">SUM(I22:I36)</f>
        <v>44.043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252</v>
      </c>
      <c r="B38" s="199"/>
      <c r="C38" s="199"/>
      <c r="D38" s="200" t="n">
        <f aca="false">IF(D37-D19&lt;0,0,D37-D19)</f>
        <v>0.00300000000000011</v>
      </c>
      <c r="E38" s="200" t="n">
        <f aca="false">IF(E37-E19&lt;0,0,E37-E19)</f>
        <v>4.043</v>
      </c>
      <c r="F38" s="200" t="n">
        <f aca="false">IF(F37-F19&lt;0,0,F37-F19)</f>
        <v>4.043</v>
      </c>
      <c r="G38" s="200" t="n">
        <f aca="false">IF(G37-G19&lt;0,0,G37-G19)</f>
        <v>4.043</v>
      </c>
      <c r="H38" s="200" t="n">
        <f aca="false">IF(H37-H19&lt;0,0,H37-H19)</f>
        <v>6.043</v>
      </c>
      <c r="I38" s="201" t="n">
        <f aca="false">IF(I37-I19&lt;0,0,I37-I19)</f>
        <v>9.043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253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273</v>
      </c>
      <c r="B40" s="206"/>
      <c r="C40" s="206"/>
      <c r="D40" s="207" t="n">
        <f aca="false">NSG_Supplies!S7/1000</f>
        <v>16.954</v>
      </c>
      <c r="E40" s="207" t="n">
        <f aca="false">NSG_Supplies!S8/1000</f>
        <v>16.954</v>
      </c>
      <c r="F40" s="207" t="n">
        <f aca="false">NSG_Supplies!S9/1000</f>
        <v>16.954</v>
      </c>
      <c r="G40" s="207" t="n">
        <f aca="false">NSG_Supplies!S10/1000</f>
        <v>16.954</v>
      </c>
      <c r="H40" s="207" t="n">
        <f aca="false">NSG_Supplies!S11/1000</f>
        <v>16.954</v>
      </c>
      <c r="I40" s="208" t="n">
        <f aca="false">NSG_Supplies!S12/1000</f>
        <v>16.954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274</v>
      </c>
      <c r="B42" s="211"/>
      <c r="C42" s="211"/>
      <c r="D42" s="212" t="n">
        <f aca="false">Weather_Input!D5</f>
        <v>12</v>
      </c>
      <c r="E42" s="212" t="n">
        <f aca="false">Weather_Input!D6</f>
        <v>15</v>
      </c>
      <c r="F42" s="212" t="n">
        <f aca="false">Weather_Input!D7</f>
        <v>15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87</v>
      </c>
      <c r="D1" s="217"/>
      <c r="E1" s="214" t="s">
        <v>0</v>
      </c>
      <c r="F1" s="216" t="s">
        <v>275</v>
      </c>
      <c r="G1" s="218" t="s">
        <v>0</v>
      </c>
      <c r="H1" s="218"/>
      <c r="I1" s="219" t="s">
        <v>0</v>
      </c>
      <c r="J1" s="220"/>
      <c r="K1" s="220"/>
      <c r="L1" s="221" t="s">
        <v>276</v>
      </c>
      <c r="M1" s="222" t="n">
        <f aca="false">Weather_Input!A5</f>
        <v>37053</v>
      </c>
      <c r="N1" s="223" t="str">
        <f aca="false">CHOOSE(WEEKDAY(M1),"SUN","MON","TUE","WED","THU","FRI","SAT")</f>
        <v>MON</v>
      </c>
      <c r="O1" s="224"/>
    </row>
    <row r="2" customFormat="false" ht="16.5" hidden="false" customHeight="false" outlineLevel="0" collapsed="false">
      <c r="A2" s="225" t="s">
        <v>277</v>
      </c>
      <c r="B2" s="226" t="n">
        <f aca="false">PGL_Supplies!X7/1000</f>
        <v>0.3</v>
      </c>
      <c r="C2" s="227"/>
      <c r="D2" s="228"/>
      <c r="E2" s="229" t="s">
        <v>278</v>
      </c>
      <c r="F2" s="230"/>
      <c r="G2" s="231" t="s">
        <v>0</v>
      </c>
      <c r="H2" s="232" t="s">
        <v>0</v>
      </c>
      <c r="I2" s="233" t="s">
        <v>279</v>
      </c>
      <c r="J2" s="234" t="s">
        <v>280</v>
      </c>
      <c r="K2" s="235" t="s">
        <v>281</v>
      </c>
      <c r="L2" s="234" t="s">
        <v>18</v>
      </c>
      <c r="M2" s="235" t="s">
        <v>281</v>
      </c>
      <c r="N2" s="234" t="s">
        <v>18</v>
      </c>
      <c r="O2" s="236" t="s">
        <v>281</v>
      </c>
      <c r="Q2" s="237" t="s">
        <v>0</v>
      </c>
    </row>
    <row r="3" customFormat="false" ht="15.75" hidden="false" customHeight="false" outlineLevel="0" collapsed="false">
      <c r="A3" s="225" t="s">
        <v>282</v>
      </c>
      <c r="B3" s="238" t="n">
        <f aca="false">PGL_Requirements!J7/1000</f>
        <v>0</v>
      </c>
      <c r="C3" s="239" t="s">
        <v>0</v>
      </c>
      <c r="D3" s="240"/>
      <c r="E3" s="229" t="s">
        <v>283</v>
      </c>
      <c r="F3" s="226" t="n">
        <f aca="false">PGL_Supplies!I7/1000</f>
        <v>15</v>
      </c>
      <c r="G3" s="241" t="s">
        <v>0</v>
      </c>
      <c r="H3" s="232" t="s">
        <v>0</v>
      </c>
      <c r="I3" s="242" t="s">
        <v>0</v>
      </c>
      <c r="J3" s="243" t="n">
        <f aca="false">Weather_Input!B5</f>
        <v>87</v>
      </c>
      <c r="K3" s="244" t="n">
        <f aca="false">Weather_Input!C5</f>
        <v>64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284</v>
      </c>
      <c r="B4" s="249" t="n">
        <v>0</v>
      </c>
      <c r="C4" s="40"/>
      <c r="D4" s="250"/>
      <c r="E4" s="251" t="s">
        <v>285</v>
      </c>
      <c r="F4" s="252" t="n">
        <v>0</v>
      </c>
      <c r="G4" s="253" t="s">
        <v>0</v>
      </c>
      <c r="H4" s="254"/>
      <c r="I4" s="0" t="s">
        <v>286</v>
      </c>
      <c r="J4" s="255"/>
      <c r="K4" s="256" t="n">
        <v>78.7</v>
      </c>
      <c r="L4" s="257"/>
      <c r="M4" s="258"/>
      <c r="N4" s="257"/>
      <c r="O4" s="259"/>
    </row>
    <row r="5" customFormat="false" ht="16.5" hidden="false" customHeight="false" outlineLevel="0" collapsed="false">
      <c r="A5" s="260" t="s">
        <v>287</v>
      </c>
      <c r="B5" s="226" t="n">
        <f aca="false">PGL_Supplies!Y7/1000</f>
        <v>106.16</v>
      </c>
      <c r="C5" s="261" t="s">
        <v>0</v>
      </c>
      <c r="D5" s="262"/>
      <c r="E5" s="263" t="s">
        <v>288</v>
      </c>
      <c r="F5" s="264" t="n">
        <f aca="false">F3+F4</f>
        <v>15</v>
      </c>
      <c r="G5" s="265" t="s">
        <v>0</v>
      </c>
      <c r="H5" s="266" t="s">
        <v>0</v>
      </c>
      <c r="I5" s="267" t="s">
        <v>289</v>
      </c>
      <c r="J5" s="268" t="s">
        <v>0</v>
      </c>
      <c r="K5" s="269" t="n">
        <f aca="false">PGL_Deliveries!C5/1000</f>
        <v>215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290</v>
      </c>
      <c r="B6" s="272" t="n">
        <f aca="false">+B5-B3+B2-B4</f>
        <v>106.46</v>
      </c>
      <c r="C6" s="273" t="s">
        <v>0</v>
      </c>
      <c r="D6" s="274"/>
      <c r="E6" s="275" t="s">
        <v>0</v>
      </c>
      <c r="F6" s="276" t="s">
        <v>45</v>
      </c>
      <c r="G6" s="277"/>
      <c r="H6" s="278"/>
      <c r="I6" s="40" t="s">
        <v>291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88</v>
      </c>
      <c r="D7" s="286"/>
      <c r="E7" s="225" t="s">
        <v>292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293</v>
      </c>
      <c r="B8" s="226" t="n">
        <f aca="false">PGL_Requirements!U7/1000</f>
        <v>0</v>
      </c>
      <c r="C8" s="291"/>
      <c r="D8" s="240"/>
      <c r="E8" s="225" t="s">
        <v>294</v>
      </c>
      <c r="F8" s="241" t="n">
        <f aca="false">PGL_Requirements!F7/1000</f>
        <v>0</v>
      </c>
      <c r="G8" s="287" t="s">
        <v>0</v>
      </c>
      <c r="H8" s="288"/>
      <c r="I8" s="292" t="s">
        <v>295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296</v>
      </c>
      <c r="B9" s="226" t="n">
        <f aca="false">PGL_Supplies!R7/1000</f>
        <v>0</v>
      </c>
      <c r="C9" s="240"/>
      <c r="D9" s="240"/>
      <c r="E9" s="225" t="s">
        <v>297</v>
      </c>
      <c r="F9" s="226" t="n">
        <f aca="false">PGL_Supplies!G7/1000</f>
        <v>12</v>
      </c>
      <c r="G9" s="226"/>
      <c r="H9" s="288"/>
      <c r="I9" s="40" t="s">
        <v>87</v>
      </c>
      <c r="J9" s="255"/>
      <c r="K9" s="296" t="n">
        <f aca="false">+B6</f>
        <v>106.46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298</v>
      </c>
      <c r="B10" s="226" t="n">
        <f aca="false">PGL_Requirements!C7/1000</f>
        <v>0.2</v>
      </c>
      <c r="C10" s="255"/>
      <c r="D10" s="298"/>
      <c r="E10" s="225" t="s">
        <v>299</v>
      </c>
      <c r="F10" s="299" t="n">
        <f aca="false">PGL_Supplies!AD7/1000</f>
        <v>4</v>
      </c>
      <c r="G10" s="300"/>
      <c r="H10" s="301"/>
      <c r="I10" s="302" t="s">
        <v>300</v>
      </c>
      <c r="J10" s="303" t="s">
        <v>0</v>
      </c>
      <c r="K10" s="294" t="n">
        <f aca="false">B13</f>
        <v>0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301</v>
      </c>
      <c r="B11" s="226" t="n">
        <f aca="false">PGL_Supplies!C7/1000</f>
        <v>0</v>
      </c>
      <c r="C11" s="255"/>
      <c r="D11" s="298"/>
      <c r="E11" s="304" t="s">
        <v>302</v>
      </c>
      <c r="F11" s="305" t="n">
        <f aca="false">+F10+F9-F8+F7</f>
        <v>16</v>
      </c>
      <c r="G11" s="264" t="s">
        <v>0</v>
      </c>
      <c r="H11" s="306"/>
      <c r="I11" s="302" t="s">
        <v>77</v>
      </c>
      <c r="J11" s="303" t="s">
        <v>0</v>
      </c>
      <c r="K11" s="294" t="n">
        <f aca="false">B21</f>
        <v>-119.72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303</v>
      </c>
      <c r="B12" s="226" t="n">
        <f aca="false">PGL_Supplies!Z7/1000</f>
        <v>0.2</v>
      </c>
      <c r="C12" s="40"/>
      <c r="D12" s="308"/>
      <c r="E12" s="309" t="s">
        <v>0</v>
      </c>
      <c r="F12" s="310" t="s">
        <v>304</v>
      </c>
      <c r="G12" s="311"/>
      <c r="H12" s="312"/>
      <c r="I12" s="302" t="s">
        <v>305</v>
      </c>
      <c r="J12" s="303" t="s">
        <v>0</v>
      </c>
      <c r="K12" s="294" t="n">
        <f aca="false">B30</f>
        <v>0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290</v>
      </c>
      <c r="B13" s="265" t="n">
        <f aca="false">B12+B11-B10+B9-B8</f>
        <v>0</v>
      </c>
      <c r="C13" s="274"/>
      <c r="D13" s="274"/>
      <c r="E13" s="313" t="s">
        <v>306</v>
      </c>
      <c r="F13" s="230" t="s">
        <v>0</v>
      </c>
      <c r="G13" s="314" t="s">
        <v>0</v>
      </c>
      <c r="H13" s="315" t="s">
        <v>0</v>
      </c>
      <c r="I13" s="302" t="s">
        <v>307</v>
      </c>
      <c r="J13" s="316" t="s">
        <v>0</v>
      </c>
      <c r="K13" s="294" t="n">
        <f aca="false">B36</f>
        <v>179.642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77</v>
      </c>
      <c r="D14" s="318"/>
      <c r="E14" s="319" t="s">
        <v>308</v>
      </c>
      <c r="F14" s="240"/>
      <c r="G14" s="320"/>
      <c r="H14" s="321"/>
      <c r="I14" s="302" t="s">
        <v>309</v>
      </c>
      <c r="J14" s="303" t="s">
        <v>0</v>
      </c>
      <c r="K14" s="322" t="n">
        <f aca="false">F5</f>
        <v>15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95</v>
      </c>
      <c r="B15" s="226" t="n">
        <f aca="false">PGL_Requirements!P7/1000</f>
        <v>120</v>
      </c>
      <c r="C15" s="240"/>
      <c r="D15" s="323"/>
      <c r="E15" s="324" t="s">
        <v>310</v>
      </c>
      <c r="F15" s="325"/>
      <c r="G15" s="279"/>
      <c r="H15" s="326"/>
      <c r="I15" s="302" t="s">
        <v>311</v>
      </c>
      <c r="J15" s="303" t="s">
        <v>2</v>
      </c>
      <c r="K15" s="294" t="n">
        <f aca="false">F11</f>
        <v>16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312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313</v>
      </c>
      <c r="G16" s="328"/>
      <c r="H16" s="329"/>
      <c r="I16" s="302" t="s">
        <v>314</v>
      </c>
      <c r="J16" s="303" t="s">
        <v>2</v>
      </c>
      <c r="K16" s="322" t="n">
        <f aca="false">PGL_Supplies!B7/1000</f>
        <v>4.3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315</v>
      </c>
      <c r="B17" s="226" t="n">
        <f aca="false">SUM(PGL_Requirements!B7/1000)</f>
        <v>0</v>
      </c>
      <c r="C17" s="240"/>
      <c r="D17" s="288"/>
      <c r="E17" s="330" t="s">
        <v>316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317</v>
      </c>
      <c r="J17" s="334" t="s">
        <v>0</v>
      </c>
      <c r="K17" s="239" t="n">
        <f aca="false">-PGL_Requirements!G7/1000</f>
        <v>-0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318</v>
      </c>
      <c r="B18" s="226" t="n">
        <f aca="false">PGL_Supplies!H7/1000</f>
        <v>1</v>
      </c>
      <c r="C18" s="240"/>
      <c r="D18" s="288"/>
      <c r="E18" s="275" t="s">
        <v>0</v>
      </c>
      <c r="F18" s="289" t="s">
        <v>319</v>
      </c>
      <c r="G18" s="277"/>
      <c r="H18" s="278"/>
      <c r="I18" s="0" t="s">
        <v>320</v>
      </c>
      <c r="J18" s="255"/>
      <c r="K18" s="335" t="n">
        <f aca="false">-F19</f>
        <v>-10.4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321</v>
      </c>
      <c r="B19" s="226" t="n">
        <f aca="false">PGL_Requirements!R7/1000</f>
        <v>0.72</v>
      </c>
      <c r="C19" s="240"/>
      <c r="D19" s="288"/>
      <c r="E19" s="338" t="s">
        <v>322</v>
      </c>
      <c r="F19" s="339" t="n">
        <v>10.4</v>
      </c>
      <c r="G19" s="340" t="s">
        <v>0</v>
      </c>
      <c r="H19" s="341" t="s">
        <v>0</v>
      </c>
      <c r="I19" s="0" t="s">
        <v>222</v>
      </c>
      <c r="J19" s="342"/>
      <c r="K19" s="343" t="n">
        <f aca="false">-F24</f>
        <v>-34</v>
      </c>
      <c r="L19" s="342"/>
      <c r="M19" s="344"/>
      <c r="N19" s="342"/>
      <c r="O19" s="345"/>
    </row>
    <row r="20" customFormat="false" ht="16.5" hidden="false" customHeight="false" outlineLevel="0" collapsed="false">
      <c r="A20" s="225" t="s">
        <v>323</v>
      </c>
      <c r="B20" s="226" t="n">
        <f aca="false">PGL_Requirements!Q7/1000</f>
        <v>1.8</v>
      </c>
      <c r="C20" s="262"/>
      <c r="D20" s="301"/>
      <c r="E20" s="40"/>
      <c r="F20" s="40"/>
      <c r="G20" s="40"/>
      <c r="H20" s="346"/>
      <c r="I20" s="347" t="s">
        <v>310</v>
      </c>
      <c r="J20" s="348" t="s">
        <v>0</v>
      </c>
      <c r="K20" s="349" t="n">
        <f aca="false">SUM(K8:K19)</f>
        <v>157.282</v>
      </c>
      <c r="L20" s="350" t="s">
        <v>0</v>
      </c>
      <c r="M20" s="349" t="s">
        <v>0</v>
      </c>
      <c r="N20" s="350" t="s">
        <v>0</v>
      </c>
      <c r="O20" s="351"/>
    </row>
    <row r="21" customFormat="false" ht="16.5" hidden="false" customHeight="false" outlineLevel="0" collapsed="false">
      <c r="A21" s="271" t="s">
        <v>288</v>
      </c>
      <c r="B21" s="352" t="n">
        <f aca="false">-B15+B16+B18-B19-B17+B22+B23</f>
        <v>-119.72</v>
      </c>
      <c r="C21" s="353"/>
      <c r="D21" s="306"/>
      <c r="E21" s="354" t="s">
        <v>324</v>
      </c>
      <c r="F21" s="249" t="n">
        <v>0</v>
      </c>
      <c r="G21" s="298"/>
      <c r="H21" s="355"/>
      <c r="I21" s="276" t="s">
        <v>46</v>
      </c>
      <c r="J21" s="356" t="s">
        <v>0</v>
      </c>
      <c r="K21" s="357"/>
      <c r="L21" s="358"/>
      <c r="M21" s="358" t="s">
        <v>325</v>
      </c>
      <c r="N21" s="358"/>
      <c r="O21" s="290"/>
    </row>
    <row r="22" customFormat="false" ht="15" hidden="false" customHeight="false" outlineLevel="0" collapsed="false">
      <c r="A22" s="225" t="s">
        <v>326</v>
      </c>
      <c r="B22" s="226" t="n">
        <v>0</v>
      </c>
      <c r="C22" s="359"/>
      <c r="D22" s="360"/>
      <c r="E22" s="354" t="s">
        <v>327</v>
      </c>
      <c r="F22" s="249" t="n">
        <v>0</v>
      </c>
      <c r="G22" s="298"/>
      <c r="H22" s="355"/>
      <c r="I22" s="302" t="s">
        <v>328</v>
      </c>
      <c r="J22" s="303" t="s">
        <v>0</v>
      </c>
      <c r="K22" s="361" t="n">
        <f aca="false">-PGL_Supplies!J7/1000</f>
        <v>-0</v>
      </c>
      <c r="L22" s="362"/>
      <c r="M22" s="246"/>
      <c r="N22" s="362"/>
      <c r="O22" s="363"/>
    </row>
    <row r="23" customFormat="false" ht="18" hidden="false" customHeight="true" outlineLevel="0" collapsed="false">
      <c r="A23" s="225" t="s">
        <v>329</v>
      </c>
      <c r="B23" s="364" t="n">
        <v>0</v>
      </c>
      <c r="C23" s="365"/>
      <c r="D23" s="366"/>
      <c r="E23" s="367" t="s">
        <v>330</v>
      </c>
      <c r="F23" s="368" t="n">
        <v>0</v>
      </c>
      <c r="G23" s="325"/>
      <c r="H23" s="326"/>
      <c r="I23" s="302" t="s">
        <v>331</v>
      </c>
      <c r="J23" s="303" t="s">
        <v>0</v>
      </c>
      <c r="K23" s="294" t="n">
        <f aca="false">K5+K6-K20</f>
        <v>57.718</v>
      </c>
      <c r="L23" s="362"/>
      <c r="M23" s="294" t="s">
        <v>0</v>
      </c>
      <c r="N23" s="362"/>
      <c r="O23" s="369"/>
    </row>
    <row r="24" customFormat="false" ht="16.5" hidden="false" customHeight="false" outlineLevel="0" collapsed="false">
      <c r="A24" s="370" t="s">
        <v>332</v>
      </c>
      <c r="B24" s="371" t="n">
        <f aca="false">SUM(B4)</f>
        <v>0</v>
      </c>
      <c r="C24" s="372"/>
      <c r="D24" s="373"/>
      <c r="E24" s="374" t="s">
        <v>333</v>
      </c>
      <c r="F24" s="339" t="n">
        <f aca="false">PGL_Requirements!H7/1000*0.5</f>
        <v>34</v>
      </c>
      <c r="G24" s="340"/>
      <c r="H24" s="375"/>
      <c r="I24" s="376" t="s">
        <v>278</v>
      </c>
      <c r="J24" s="303" t="s">
        <v>0</v>
      </c>
      <c r="K24" s="294"/>
      <c r="L24" s="377" t="s">
        <v>0</v>
      </c>
      <c r="M24" s="378"/>
      <c r="N24" s="377" t="s">
        <v>0</v>
      </c>
      <c r="O24" s="369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89</v>
      </c>
      <c r="D25" s="278"/>
      <c r="E25" s="381" t="s">
        <v>334</v>
      </c>
      <c r="F25" s="382"/>
      <c r="G25" s="383"/>
      <c r="H25" s="384"/>
      <c r="I25" s="302" t="s">
        <v>335</v>
      </c>
      <c r="J25" s="385" t="s">
        <v>0</v>
      </c>
      <c r="K25" s="386" t="n">
        <f aca="false">SUM(B20+B22+B23)</f>
        <v>1.8</v>
      </c>
      <c r="L25" s="387"/>
      <c r="M25" s="388"/>
      <c r="N25" s="389" t="s">
        <v>0</v>
      </c>
      <c r="O25" s="363"/>
    </row>
    <row r="26" customFormat="false" ht="17.25" hidden="false" customHeight="false" outlineLevel="0" collapsed="false">
      <c r="A26" s="225" t="s">
        <v>336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337</v>
      </c>
      <c r="J26" s="394" t="s">
        <v>0</v>
      </c>
      <c r="K26" s="395" t="n">
        <f aca="false">SUM(K23:K25)</f>
        <v>59.518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338</v>
      </c>
      <c r="B27" s="398" t="n">
        <f aca="false">PGL_Supplies!D7/1000</f>
        <v>0</v>
      </c>
      <c r="C27" s="399"/>
      <c r="D27" s="288"/>
      <c r="E27" s="338" t="s">
        <v>339</v>
      </c>
      <c r="F27" s="400"/>
      <c r="G27" s="340"/>
      <c r="H27" s="341"/>
      <c r="I27" s="292" t="s">
        <v>340</v>
      </c>
      <c r="J27" s="401"/>
      <c r="K27" s="361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167</v>
      </c>
      <c r="B28" s="398" t="n">
        <f aca="false">PGL_Supplies!AA7/1000</f>
        <v>0</v>
      </c>
      <c r="C28" s="240"/>
      <c r="D28" s="288"/>
      <c r="E28" s="40"/>
      <c r="F28" s="391"/>
      <c r="G28" s="40"/>
      <c r="H28" s="392"/>
      <c r="I28" s="302" t="s">
        <v>341</v>
      </c>
      <c r="J28" s="406"/>
      <c r="K28" s="239" t="n">
        <f aca="false">PGL_Requirements!O7/1000</f>
        <v>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342</v>
      </c>
      <c r="B29" s="226" t="n">
        <f aca="false">PGL_Supplies!S7/1000</f>
        <v>0</v>
      </c>
      <c r="C29" s="390"/>
      <c r="D29" s="288"/>
      <c r="E29" s="409" t="s">
        <v>343</v>
      </c>
      <c r="F29" s="368"/>
      <c r="G29" s="325"/>
      <c r="H29" s="410"/>
      <c r="I29" s="302" t="s">
        <v>344</v>
      </c>
      <c r="J29" s="411"/>
      <c r="K29" s="412" t="n">
        <f aca="false">-PGL_Supplies!L7/1000</f>
        <v>-8.13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290</v>
      </c>
      <c r="B30" s="264" t="n">
        <f aca="false">-B26+B27-B28+B29</f>
        <v>0</v>
      </c>
      <c r="C30" s="414"/>
      <c r="D30" s="306"/>
      <c r="E30" s="415" t="s">
        <v>345</v>
      </c>
      <c r="F30" s="249"/>
      <c r="G30" s="298"/>
      <c r="H30" s="416"/>
      <c r="I30" s="417" t="s">
        <v>346</v>
      </c>
      <c r="J30" s="418"/>
      <c r="K30" s="280" t="n">
        <f aca="false">-PGL_Supplies!AC7/1000</f>
        <v>-50.985</v>
      </c>
      <c r="L30" s="419"/>
      <c r="M30" s="280" t="n">
        <f aca="false">-PGL_Supplies!AC7/1000</f>
        <v>-50.985</v>
      </c>
      <c r="N30" s="420"/>
      <c r="O30" s="421" t="n">
        <f aca="false">-PGL_Supplies!AC7/1000</f>
        <v>-50.985</v>
      </c>
    </row>
    <row r="31" customFormat="false" ht="16.5" hidden="false" customHeight="false" outlineLevel="0" collapsed="false">
      <c r="A31" s="422" t="s">
        <v>0</v>
      </c>
      <c r="B31" s="423" t="s">
        <v>347</v>
      </c>
      <c r="C31" s="423"/>
      <c r="D31" s="423"/>
      <c r="E31" s="344" t="s">
        <v>348</v>
      </c>
      <c r="F31" s="424"/>
      <c r="G31" s="308"/>
      <c r="H31" s="425"/>
      <c r="I31" s="426" t="s">
        <v>349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350</v>
      </c>
      <c r="B32" s="241" t="n">
        <f aca="false">PGL_Requirements!E7/1000</f>
        <v>5.8</v>
      </c>
      <c r="C32" s="320"/>
      <c r="D32" s="241" t="s">
        <v>0</v>
      </c>
      <c r="E32" s="374" t="s">
        <v>351</v>
      </c>
      <c r="F32" s="427"/>
      <c r="G32" s="428"/>
      <c r="H32" s="375"/>
      <c r="I32" s="292" t="s">
        <v>352</v>
      </c>
      <c r="J32" s="359"/>
      <c r="K32" s="429"/>
      <c r="L32" s="430" t="s">
        <v>353</v>
      </c>
      <c r="M32" s="40"/>
      <c r="N32" s="431"/>
      <c r="O32" s="432"/>
    </row>
    <row r="33" customFormat="false" ht="15" hidden="false" customHeight="false" outlineLevel="0" collapsed="false">
      <c r="A33" s="337" t="s">
        <v>354</v>
      </c>
      <c r="B33" s="398" t="n">
        <f aca="false">PGL_Supplies!E7/1000</f>
        <v>0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355</v>
      </c>
      <c r="J33" s="435"/>
      <c r="K33" s="436"/>
      <c r="L33" s="437" t="s">
        <v>343</v>
      </c>
      <c r="M33" s="258"/>
      <c r="N33" s="255"/>
      <c r="O33" s="259"/>
    </row>
    <row r="34" customFormat="false" ht="15" hidden="false" customHeight="false" outlineLevel="0" collapsed="false">
      <c r="A34" s="225" t="s">
        <v>167</v>
      </c>
      <c r="B34" s="398" t="n">
        <f aca="false">PGL_Supplies!AB7/1000+NSG_Supplies!N7/1000</f>
        <v>168.275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356</v>
      </c>
      <c r="J34" s="323"/>
      <c r="K34" s="439"/>
      <c r="L34" s="437" t="s">
        <v>357</v>
      </c>
      <c r="M34" s="258"/>
      <c r="N34" s="255"/>
      <c r="O34" s="259"/>
    </row>
    <row r="35" customFormat="false" ht="15.75" hidden="false" customHeight="false" outlineLevel="0" collapsed="false">
      <c r="A35" s="440" t="s">
        <v>358</v>
      </c>
      <c r="B35" s="398" t="n">
        <f aca="false">PGL_Supplies!T7/1000</f>
        <v>34.334</v>
      </c>
      <c r="C35" s="398" t="s">
        <v>0</v>
      </c>
      <c r="D35" s="250"/>
      <c r="E35" s="40"/>
      <c r="F35" s="40"/>
      <c r="G35" s="40"/>
      <c r="H35" s="392"/>
      <c r="I35" s="438" t="s">
        <v>359</v>
      </c>
      <c r="J35" s="323"/>
      <c r="K35" s="436"/>
      <c r="L35" s="441" t="s">
        <v>360</v>
      </c>
      <c r="M35" s="258"/>
      <c r="N35" s="255"/>
      <c r="O35" s="259"/>
    </row>
    <row r="36" customFormat="false" ht="16.5" hidden="false" customHeight="false" outlineLevel="0" collapsed="false">
      <c r="A36" s="442" t="s">
        <v>361</v>
      </c>
      <c r="B36" s="400" t="n">
        <f aca="false">-B32+B33+B34+B35*0.5</f>
        <v>179.642</v>
      </c>
      <c r="C36" s="340"/>
      <c r="D36" s="443" t="s">
        <v>0</v>
      </c>
      <c r="E36" s="40"/>
      <c r="F36" s="40"/>
      <c r="G36" s="40"/>
      <c r="H36" s="392"/>
      <c r="I36" s="438" t="s">
        <v>362</v>
      </c>
      <c r="J36" s="323"/>
      <c r="K36" s="436"/>
      <c r="L36" s="441" t="s">
        <v>53</v>
      </c>
      <c r="M36" s="258"/>
      <c r="N36" s="255"/>
      <c r="O36" s="259"/>
    </row>
    <row r="37" customFormat="false" ht="15" hidden="false" customHeight="false" outlineLevel="0" collapsed="false">
      <c r="A37" s="444" t="s">
        <v>363</v>
      </c>
      <c r="B37" s="445"/>
      <c r="C37" s="445"/>
      <c r="D37" s="446" t="s">
        <v>0</v>
      </c>
      <c r="E37" s="40"/>
      <c r="F37" s="40"/>
      <c r="G37" s="40"/>
      <c r="H37" s="40"/>
      <c r="I37" s="447" t="s">
        <v>364</v>
      </c>
      <c r="J37" s="323"/>
      <c r="K37" s="436"/>
      <c r="L37" s="448" t="s">
        <v>365</v>
      </c>
      <c r="M37" s="258"/>
      <c r="N37" s="255"/>
      <c r="O37" s="259"/>
    </row>
    <row r="38" customFormat="false" ht="15.75" hidden="false" customHeight="false" outlineLevel="0" collapsed="false">
      <c r="A38" s="449" t="s">
        <v>366</v>
      </c>
      <c r="B38" s="226" t="n">
        <f aca="false">B36-B37-B39</f>
        <v>145.642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367</v>
      </c>
      <c r="J38" s="323"/>
      <c r="K38" s="436"/>
      <c r="L38" s="291" t="s">
        <v>368</v>
      </c>
      <c r="M38" s="40"/>
      <c r="N38" s="279"/>
      <c r="O38" s="453"/>
    </row>
    <row r="39" customFormat="false" ht="16.5" hidden="false" customHeight="false" outlineLevel="0" collapsed="false">
      <c r="A39" s="454" t="s">
        <v>369</v>
      </c>
      <c r="B39" s="455" t="n">
        <f aca="false">F24</f>
        <v>34</v>
      </c>
      <c r="C39" s="255"/>
      <c r="D39" s="456" t="s">
        <v>0</v>
      </c>
      <c r="E39" s="40"/>
      <c r="F39" s="40"/>
      <c r="G39" s="40"/>
      <c r="H39" s="40"/>
      <c r="I39" s="457" t="s">
        <v>370</v>
      </c>
      <c r="J39" s="458"/>
      <c r="K39" s="459"/>
      <c r="L39" s="374" t="s">
        <v>371</v>
      </c>
      <c r="M39" s="428"/>
      <c r="N39" s="428"/>
      <c r="O39" s="460"/>
    </row>
    <row r="40" customFormat="false" ht="16.5" hidden="false" customHeight="false" outlineLevel="0" collapsed="false">
      <c r="A40" s="461" t="s">
        <v>372</v>
      </c>
      <c r="B40" s="462" t="n">
        <f aca="false">B37+B38+B39</f>
        <v>179.642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373</v>
      </c>
      <c r="K40" s="467"/>
      <c r="L40" s="468" t="s">
        <v>374</v>
      </c>
      <c r="M40" s="465"/>
      <c r="N40" s="465" t="s">
        <v>375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276</v>
      </c>
      <c r="F1" s="221" t="str">
        <f aca="false">CHOOSE(WEEKDAY(G1),"SUN","MON","TUE","WED","THU","FRI","SAT")</f>
        <v>MON</v>
      </c>
      <c r="G1" s="480" t="n">
        <f aca="false">Weather_Input!A5</f>
        <v>37053</v>
      </c>
      <c r="H1" s="221" t="s">
        <v>376</v>
      </c>
      <c r="I1" s="224"/>
    </row>
    <row r="2" customFormat="false" ht="20.25" hidden="false" customHeight="false" outlineLevel="0" collapsed="false">
      <c r="A2" s="481" t="s">
        <v>0</v>
      </c>
      <c r="B2" s="482" t="s">
        <v>377</v>
      </c>
      <c r="C2" s="483" t="n">
        <v>78.7</v>
      </c>
      <c r="D2" s="38" t="s">
        <v>378</v>
      </c>
      <c r="E2" s="484"/>
      <c r="F2" s="38" t="s">
        <v>379</v>
      </c>
      <c r="G2" s="484"/>
      <c r="H2" s="485" t="s">
        <v>380</v>
      </c>
      <c r="I2" s="486"/>
    </row>
    <row r="3" customFormat="false" ht="20.25" hidden="false" customHeight="false" outlineLevel="0" collapsed="false">
      <c r="A3" s="487" t="s">
        <v>381</v>
      </c>
      <c r="B3" s="488" t="s">
        <v>18</v>
      </c>
      <c r="C3" s="489"/>
      <c r="D3" s="490" t="s">
        <v>18</v>
      </c>
      <c r="E3" s="489" t="s">
        <v>19</v>
      </c>
      <c r="F3" s="490" t="s">
        <v>18</v>
      </c>
      <c r="G3" s="490" t="s">
        <v>19</v>
      </c>
      <c r="H3" s="488" t="s">
        <v>18</v>
      </c>
      <c r="I3" s="491" t="s">
        <v>19</v>
      </c>
    </row>
    <row r="4" customFormat="false" ht="21" hidden="false" customHeight="false" outlineLevel="0" collapsed="false">
      <c r="A4" s="492"/>
      <c r="B4" s="493" t="n">
        <f aca="false">Weather_Input!B5</f>
        <v>87</v>
      </c>
      <c r="C4" s="494" t="n">
        <f aca="false">Weather_Input!C5</f>
        <v>64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221</v>
      </c>
      <c r="B5" s="500"/>
      <c r="C5" s="501" t="n">
        <f aca="false">NSG_Deliveries!C5/1000</f>
        <v>36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131</v>
      </c>
      <c r="B7" s="500"/>
      <c r="C7" s="510" t="n">
        <f aca="false">C5-C9-C11-C12</f>
        <v>0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382</v>
      </c>
      <c r="B9" s="514"/>
      <c r="C9" s="515" t="n">
        <f aca="false">B46</f>
        <v>9.175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383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384</v>
      </c>
      <c r="B12" s="527"/>
      <c r="C12" s="528" t="n">
        <f aca="false">+C5-C9</f>
        <v>26.825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152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174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385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386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387</v>
      </c>
      <c r="B18" s="505"/>
      <c r="C18" s="506" t="s">
        <v>0</v>
      </c>
      <c r="D18" s="507"/>
      <c r="E18" s="506"/>
      <c r="F18" s="507"/>
      <c r="G18" s="358" t="s">
        <v>388</v>
      </c>
      <c r="H18" s="505"/>
      <c r="I18" s="552"/>
    </row>
    <row r="19" customFormat="false" ht="24" hidden="false" customHeight="false" outlineLevel="0" collapsed="false">
      <c r="A19" s="553" t="s">
        <v>337</v>
      </c>
      <c r="B19" s="554"/>
      <c r="C19" s="555" t="n">
        <f aca="false">C7+C12</f>
        <v>26.825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389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390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391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392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341</v>
      </c>
      <c r="B24" s="568"/>
      <c r="C24" s="561" t="n">
        <f aca="false">NSG_Requirements!H7/1000</f>
        <v>2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344</v>
      </c>
      <c r="B25" s="565"/>
      <c r="C25" s="561" t="n">
        <f aca="false">-NSG_Supplies!F7/1000</f>
        <v>-0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346</v>
      </c>
      <c r="B26" s="568"/>
      <c r="C26" s="561" t="n">
        <f aca="false">-NSG_Supplies!R7/1000</f>
        <v>-28.828</v>
      </c>
      <c r="D26" s="569"/>
      <c r="E26" s="561" t="n">
        <f aca="false">-NSG_Supplies!R7/1000</f>
        <v>-28.828</v>
      </c>
      <c r="F26" s="569"/>
      <c r="G26" s="561" t="n">
        <f aca="false">-NSG_Supplies!R7/1000</f>
        <v>-28.828</v>
      </c>
      <c r="H26" s="568"/>
      <c r="I26" s="570" t="n">
        <f aca="false">-NSG_Supplies!R7/1000</f>
        <v>-28.828</v>
      </c>
    </row>
    <row r="27" customFormat="false" ht="20.25" hidden="false" customHeight="false" outlineLevel="0" collapsed="false">
      <c r="A27" s="559" t="s">
        <v>393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394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383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395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396</v>
      </c>
      <c r="G30" s="589"/>
      <c r="H30" s="589"/>
      <c r="I30" s="590"/>
    </row>
    <row r="31" customFormat="false" ht="20.25" hidden="false" customHeight="false" outlineLevel="0" collapsed="false">
      <c r="A31" s="591" t="s">
        <v>397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398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399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400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401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402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167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403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404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405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406</v>
      </c>
      <c r="B41" s="608" t="n">
        <f aca="false">NSG_Requirements!J7/1000</f>
        <v>6.04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407</v>
      </c>
      <c r="B42" s="609" t="n">
        <f aca="false">NSG_Supplies!E7/1000</f>
        <v>0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408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409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410</v>
      </c>
      <c r="B45" s="609" t="n">
        <f aca="false">NSG_Supplies!Q7/1000</f>
        <v>15.215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403</v>
      </c>
      <c r="B46" s="612" t="n">
        <f aca="false">B45+B42-B41</f>
        <v>9.175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89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411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412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400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167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413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414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415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276</v>
      </c>
      <c r="F1" s="638" t="n">
        <f aca="false">Weather_Input!A5</f>
        <v>37053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3"/>
    </row>
    <row r="3" customFormat="false" ht="17.1" hidden="false" customHeight="true" outlineLevel="0" collapsed="false">
      <c r="A3" s="641"/>
      <c r="B3" s="642" t="s">
        <v>416</v>
      </c>
      <c r="C3" s="643" t="n">
        <v>44</v>
      </c>
      <c r="D3" s="233"/>
      <c r="E3" s="233"/>
      <c r="F3" s="643" t="s">
        <v>417</v>
      </c>
      <c r="G3" s="643"/>
      <c r="H3" s="233" t="s">
        <v>418</v>
      </c>
      <c r="I3" s="363"/>
    </row>
    <row r="4" customFormat="false" ht="17.1" hidden="false" customHeight="true" outlineLevel="0" collapsed="false">
      <c r="A4" s="644" t="s">
        <v>419</v>
      </c>
      <c r="B4" s="644" t="s">
        <v>419</v>
      </c>
      <c r="C4" s="362" t="s">
        <v>281</v>
      </c>
      <c r="D4" s="362" t="s">
        <v>18</v>
      </c>
      <c r="E4" s="362" t="s">
        <v>281</v>
      </c>
      <c r="F4" s="362" t="s">
        <v>18</v>
      </c>
      <c r="G4" s="362" t="s">
        <v>281</v>
      </c>
      <c r="H4" s="362" t="s">
        <v>18</v>
      </c>
      <c r="I4" s="247" t="s">
        <v>281</v>
      </c>
    </row>
    <row r="5" customFormat="false" ht="17.1" hidden="false" customHeight="true" outlineLevel="0" collapsed="false">
      <c r="A5" s="644" t="s">
        <v>420</v>
      </c>
      <c r="B5" s="362" t="n">
        <f aca="false">Weather_Input!B5</f>
        <v>87</v>
      </c>
      <c r="C5" s="362" t="n">
        <f aca="false">Weather_Input!C5</f>
        <v>64</v>
      </c>
      <c r="D5" s="362"/>
      <c r="E5" s="362"/>
      <c r="F5" s="362"/>
      <c r="G5" s="362"/>
      <c r="H5" s="362"/>
      <c r="I5" s="247"/>
    </row>
    <row r="6" customFormat="false" ht="17.1" hidden="false" customHeight="true" outlineLevel="0" collapsed="false">
      <c r="A6" s="644" t="s">
        <v>421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422</v>
      </c>
      <c r="B7" s="645"/>
      <c r="C7" s="646"/>
      <c r="D7" s="233"/>
      <c r="E7" s="645"/>
      <c r="F7" s="646"/>
      <c r="G7" s="646"/>
      <c r="H7" s="646"/>
      <c r="I7" s="363"/>
    </row>
    <row r="8" customFormat="false" ht="17.1" hidden="false" customHeight="true" outlineLevel="0" collapsed="false">
      <c r="A8" s="647" t="s">
        <v>423</v>
      </c>
      <c r="B8" s="648" t="n">
        <f aca="false">PGL_Deliveries!C5/1000</f>
        <v>215</v>
      </c>
      <c r="C8" s="649" t="n">
        <f aca="false">NSG_Deliveries!C5/1000</f>
        <v>36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66</v>
      </c>
      <c r="C9" s="653" t="s">
        <v>127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88</v>
      </c>
      <c r="B10" s="303" t="n">
        <f aca="false">B62</f>
        <v>0</v>
      </c>
      <c r="C10" s="245"/>
      <c r="D10" s="362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424</v>
      </c>
      <c r="B11" s="303" t="n">
        <f aca="false">+B54</f>
        <v>138.663</v>
      </c>
      <c r="C11" s="657" t="s">
        <v>0</v>
      </c>
      <c r="D11" s="362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425</v>
      </c>
      <c r="B12" s="303" t="n">
        <f aca="false">PGL_Supplies!K7/1000</f>
        <v>0</v>
      </c>
      <c r="C12" s="657"/>
      <c r="D12" s="362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97</v>
      </c>
      <c r="B13" s="303" t="n">
        <f aca="false">PGL_Supplies!I7/1000</f>
        <v>15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426</v>
      </c>
      <c r="B14" s="316" t="n">
        <f aca="false">+B72</f>
        <v>2.16</v>
      </c>
      <c r="C14" s="245"/>
      <c r="D14" s="362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70</v>
      </c>
      <c r="B15" s="303" t="n">
        <f aca="false">+B46</f>
        <v>1</v>
      </c>
      <c r="C15" s="245" t="s">
        <v>0</v>
      </c>
      <c r="D15" s="362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427</v>
      </c>
      <c r="B16" s="303" t="n">
        <f aca="false">PGL_Requirements!G7/1000</f>
        <v>0</v>
      </c>
      <c r="C16" s="245"/>
      <c r="D16" s="362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428</v>
      </c>
      <c r="B17" s="303" t="n">
        <f aca="false">PGL_Supplies!B7/1000</f>
        <v>4.3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429</v>
      </c>
      <c r="B18" s="662" t="n">
        <f aca="false">-B10-B11-B12-B13-B14-B15+B16-B17</f>
        <v>-161.123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78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430</v>
      </c>
      <c r="B20" s="303" t="n">
        <f aca="false">B8+B18+B19</f>
        <v>53.877</v>
      </c>
      <c r="C20" s="668" t="n">
        <f aca="false">C8+C18+C19</f>
        <v>36</v>
      </c>
      <c r="D20" s="362"/>
      <c r="E20" s="245"/>
      <c r="F20" s="362"/>
      <c r="G20" s="245"/>
      <c r="H20" s="246"/>
      <c r="I20" s="363"/>
    </row>
    <row r="21" customFormat="false" ht="17.1" hidden="false" customHeight="true" outlineLevel="0" collapsed="false">
      <c r="A21" s="666" t="s">
        <v>431</v>
      </c>
      <c r="B21" s="303" t="n">
        <v>0</v>
      </c>
      <c r="C21" s="245"/>
      <c r="D21" s="362"/>
      <c r="E21" s="245"/>
      <c r="F21" s="362"/>
      <c r="G21" s="245"/>
      <c r="H21" s="246"/>
      <c r="I21" s="369"/>
    </row>
    <row r="22" customFormat="false" ht="17.1" hidden="false" customHeight="true" outlineLevel="0" collapsed="false">
      <c r="A22" s="666" t="s">
        <v>432</v>
      </c>
      <c r="B22" s="303" t="n">
        <f aca="false">+B44</f>
        <v>1.8</v>
      </c>
      <c r="C22" s="245"/>
      <c r="D22" s="362"/>
      <c r="E22" s="245"/>
      <c r="F22" s="377" t="s">
        <v>0</v>
      </c>
      <c r="G22" s="659"/>
      <c r="H22" s="669" t="s">
        <v>0</v>
      </c>
      <c r="I22" s="363"/>
    </row>
    <row r="23" customFormat="false" ht="17.1" hidden="false" customHeight="true" outlineLevel="0" collapsed="false">
      <c r="A23" s="670" t="s">
        <v>433</v>
      </c>
      <c r="B23" s="671" t="n">
        <f aca="false">B20+B21+B22</f>
        <v>55.677</v>
      </c>
      <c r="C23" s="672" t="n">
        <f aca="false">C20</f>
        <v>36</v>
      </c>
      <c r="D23" s="362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434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435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436</v>
      </c>
      <c r="B27" s="680" t="n">
        <f aca="false">PGL_Requirements!R7/1000</f>
        <v>0.72</v>
      </c>
      <c r="C27" s="680" t="n">
        <f aca="false">NSG_Requirements!P7/1000</f>
        <v>0</v>
      </c>
      <c r="D27" s="680" t="n">
        <f aca="false">PGL_Requirements!R7/1000</f>
        <v>0.72</v>
      </c>
      <c r="E27" s="680" t="n">
        <f aca="false">NSG_Requirements!P7/1000</f>
        <v>0</v>
      </c>
      <c r="F27" s="680" t="n">
        <f aca="false">PGL_Requirements!R7/1000</f>
        <v>0.72</v>
      </c>
      <c r="G27" s="680" t="n">
        <f aca="false">NSG_Requirements!P7/1000</f>
        <v>0</v>
      </c>
      <c r="H27" s="681" t="n">
        <f aca="false">+B27</f>
        <v>0.72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437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438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439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440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346</v>
      </c>
      <c r="B32" s="684" t="n">
        <f aca="false">-PGL_Supplies!AC7/1000</f>
        <v>-50.985</v>
      </c>
      <c r="C32" s="684" t="n">
        <f aca="false">-NSG_Supplies!R7/1000</f>
        <v>-28.828</v>
      </c>
      <c r="D32" s="684" t="n">
        <f aca="false">B32</f>
        <v>-50.985</v>
      </c>
      <c r="E32" s="684" t="n">
        <f aca="false">C32</f>
        <v>-28.828</v>
      </c>
      <c r="F32" s="684" t="n">
        <f aca="false">B32</f>
        <v>-50.985</v>
      </c>
      <c r="G32" s="684" t="n">
        <f aca="false">C32</f>
        <v>-28.828</v>
      </c>
      <c r="H32" s="685" t="n">
        <f aca="false">B32</f>
        <v>-50.985</v>
      </c>
      <c r="I32" s="686" t="n">
        <f aca="false">C32</f>
        <v>-28.828</v>
      </c>
    </row>
    <row r="33" customFormat="false" ht="17.1" hidden="false" customHeight="true" outlineLevel="0" collapsed="false">
      <c r="A33" s="683" t="s">
        <v>441</v>
      </c>
      <c r="B33" s="684" t="n">
        <f aca="false">-PGL_Supplies!X7/1000</f>
        <v>-0.3</v>
      </c>
      <c r="C33" s="684" t="n">
        <f aca="false">-NSG_Supplies!S7/1000</f>
        <v>-16.954</v>
      </c>
      <c r="D33" s="684" t="n">
        <f aca="false">B33</f>
        <v>-0.3</v>
      </c>
      <c r="E33" s="684" t="n">
        <f aca="false">C33</f>
        <v>-16.954</v>
      </c>
      <c r="F33" s="684" t="n">
        <f aca="false">B33</f>
        <v>-0.3</v>
      </c>
      <c r="G33" s="684" t="n">
        <f aca="false">C33</f>
        <v>-16.954</v>
      </c>
      <c r="H33" s="685" t="n">
        <f aca="false">B33</f>
        <v>-0.3</v>
      </c>
      <c r="I33" s="686" t="n">
        <f aca="false">C33</f>
        <v>-16.954</v>
      </c>
    </row>
    <row r="34" customFormat="false" ht="17.1" hidden="false" customHeight="true" outlineLevel="0" collapsed="false">
      <c r="A34" s="679" t="s">
        <v>442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443</v>
      </c>
      <c r="B35" s="680" t="n">
        <f aca="false">PGL_Requirements!O7/1000</f>
        <v>0</v>
      </c>
      <c r="C35" s="680" t="n">
        <f aca="false">NSG_Requirements!H7/1000</f>
        <v>2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444</v>
      </c>
      <c r="B36" s="684" t="n">
        <f aca="false">-PGL_Supplies!L7/1000</f>
        <v>-8.13</v>
      </c>
      <c r="C36" s="684" t="n">
        <f aca="false">-NSG_Supplies!F7/1000</f>
        <v>-0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445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446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447</v>
      </c>
      <c r="C39" s="697"/>
      <c r="D39" s="698"/>
      <c r="E39" s="699"/>
      <c r="F39" s="426" t="s">
        <v>349</v>
      </c>
      <c r="G39" s="426"/>
      <c r="H39" s="426"/>
      <c r="I39" s="426"/>
    </row>
    <row r="40" customFormat="false" ht="17.1" hidden="false" customHeight="true" outlineLevel="0" collapsed="false">
      <c r="A40" s="225" t="s">
        <v>102</v>
      </c>
      <c r="B40" s="684" t="n">
        <f aca="false">PGL_Requirements!P7/1000</f>
        <v>120</v>
      </c>
      <c r="C40" s="684" t="s">
        <v>0</v>
      </c>
      <c r="D40" s="700"/>
      <c r="E40" s="694"/>
      <c r="F40" s="701" t="s">
        <v>448</v>
      </c>
      <c r="G40" s="240"/>
      <c r="H40" s="702"/>
      <c r="I40" s="703"/>
    </row>
    <row r="41" customFormat="false" ht="17.1" hidden="false" customHeight="true" outlineLevel="0" collapsed="false">
      <c r="A41" s="225" t="s">
        <v>449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450</v>
      </c>
      <c r="G41" s="240"/>
      <c r="H41" s="691"/>
      <c r="I41" s="703"/>
    </row>
    <row r="42" customFormat="false" ht="17.1" hidden="false" customHeight="true" outlineLevel="0" collapsed="false">
      <c r="A42" s="225" t="s">
        <v>451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452</v>
      </c>
      <c r="G42" s="240"/>
      <c r="H42" s="691"/>
      <c r="I42" s="703"/>
    </row>
    <row r="43" customFormat="false" ht="17.1" hidden="false" customHeight="true" outlineLevel="0" collapsed="false">
      <c r="A43" s="225" t="s">
        <v>453</v>
      </c>
      <c r="B43" s="684" t="n">
        <f aca="false">PGL_Supplies!H7/1000</f>
        <v>1</v>
      </c>
      <c r="C43" s="240"/>
      <c r="D43" s="240"/>
      <c r="E43" s="694"/>
      <c r="F43" s="704" t="s">
        <v>454</v>
      </c>
      <c r="G43" s="240"/>
      <c r="H43" s="691"/>
      <c r="I43" s="703"/>
    </row>
    <row r="44" customFormat="false" ht="17.1" hidden="false" customHeight="true" outlineLevel="0" collapsed="false">
      <c r="A44" s="225" t="s">
        <v>432</v>
      </c>
      <c r="B44" s="705" t="n">
        <f aca="false">+B48+B47+B45</f>
        <v>1.8</v>
      </c>
      <c r="C44" s="706"/>
      <c r="D44" s="240"/>
      <c r="E44" s="694"/>
      <c r="F44" s="704" t="s">
        <v>455</v>
      </c>
      <c r="G44" s="240"/>
      <c r="H44" s="691"/>
      <c r="I44" s="703"/>
    </row>
    <row r="45" customFormat="false" ht="17.1" hidden="false" customHeight="true" outlineLevel="0" collapsed="false">
      <c r="A45" s="225" t="s">
        <v>104</v>
      </c>
      <c r="B45" s="684" t="n">
        <f aca="false">PGL_Requirements!Q7/1000</f>
        <v>1.8</v>
      </c>
      <c r="C45" s="240"/>
      <c r="D45" s="240"/>
      <c r="E45" s="694"/>
      <c r="F45" s="707" t="s">
        <v>456</v>
      </c>
      <c r="G45" s="240"/>
      <c r="H45" s="691"/>
      <c r="I45" s="703"/>
    </row>
    <row r="46" customFormat="false" ht="17.1" hidden="false" customHeight="true" outlineLevel="0" collapsed="false">
      <c r="A46" s="683" t="s">
        <v>457</v>
      </c>
      <c r="B46" s="684" t="n">
        <f aca="false">+B47+B43+B41</f>
        <v>1</v>
      </c>
      <c r="C46" s="240"/>
      <c r="D46" s="240"/>
      <c r="E46" s="694"/>
      <c r="F46" s="704" t="s">
        <v>458</v>
      </c>
      <c r="G46" s="240"/>
      <c r="H46" s="691"/>
      <c r="I46" s="703"/>
    </row>
    <row r="47" customFormat="false" ht="17.1" hidden="false" customHeight="true" outlineLevel="0" collapsed="false">
      <c r="A47" s="225" t="s">
        <v>329</v>
      </c>
      <c r="B47" s="708" t="n">
        <v>0</v>
      </c>
      <c r="C47" s="240"/>
      <c r="D47" s="240"/>
      <c r="E47" s="694"/>
      <c r="F47" s="704" t="s">
        <v>459</v>
      </c>
      <c r="G47" s="240"/>
      <c r="H47" s="691"/>
      <c r="I47" s="703"/>
    </row>
    <row r="48" customFormat="false" ht="17.1" hidden="false" customHeight="true" outlineLevel="0" collapsed="false">
      <c r="A48" s="225" t="s">
        <v>326</v>
      </c>
      <c r="B48" s="709" t="n">
        <v>0</v>
      </c>
      <c r="C48" s="710"/>
      <c r="D48" s="710"/>
      <c r="E48" s="711"/>
      <c r="F48" s="704" t="s">
        <v>460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461</v>
      </c>
      <c r="C49" s="713"/>
      <c r="D49" s="713"/>
      <c r="E49" s="714" t="s">
        <v>0</v>
      </c>
      <c r="F49" s="715" t="s">
        <v>462</v>
      </c>
      <c r="G49" s="262"/>
      <c r="H49" s="716"/>
      <c r="I49" s="703"/>
    </row>
    <row r="50" customFormat="false" ht="17.1" hidden="false" customHeight="true" outlineLevel="0" collapsed="false">
      <c r="A50" s="225" t="s">
        <v>463</v>
      </c>
      <c r="B50" s="226" t="n">
        <f aca="false">PGL_Supplies!V7/1000+PGL_Supplies!D7/1000</f>
        <v>138.663</v>
      </c>
      <c r="C50" s="240"/>
      <c r="D50" s="240"/>
      <c r="E50" s="240"/>
      <c r="F50" s="683" t="s">
        <v>464</v>
      </c>
      <c r="G50" s="717"/>
      <c r="H50" s="390"/>
      <c r="I50" s="703"/>
    </row>
    <row r="51" customFormat="false" ht="17.1" hidden="false" customHeight="true" outlineLevel="0" collapsed="false">
      <c r="A51" s="225" t="s">
        <v>465</v>
      </c>
      <c r="B51" s="226" t="n">
        <f aca="false">PGL_Supplies!AA7/1000</f>
        <v>0</v>
      </c>
      <c r="C51" s="706"/>
      <c r="D51" s="240"/>
      <c r="E51" s="240"/>
      <c r="F51" s="718" t="s">
        <v>466</v>
      </c>
      <c r="G51" s="717"/>
      <c r="H51" s="691"/>
      <c r="I51" s="703"/>
    </row>
    <row r="52" customFormat="false" ht="17.1" hidden="false" customHeight="true" outlineLevel="0" collapsed="false">
      <c r="A52" s="225" t="s">
        <v>467</v>
      </c>
      <c r="B52" s="226" t="n">
        <f aca="false">NSG_Supplies!O7/1000+PGL_Supplies!Q7/1000</f>
        <v>0</v>
      </c>
      <c r="C52" s="240"/>
      <c r="D52" s="240"/>
      <c r="E52" s="240"/>
      <c r="F52" s="719" t="s">
        <v>468</v>
      </c>
      <c r="G52" s="720"/>
      <c r="H52" s="721"/>
      <c r="I52" s="703"/>
    </row>
    <row r="53" customFormat="false" ht="17.1" hidden="false" customHeight="true" outlineLevel="0" collapsed="false">
      <c r="A53" s="337" t="s">
        <v>469</v>
      </c>
      <c r="B53" s="226" t="n">
        <f aca="false">PGL_Requirements!J7/1000+NSG_Requirements!E7/1000</f>
        <v>0</v>
      </c>
      <c r="C53" s="240"/>
      <c r="D53" s="240"/>
      <c r="E53" s="240"/>
      <c r="F53" s="715" t="s">
        <v>371</v>
      </c>
      <c r="G53" s="722"/>
      <c r="H53" s="706"/>
      <c r="I53" s="703"/>
    </row>
    <row r="54" customFormat="false" ht="17.1" hidden="false" customHeight="true" outlineLevel="0" collapsed="false">
      <c r="A54" s="683" t="s">
        <v>470</v>
      </c>
      <c r="B54" s="723" t="n">
        <f aca="false">SUM(B50+B51+B52-B53)</f>
        <v>138.663</v>
      </c>
      <c r="C54" s="226"/>
      <c r="D54" s="240"/>
      <c r="E54" s="240"/>
      <c r="F54" s="724" t="s">
        <v>471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88</v>
      </c>
      <c r="C55" s="725"/>
      <c r="D55" s="725"/>
      <c r="E55" s="725"/>
      <c r="F55" s="319" t="s">
        <v>472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441</v>
      </c>
      <c r="B56" s="226" t="n">
        <f aca="false">PGL_Supplies!U7/1000</f>
        <v>0</v>
      </c>
      <c r="C56" s="240"/>
      <c r="D56" s="240"/>
      <c r="E56" s="240"/>
      <c r="F56" s="319" t="s">
        <v>473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474</v>
      </c>
      <c r="B57" s="226" t="n">
        <f aca="false">PGL_Supplies!Z7/1000+PGL_Supplies!C7/1000-PGL_Requirements!C7/1000</f>
        <v>0</v>
      </c>
      <c r="C57" s="240"/>
      <c r="D57" s="240"/>
      <c r="E57" s="240"/>
      <c r="F57" s="319" t="s">
        <v>475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476</v>
      </c>
      <c r="B58" s="226" t="n">
        <f aca="false">PGL_Requirements!U7/1000</f>
        <v>0</v>
      </c>
      <c r="C58" s="240"/>
      <c r="D58" s="240"/>
      <c r="E58" s="240"/>
      <c r="F58" s="319" t="s">
        <v>477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478</v>
      </c>
      <c r="B59" s="226" t="n">
        <f aca="false">PGL_Supplies!R7/1000</f>
        <v>0</v>
      </c>
      <c r="C59" s="240"/>
      <c r="D59" s="240"/>
      <c r="E59" s="240"/>
      <c r="F59" s="731" t="s">
        <v>469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469</v>
      </c>
      <c r="B60" s="226" t="n">
        <f aca="false">PGL_Requirements!I7/1000</f>
        <v>0</v>
      </c>
      <c r="C60" s="240"/>
      <c r="D60" s="240"/>
      <c r="E60" s="240"/>
      <c r="F60" s="734" t="s">
        <v>479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480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481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470</v>
      </c>
      <c r="B62" s="723" t="n">
        <f aca="false">B56+B57-B58+B59-B60+B61</f>
        <v>0</v>
      </c>
      <c r="C62" s="739"/>
      <c r="D62" s="739"/>
      <c r="E62" s="739"/>
      <c r="F62" s="740" t="s">
        <v>482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483</v>
      </c>
      <c r="D63" s="713"/>
      <c r="E63" s="742" t="s">
        <v>0</v>
      </c>
      <c r="F63" s="715" t="s">
        <v>484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441</v>
      </c>
      <c r="B64" s="226" t="n">
        <f aca="false">PGL_Supplies!Y7/1000</f>
        <v>106.16</v>
      </c>
      <c r="C64" s="240"/>
      <c r="D64" s="240"/>
      <c r="E64" s="743"/>
      <c r="F64" s="724" t="s">
        <v>485</v>
      </c>
      <c r="G64" s="724"/>
      <c r="H64" s="724"/>
      <c r="I64" s="724"/>
    </row>
    <row r="65" customFormat="false" ht="17.1" hidden="false" customHeight="true" outlineLevel="0" collapsed="false">
      <c r="A65" s="225" t="s">
        <v>486</v>
      </c>
      <c r="B65" s="226" t="n">
        <f aca="false">PGL_Supplies!AD7/1000+PGL_Supplies!G7/1000-PGL_Requirements!F7/1000</f>
        <v>16</v>
      </c>
      <c r="C65" s="287" t="s">
        <v>0</v>
      </c>
      <c r="D65" s="240"/>
      <c r="E65" s="744"/>
      <c r="F65" s="745" t="s">
        <v>487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488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489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490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491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492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469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493</v>
      </c>
      <c r="G69" s="747" t="s">
        <v>0</v>
      </c>
      <c r="H69" s="700" t="s">
        <v>494</v>
      </c>
      <c r="I69" s="744"/>
    </row>
    <row r="70" customFormat="false" ht="17.1" hidden="false" customHeight="true" outlineLevel="0" collapsed="false">
      <c r="A70" s="225" t="s">
        <v>495</v>
      </c>
      <c r="B70" s="241" t="n">
        <f aca="false">PGL_Requirements!P7/1000</f>
        <v>120</v>
      </c>
      <c r="C70" s="750" t="s">
        <v>0</v>
      </c>
      <c r="D70" s="240"/>
      <c r="E70" s="744"/>
      <c r="F70" s="756" t="s">
        <v>496</v>
      </c>
      <c r="G70" s="747" t="s">
        <v>0</v>
      </c>
      <c r="H70" s="757" t="s">
        <v>497</v>
      </c>
      <c r="I70" s="758"/>
    </row>
    <row r="71" customFormat="false" ht="17.1" hidden="false" customHeight="true" outlineLevel="0" collapsed="false">
      <c r="A71" s="225" t="s">
        <v>498</v>
      </c>
      <c r="B71" s="241" t="n">
        <f aca="false">PGL_Requirements!F7/1000</f>
        <v>0</v>
      </c>
      <c r="C71" s="287" t="s">
        <v>0</v>
      </c>
      <c r="D71" s="240"/>
      <c r="E71" s="744"/>
      <c r="F71" s="746" t="s">
        <v>499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470</v>
      </c>
      <c r="B72" s="761" t="n">
        <f aca="false">+B65+B64+B66+B68-B67-B69-B70</f>
        <v>2.16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500</v>
      </c>
      <c r="B73" s="724"/>
      <c r="C73" s="724"/>
      <c r="D73" s="706"/>
      <c r="E73" s="706"/>
      <c r="F73" s="768" t="s">
        <v>501</v>
      </c>
      <c r="G73" s="769" t="str">
        <f aca="false">CHOOSE(WEEKDAY(H73),"SUN","MON","TUE","WED","THU","FRI","SAT")</f>
        <v>MON</v>
      </c>
      <c r="H73" s="770" t="n">
        <f aca="false">Weather_Input!A5</f>
        <v>37053</v>
      </c>
      <c r="I73" s="771"/>
    </row>
    <row r="74" customFormat="false" ht="17.1" hidden="false" customHeight="true" outlineLevel="0" collapsed="false">
      <c r="A74" s="745" t="s">
        <v>502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503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504</v>
      </c>
      <c r="B76" s="710"/>
      <c r="C76" s="711"/>
      <c r="D76" s="775" t="s">
        <v>505</v>
      </c>
      <c r="E76" s="776"/>
      <c r="F76" s="777" t="s">
        <v>506</v>
      </c>
      <c r="G76" s="778"/>
      <c r="H76" s="779" t="s">
        <v>376</v>
      </c>
      <c r="I76" s="780" t="s">
        <v>376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507</v>
      </c>
      <c r="B90" s="220"/>
      <c r="C90" s="220"/>
      <c r="D90" s="220"/>
      <c r="E90" s="221" t="s">
        <v>276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508</v>
      </c>
      <c r="C91" s="246" t="s">
        <v>0</v>
      </c>
      <c r="D91" s="786" t="s">
        <v>509</v>
      </c>
      <c r="E91" s="787"/>
      <c r="F91" s="788" t="s">
        <v>510</v>
      </c>
      <c r="G91" s="787"/>
      <c r="H91" s="788" t="s">
        <v>418</v>
      </c>
      <c r="I91" s="363"/>
    </row>
    <row r="92" customFormat="false" ht="15" hidden="false" customHeight="false" outlineLevel="0" collapsed="false">
      <c r="A92" s="666" t="s">
        <v>511</v>
      </c>
      <c r="B92" s="786" t="s">
        <v>280</v>
      </c>
      <c r="C92" s="233" t="s">
        <v>281</v>
      </c>
      <c r="D92" s="786" t="s">
        <v>18</v>
      </c>
      <c r="E92" s="233" t="s">
        <v>281</v>
      </c>
      <c r="F92" s="786" t="s">
        <v>18</v>
      </c>
      <c r="G92" s="233" t="s">
        <v>281</v>
      </c>
      <c r="H92" s="786" t="s">
        <v>18</v>
      </c>
      <c r="I92" s="363" t="s">
        <v>281</v>
      </c>
    </row>
    <row r="93" customFormat="false" ht="15.75" hidden="false" customHeight="false" outlineLevel="0" collapsed="false">
      <c r="A93" s="641" t="s">
        <v>0</v>
      </c>
      <c r="B93" s="245"/>
      <c r="C93" s="362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289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3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425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88</v>
      </c>
      <c r="B97" s="303" t="s">
        <v>0</v>
      </c>
      <c r="C97" s="795" t="n">
        <f aca="false">B133</f>
        <v>0</v>
      </c>
      <c r="D97" s="270"/>
      <c r="E97" s="294" t="n">
        <f aca="false">+C97</f>
        <v>0</v>
      </c>
      <c r="F97" s="270"/>
      <c r="G97" s="294" t="n">
        <f aca="false">+C97</f>
        <v>0</v>
      </c>
      <c r="H97" s="270"/>
      <c r="I97" s="297" t="n">
        <f aca="false">+C97</f>
        <v>0</v>
      </c>
    </row>
    <row r="98" customFormat="false" ht="15" hidden="false" customHeight="false" outlineLevel="0" collapsed="false">
      <c r="A98" s="666" t="s">
        <v>77</v>
      </c>
      <c r="B98" s="303" t="s">
        <v>0</v>
      </c>
      <c r="C98" s="795" t="n">
        <f aca="false">B149</f>
        <v>1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89</v>
      </c>
      <c r="B99" s="303" t="s">
        <v>0</v>
      </c>
      <c r="C99" s="795" t="n">
        <f aca="false">B141</f>
        <v>138.663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347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309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45</v>
      </c>
      <c r="B102" s="303" t="s">
        <v>2</v>
      </c>
      <c r="C102" s="795" t="n">
        <f aca="false">B162</f>
        <v>122.16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152</v>
      </c>
      <c r="B103" s="303" t="s">
        <v>0</v>
      </c>
      <c r="C103" s="795" t="n">
        <f aca="false">PGL_Requirements!G7/1000</f>
        <v>0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174</v>
      </c>
      <c r="B104" s="797" t="s">
        <v>0</v>
      </c>
      <c r="C104" s="795" t="n">
        <f aca="false">PGL_Supplies!B7/1000</f>
        <v>4.3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512</v>
      </c>
      <c r="B105" s="348" t="s">
        <v>0</v>
      </c>
      <c r="C105" s="349" t="s">
        <v>0</v>
      </c>
      <c r="D105" s="350" t="s">
        <v>0</v>
      </c>
      <c r="E105" s="799" t="s">
        <v>0</v>
      </c>
      <c r="F105" s="350" t="s">
        <v>0</v>
      </c>
      <c r="G105" s="799" t="s">
        <v>0</v>
      </c>
      <c r="H105" s="350" t="s">
        <v>0</v>
      </c>
      <c r="I105" s="351"/>
    </row>
    <row r="106" customFormat="false" ht="16.5" hidden="false" customHeight="false" outlineLevel="0" collapsed="false">
      <c r="A106" s="309" t="s">
        <v>46</v>
      </c>
      <c r="B106" s="356" t="n">
        <f aca="false">-PGL_Supplies!U7/1000</f>
        <v>-0</v>
      </c>
      <c r="C106" s="800" t="n">
        <f aca="false">-NSG_Supplies!AF7/1000</f>
        <v>-0</v>
      </c>
      <c r="D106" s="358"/>
      <c r="E106" s="801"/>
      <c r="F106" s="358"/>
      <c r="G106" s="801"/>
      <c r="H106" s="802"/>
      <c r="I106" s="803"/>
    </row>
    <row r="107" customFormat="false" ht="15" hidden="false" customHeight="false" outlineLevel="0" collapsed="false">
      <c r="A107" s="666" t="s">
        <v>513</v>
      </c>
      <c r="B107" s="303" t="e">
        <f aca="false">B94+B105+B106</f>
        <v>#VALUE!</v>
      </c>
      <c r="C107" s="668" t="e">
        <f aca="false">C94+C105+C106</f>
        <v>#VALUE!</v>
      </c>
      <c r="D107" s="362"/>
      <c r="E107" s="245"/>
      <c r="F107" s="362"/>
      <c r="G107" s="245"/>
      <c r="H107" s="246"/>
      <c r="I107" s="363"/>
    </row>
    <row r="108" customFormat="false" ht="15" hidden="false" customHeight="false" outlineLevel="0" collapsed="false">
      <c r="A108" s="666" t="s">
        <v>331</v>
      </c>
      <c r="B108" s="303" t="n">
        <v>0</v>
      </c>
      <c r="C108" s="245"/>
      <c r="D108" s="362"/>
      <c r="E108" s="245"/>
      <c r="F108" s="362"/>
      <c r="G108" s="245"/>
      <c r="H108" s="246"/>
      <c r="I108" s="369"/>
    </row>
    <row r="109" customFormat="false" ht="15" hidden="false" customHeight="false" outlineLevel="0" collapsed="false">
      <c r="A109" s="666" t="s">
        <v>278</v>
      </c>
      <c r="B109" s="303" t="n">
        <f aca="false">+B129</f>
        <v>0.2</v>
      </c>
      <c r="C109" s="245"/>
      <c r="D109" s="362"/>
      <c r="E109" s="245"/>
      <c r="F109" s="377" t="s">
        <v>0</v>
      </c>
      <c r="G109" s="659"/>
      <c r="H109" s="669" t="s">
        <v>0</v>
      </c>
      <c r="I109" s="363"/>
    </row>
    <row r="110" customFormat="false" ht="15.75" hidden="false" customHeight="false" outlineLevel="0" collapsed="false">
      <c r="A110" s="804" t="s">
        <v>335</v>
      </c>
      <c r="B110" s="671" t="e">
        <f aca="false">B107+B108+B109</f>
        <v>#VALUE!</v>
      </c>
      <c r="C110" s="672" t="e">
        <f aca="false">C107</f>
        <v>#VALUE!</v>
      </c>
      <c r="D110" s="362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337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514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389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515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516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390</v>
      </c>
      <c r="B116" s="687" t="n">
        <f aca="false">-PGL_Supplies!Z7/1000</f>
        <v>-0.2</v>
      </c>
      <c r="C116" s="687" t="n">
        <f aca="false">-NSG_Supplies!W7/1000</f>
        <v>-0</v>
      </c>
      <c r="D116" s="684" t="n">
        <f aca="false">-PGL_Supplies!Z7/1000</f>
        <v>-0.2</v>
      </c>
      <c r="E116" s="684" t="n">
        <f aca="false">-NSG_Supplies!W7/1000</f>
        <v>-0</v>
      </c>
      <c r="F116" s="684" t="n">
        <f aca="false">-PGL_Supplies!Z7/1000</f>
        <v>-0.2</v>
      </c>
      <c r="G116" s="684" t="n">
        <f aca="false">-NSG_Supplies!W7/1000</f>
        <v>-0</v>
      </c>
      <c r="H116" s="685" t="n">
        <f aca="false">-PGL_Supplies!Z7/1000</f>
        <v>-0.2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392</v>
      </c>
      <c r="B117" s="684" t="n">
        <f aca="false">-PGL_Supplies!AA7/1000</f>
        <v>-0</v>
      </c>
      <c r="C117" s="684" t="n">
        <f aca="false">-NSG_Supplies!X7/1000</f>
        <v>-0</v>
      </c>
      <c r="D117" s="684" t="n">
        <f aca="false">-PGL_Supplies!AA7/1000</f>
        <v>-0</v>
      </c>
      <c r="E117" s="684" t="n">
        <f aca="false">-NSG_Supplies!X7/1000</f>
        <v>-0</v>
      </c>
      <c r="F117" s="684" t="n">
        <f aca="false">-PGL_Supplies!AA7/1000</f>
        <v>-0</v>
      </c>
      <c r="G117" s="684" t="n">
        <f aca="false">-NSG_Supplies!X7/1000</f>
        <v>-0</v>
      </c>
      <c r="H117" s="685" t="n">
        <f aca="false">-PGL_Supplies!AA7/1000</f>
        <v>-0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341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344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346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393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517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518</v>
      </c>
      <c r="B123" s="684" t="n">
        <f aca="false">-PGL_Supplies!X7/1000</f>
        <v>-0.3</v>
      </c>
      <c r="C123" s="684" t="n">
        <f aca="false">-NSG_Supplies!S7/1000</f>
        <v>-16.954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88</v>
      </c>
      <c r="D124" s="698"/>
      <c r="E124" s="699"/>
      <c r="F124" s="426" t="s">
        <v>349</v>
      </c>
      <c r="G124" s="426"/>
      <c r="H124" s="426"/>
      <c r="I124" s="426"/>
    </row>
    <row r="125" customFormat="false" ht="15" hidden="false" customHeight="false" outlineLevel="0" collapsed="false">
      <c r="A125" s="225" t="s">
        <v>395</v>
      </c>
      <c r="B125" s="684" t="n">
        <f aca="false">PGL_Requirements!U7/1000</f>
        <v>0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519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352</v>
      </c>
      <c r="G126" s="809"/>
      <c r="H126" s="323"/>
      <c r="I126" s="703"/>
    </row>
    <row r="127" customFormat="false" ht="15" hidden="false" customHeight="false" outlineLevel="0" collapsed="false">
      <c r="A127" s="225" t="s">
        <v>520</v>
      </c>
      <c r="B127" s="684" t="n">
        <f aca="false">PGL_Requirements!O7/1000</f>
        <v>0</v>
      </c>
      <c r="C127" s="684" t="s">
        <v>0</v>
      </c>
      <c r="D127" s="240"/>
      <c r="E127" s="694"/>
      <c r="F127" s="225" t="s">
        <v>355</v>
      </c>
      <c r="G127" s="809"/>
      <c r="H127" s="691"/>
      <c r="I127" s="703"/>
    </row>
    <row r="128" customFormat="false" ht="15" hidden="false" customHeight="false" outlineLevel="0" collapsed="false">
      <c r="A128" s="225" t="s">
        <v>389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356</v>
      </c>
      <c r="G128" s="809"/>
      <c r="H128" s="691"/>
      <c r="I128" s="703"/>
    </row>
    <row r="129" customFormat="false" ht="15" hidden="false" customHeight="false" outlineLevel="0" collapsed="false">
      <c r="A129" s="225" t="s">
        <v>298</v>
      </c>
      <c r="B129" s="684" t="n">
        <f aca="false">PGL_Requirements!C7/1000</f>
        <v>0.2</v>
      </c>
      <c r="C129" s="240"/>
      <c r="D129" s="240"/>
      <c r="E129" s="694"/>
      <c r="F129" s="225" t="s">
        <v>359</v>
      </c>
      <c r="G129" s="809"/>
      <c r="H129" s="691"/>
      <c r="I129" s="703"/>
    </row>
    <row r="130" customFormat="false" ht="15" hidden="false" customHeight="false" outlineLevel="0" collapsed="false">
      <c r="A130" s="225" t="s">
        <v>301</v>
      </c>
      <c r="B130" s="684" t="n">
        <f aca="false">PGL_Requirements!AA7/1000</f>
        <v>0</v>
      </c>
      <c r="C130" s="291"/>
      <c r="D130" s="240"/>
      <c r="E130" s="694"/>
      <c r="F130" s="225" t="s">
        <v>362</v>
      </c>
      <c r="G130" s="809"/>
      <c r="H130" s="691"/>
      <c r="I130" s="703"/>
    </row>
    <row r="131" customFormat="false" ht="15" hidden="false" customHeight="false" outlineLevel="0" collapsed="false">
      <c r="A131" s="8" t="s">
        <v>167</v>
      </c>
      <c r="B131" s="226" t="n">
        <f aca="false">PGL_Supplies!Z7/1000</f>
        <v>0.2</v>
      </c>
      <c r="C131" s="240"/>
      <c r="D131" s="240"/>
      <c r="E131" s="694"/>
      <c r="F131" s="337" t="s">
        <v>364</v>
      </c>
      <c r="G131" s="809"/>
      <c r="H131" s="691"/>
      <c r="I131" s="703"/>
    </row>
    <row r="132" customFormat="false" ht="15.75" hidden="false" customHeight="false" outlineLevel="0" collapsed="false">
      <c r="A132" s="225" t="s">
        <v>441</v>
      </c>
      <c r="B132" s="226" t="n">
        <f aca="false">PGL_Supplies!U7/1000</f>
        <v>0</v>
      </c>
      <c r="C132" s="262"/>
      <c r="D132" s="262"/>
      <c r="E132" s="810"/>
      <c r="F132" s="225" t="s">
        <v>367</v>
      </c>
      <c r="G132" s="809"/>
      <c r="H132" s="691"/>
      <c r="I132" s="703"/>
    </row>
    <row r="133" customFormat="false" ht="16.5" hidden="false" customHeight="false" outlineLevel="0" collapsed="false">
      <c r="A133" s="271" t="s">
        <v>290</v>
      </c>
      <c r="B133" s="265" t="n">
        <f aca="false">B126+B127+B130+B131+B132-B125-B128-B129</f>
        <v>0</v>
      </c>
      <c r="C133" s="274"/>
      <c r="D133" s="274"/>
      <c r="E133" s="811"/>
      <c r="F133" s="225" t="s">
        <v>370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89</v>
      </c>
      <c r="D134" s="318"/>
      <c r="E134" s="318" t="s">
        <v>0</v>
      </c>
      <c r="F134" s="813" t="s">
        <v>521</v>
      </c>
      <c r="G134" s="814"/>
      <c r="H134" s="691"/>
      <c r="I134" s="703"/>
    </row>
    <row r="135" customFormat="false" ht="15" hidden="false" customHeight="false" outlineLevel="0" collapsed="false">
      <c r="A135" s="225" t="s">
        <v>389</v>
      </c>
      <c r="B135" s="815" t="n">
        <f aca="false">PGL_Requirements!J7</f>
        <v>0</v>
      </c>
      <c r="C135" s="227"/>
      <c r="D135" s="227"/>
      <c r="E135" s="227"/>
      <c r="F135" s="816" t="s">
        <v>343</v>
      </c>
      <c r="G135" s="814"/>
      <c r="H135" s="716"/>
      <c r="I135" s="703"/>
    </row>
    <row r="136" customFormat="false" ht="15" hidden="false" customHeight="false" outlineLevel="0" collapsed="false">
      <c r="A136" s="225" t="s">
        <v>522</v>
      </c>
      <c r="B136" s="226" t="n">
        <f aca="false">NSG_Supplies!O7/1011</f>
        <v>0</v>
      </c>
      <c r="C136" s="240"/>
      <c r="D136" s="240"/>
      <c r="E136" s="240"/>
      <c r="F136" s="225" t="s">
        <v>357</v>
      </c>
      <c r="G136" s="809"/>
      <c r="H136" s="390"/>
      <c r="I136" s="703"/>
    </row>
    <row r="137" customFormat="false" ht="15" hidden="false" customHeight="false" outlineLevel="0" collapsed="false">
      <c r="A137" s="225" t="s">
        <v>523</v>
      </c>
      <c r="B137" s="226" t="n">
        <f aca="false">PGL_Supplies!AA7/1000</f>
        <v>0</v>
      </c>
      <c r="C137" s="291"/>
      <c r="D137" s="240"/>
      <c r="E137" s="240"/>
      <c r="F137" s="225" t="s">
        <v>360</v>
      </c>
      <c r="G137" s="809"/>
      <c r="H137" s="691"/>
      <c r="I137" s="703"/>
    </row>
    <row r="138" customFormat="false" ht="15" hidden="false" customHeight="false" outlineLevel="0" collapsed="false">
      <c r="A138" s="225" t="s">
        <v>336</v>
      </c>
      <c r="B138" s="815" t="n">
        <f aca="false">PGL_Requirements!D7</f>
        <v>0</v>
      </c>
      <c r="C138" s="240"/>
      <c r="D138" s="240"/>
      <c r="E138" s="240"/>
      <c r="F138" s="225" t="s">
        <v>53</v>
      </c>
      <c r="G138" s="809"/>
      <c r="H138" s="390"/>
      <c r="I138" s="703"/>
    </row>
    <row r="139" customFormat="false" ht="15" hidden="false" customHeight="false" outlineLevel="0" collapsed="false">
      <c r="A139" s="225" t="s">
        <v>524</v>
      </c>
      <c r="B139" s="226" t="n">
        <f aca="false">PGL_Supplies!D7/1000</f>
        <v>0</v>
      </c>
      <c r="C139" s="240"/>
      <c r="D139" s="240"/>
      <c r="E139" s="240"/>
      <c r="F139" s="337" t="s">
        <v>365</v>
      </c>
      <c r="G139" s="817"/>
      <c r="H139" s="818"/>
      <c r="I139" s="703"/>
    </row>
    <row r="140" customFormat="false" ht="15.75" hidden="false" customHeight="false" outlineLevel="0" collapsed="false">
      <c r="A140" s="225" t="s">
        <v>441</v>
      </c>
      <c r="B140" s="226" t="n">
        <f aca="false">PGL_Supplies!V7/1000</f>
        <v>138.663</v>
      </c>
      <c r="C140" s="262"/>
      <c r="D140" s="262"/>
      <c r="E140" s="262"/>
      <c r="F140" s="337" t="s">
        <v>368</v>
      </c>
      <c r="G140" s="817"/>
      <c r="H140" s="365"/>
      <c r="I140" s="703"/>
    </row>
    <row r="141" customFormat="false" ht="16.5" hidden="false" customHeight="false" outlineLevel="0" collapsed="false">
      <c r="A141" s="271" t="s">
        <v>290</v>
      </c>
      <c r="B141" s="819" t="n">
        <f aca="false">-B135+B136+B137-B138+B139+B140</f>
        <v>138.663</v>
      </c>
      <c r="C141" s="331"/>
      <c r="D141" s="274"/>
      <c r="E141" s="306"/>
      <c r="F141" s="374" t="s">
        <v>371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77</v>
      </c>
      <c r="D142" s="318"/>
      <c r="E142" s="318"/>
      <c r="F142" s="822" t="s">
        <v>0</v>
      </c>
      <c r="G142" s="823" t="s">
        <v>525</v>
      </c>
      <c r="H142" s="824" t="s">
        <v>0</v>
      </c>
      <c r="I142" s="824"/>
    </row>
    <row r="143" customFormat="false" ht="15" hidden="false" customHeight="false" outlineLevel="0" collapsed="false">
      <c r="A143" s="225" t="s">
        <v>95</v>
      </c>
      <c r="B143" s="226" t="n">
        <f aca="false">PGL_Requirements!P7/1000</f>
        <v>120</v>
      </c>
      <c r="C143" s="240"/>
      <c r="D143" s="240"/>
      <c r="E143" s="240"/>
      <c r="F143" s="229" t="s">
        <v>278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312</v>
      </c>
      <c r="B144" s="226" t="n">
        <f aca="false">PGL_Supplies!M7/1000</f>
        <v>0</v>
      </c>
      <c r="C144" s="240"/>
      <c r="D144" s="240"/>
      <c r="E144" s="240"/>
      <c r="F144" s="319" t="s">
        <v>283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315</v>
      </c>
      <c r="B145" s="226" t="n">
        <f aca="false">PGL_Requirements!B7/1000</f>
        <v>0</v>
      </c>
      <c r="C145" s="240"/>
      <c r="D145" s="240"/>
      <c r="E145" s="240"/>
      <c r="F145" s="251" t="s">
        <v>285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318</v>
      </c>
      <c r="B146" s="226" t="n">
        <f aca="false">PGL_Supplies!H7/1000</f>
        <v>1</v>
      </c>
      <c r="C146" s="240"/>
      <c r="D146" s="240"/>
      <c r="E146" s="240"/>
      <c r="F146" s="826" t="s">
        <v>288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335</v>
      </c>
      <c r="B147" s="226" t="s">
        <v>0</v>
      </c>
      <c r="C147" s="240"/>
      <c r="D147" s="240"/>
      <c r="E147" s="240"/>
      <c r="F147" s="724" t="s">
        <v>313</v>
      </c>
      <c r="G147" s="724"/>
      <c r="H147" s="724"/>
      <c r="I147" s="724"/>
    </row>
    <row r="148" customFormat="false" ht="15.75" hidden="false" customHeight="false" outlineLevel="0" collapsed="false">
      <c r="A148" s="225" t="s">
        <v>526</v>
      </c>
      <c r="B148" s="226" t="n">
        <f aca="false">PGL_Requirements!Q7/1000</f>
        <v>1.8</v>
      </c>
      <c r="C148" s="262"/>
      <c r="D148" s="262"/>
      <c r="E148" s="262"/>
      <c r="F148" s="330" t="s">
        <v>316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288</v>
      </c>
      <c r="B149" s="830" t="n">
        <f aca="false">B144+B146</f>
        <v>1</v>
      </c>
      <c r="C149" s="353"/>
      <c r="D149" s="353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326</v>
      </c>
      <c r="B150" s="833" t="n">
        <f aca="false">PGL_Deliveries!AE5</f>
        <v>0</v>
      </c>
      <c r="C150" s="359"/>
      <c r="D150" s="359"/>
      <c r="E150" s="834"/>
      <c r="F150" s="826" t="s">
        <v>288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329</v>
      </c>
      <c r="B151" s="833" t="n">
        <f aca="false">PGL_Deliveries!AG5</f>
        <v>0</v>
      </c>
      <c r="C151" s="739"/>
      <c r="D151" s="739"/>
      <c r="E151" s="739"/>
      <c r="F151" s="724" t="s">
        <v>347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45</v>
      </c>
      <c r="D152" s="714"/>
      <c r="E152" s="742" t="s">
        <v>0</v>
      </c>
      <c r="F152" s="330" t="s">
        <v>527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528</v>
      </c>
      <c r="B153" s="241" t="n">
        <f aca="false">PGL_Requirements!N7/1000</f>
        <v>0</v>
      </c>
      <c r="C153" s="240"/>
      <c r="D153" s="240"/>
      <c r="E153" s="743"/>
      <c r="F153" s="836" t="s">
        <v>350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292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354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294</v>
      </c>
      <c r="B155" s="241" t="n">
        <f aca="false">PGL_Requirements!F7/1000</f>
        <v>0</v>
      </c>
      <c r="C155" s="287" t="s">
        <v>0</v>
      </c>
      <c r="D155" s="240"/>
      <c r="E155" s="744"/>
      <c r="F155" s="225" t="s">
        <v>167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297</v>
      </c>
      <c r="B156" s="226" t="n">
        <f aca="false">PGL_Supplies!G7/1000</f>
        <v>12</v>
      </c>
      <c r="C156" s="750" t="s">
        <v>0</v>
      </c>
      <c r="D156" s="240"/>
      <c r="E156" s="744"/>
      <c r="F156" s="337" t="s">
        <v>441</v>
      </c>
      <c r="G156" s="837"/>
      <c r="H156" s="365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529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530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531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532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167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500</v>
      </c>
      <c r="G159" s="844"/>
      <c r="H159" s="844"/>
      <c r="I159" s="844"/>
    </row>
    <row r="160" customFormat="false" ht="15.75" hidden="false" customHeight="false" outlineLevel="0" collapsed="false">
      <c r="A160" s="225" t="s">
        <v>441</v>
      </c>
      <c r="B160" s="845" t="n">
        <f aca="false">PGL_Supplies!Y7/1000</f>
        <v>106.16</v>
      </c>
      <c r="C160" s="300" t="s">
        <v>0</v>
      </c>
      <c r="D160" s="262"/>
      <c r="E160" s="846"/>
      <c r="F160" s="313" t="s">
        <v>306</v>
      </c>
      <c r="G160" s="825" t="s">
        <v>0</v>
      </c>
      <c r="H160" s="359"/>
      <c r="I160" s="847"/>
    </row>
    <row r="161" customFormat="false" ht="16.5" hidden="false" customHeight="false" outlineLevel="0" collapsed="false">
      <c r="A161" s="848" t="s">
        <v>533</v>
      </c>
      <c r="B161" s="228"/>
      <c r="C161" s="849" t="s">
        <v>0</v>
      </c>
      <c r="D161" s="850"/>
      <c r="E161" s="851"/>
      <c r="F161" s="852" t="s">
        <v>308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288</v>
      </c>
      <c r="B162" s="854" t="n">
        <f aca="false">B154+B156+B158+B159+B160-B153-B155-B157-B161</f>
        <v>122.16</v>
      </c>
      <c r="C162" s="761"/>
      <c r="D162" s="762"/>
      <c r="E162" s="855"/>
      <c r="F162" s="856" t="s">
        <v>504</v>
      </c>
      <c r="G162" s="274"/>
      <c r="H162" s="353"/>
      <c r="I162" s="857"/>
    </row>
    <row r="163" customFormat="false" ht="12.75" hidden="false" customHeight="false" outlineLevel="0" collapsed="false">
      <c r="A163" s="858"/>
      <c r="B163" s="859" t="s">
        <v>534</v>
      </c>
      <c r="C163" s="859"/>
      <c r="D163" s="859" t="s">
        <v>535</v>
      </c>
      <c r="E163" s="859"/>
      <c r="F163" s="859"/>
      <c r="G163" s="859"/>
      <c r="H163" s="860" t="s">
        <v>376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536</v>
      </c>
      <c r="B2" s="862" t="s">
        <v>536</v>
      </c>
      <c r="C2" s="862" t="s">
        <v>536</v>
      </c>
      <c r="D2" s="862" t="s">
        <v>536</v>
      </c>
      <c r="E2" s="862" t="s">
        <v>536</v>
      </c>
      <c r="F2" s="862" t="s">
        <v>536</v>
      </c>
      <c r="G2" s="862" t="s">
        <v>536</v>
      </c>
      <c r="H2" s="862" t="s">
        <v>536</v>
      </c>
      <c r="I2" s="863" t="s">
        <v>536</v>
      </c>
      <c r="J2" s="863"/>
    </row>
    <row r="14" customFormat="false" ht="30" hidden="false" customHeight="false" outlineLevel="0" collapsed="false">
      <c r="A14" s="862" t="s">
        <v>537</v>
      </c>
      <c r="B14" s="862" t="s">
        <v>537</v>
      </c>
      <c r="C14" s="862" t="s">
        <v>537</v>
      </c>
      <c r="D14" s="862" t="s">
        <v>537</v>
      </c>
      <c r="E14" s="862" t="s">
        <v>537</v>
      </c>
      <c r="F14" s="862" t="s">
        <v>537</v>
      </c>
      <c r="G14" s="862" t="s">
        <v>537</v>
      </c>
      <c r="H14" s="862" t="s">
        <v>537</v>
      </c>
      <c r="I14" s="863" t="s">
        <v>537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536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538</v>
      </c>
      <c r="D5" s="9" t="s">
        <v>539</v>
      </c>
      <c r="F5" s="864" t="s">
        <v>540</v>
      </c>
      <c r="G5" s="9" t="s">
        <v>541</v>
      </c>
    </row>
    <row r="6" customFormat="false" ht="15" hidden="false" customHeight="false" outlineLevel="0" collapsed="false">
      <c r="D6" s="9" t="s">
        <v>542</v>
      </c>
      <c r="G6" s="9" t="s">
        <v>543</v>
      </c>
    </row>
    <row r="7" customFormat="false" ht="15" hidden="false" customHeight="false" outlineLevel="0" collapsed="false">
      <c r="D7" s="9" t="s">
        <v>543</v>
      </c>
    </row>
    <row r="8" customFormat="false" ht="15" hidden="false" customHeight="false" outlineLevel="0" collapsed="false">
      <c r="G8" s="9" t="s">
        <v>544</v>
      </c>
    </row>
    <row r="9" customFormat="false" ht="15" hidden="false" customHeight="false" outlineLevel="0" collapsed="false">
      <c r="D9" s="9" t="s">
        <v>545</v>
      </c>
      <c r="G9" s="9" t="s">
        <v>546</v>
      </c>
    </row>
    <row r="10" customFormat="false" ht="15" hidden="false" customHeight="false" outlineLevel="0" collapsed="false">
      <c r="D10" s="9" t="s">
        <v>547</v>
      </c>
    </row>
    <row r="11" customFormat="false" ht="15.75" hidden="false" customHeight="false" outlineLevel="0" collapsed="false">
      <c r="D11" s="864" t="s">
        <v>548</v>
      </c>
    </row>
    <row r="12" customFormat="false" ht="15.75" hidden="false" customHeight="false" outlineLevel="0" collapsed="false">
      <c r="D12" s="864" t="s">
        <v>549</v>
      </c>
    </row>
    <row r="14" customFormat="false" ht="30" hidden="false" customHeight="false" outlineLevel="0" collapsed="false">
      <c r="A14" s="863" t="s">
        <v>537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550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551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552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553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554</v>
      </c>
      <c r="D22" s="867" t="n">
        <f aca="true">NOW()</f>
        <v>45927.0032333717</v>
      </c>
      <c r="F22" s="9" t="s">
        <v>555</v>
      </c>
      <c r="G22" s="868" t="n">
        <f aca="true">NOW()</f>
        <v>45927.0032333718</v>
      </c>
    </row>
    <row r="24" customFormat="false" ht="15" hidden="false" customHeight="false" outlineLevel="0" collapsed="false">
      <c r="B24" s="9" t="s">
        <v>556</v>
      </c>
      <c r="D24" s="869" t="s">
        <v>557</v>
      </c>
      <c r="E24" s="0" t="s">
        <v>0</v>
      </c>
      <c r="F24" s="9" t="s">
        <v>558</v>
      </c>
      <c r="G24" s="870" t="s">
        <v>559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560</v>
      </c>
    </row>
    <row r="27" customFormat="false" ht="15.75" hidden="false" customHeight="false" outlineLevel="0" collapsed="false">
      <c r="B27" s="871" t="s">
        <v>0</v>
      </c>
      <c r="C27" s="9" t="s">
        <v>561</v>
      </c>
    </row>
    <row r="28" customFormat="false" ht="15.75" hidden="false" customHeight="false" outlineLevel="0" collapsed="false">
      <c r="B28" s="871" t="s">
        <v>562</v>
      </c>
      <c r="C28" s="9" t="s">
        <v>563</v>
      </c>
    </row>
    <row r="29" customFormat="false" ht="15" hidden="false" customHeight="false" outlineLevel="0" collapsed="false">
      <c r="B29" s="0" t="s">
        <v>0</v>
      </c>
      <c r="C29" s="9" t="s">
        <v>564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565</v>
      </c>
      <c r="E32" s="872" t="n">
        <v>35915</v>
      </c>
    </row>
    <row r="34" customFormat="false" ht="15.75" hidden="false" customHeight="false" outlineLevel="0" collapsed="false">
      <c r="B34" s="9" t="s">
        <v>566</v>
      </c>
      <c r="E34" s="873" t="n">
        <v>0</v>
      </c>
      <c r="F34" s="0" t="s">
        <v>567</v>
      </c>
    </row>
    <row r="36" customFormat="false" ht="15.75" hidden="false" customHeight="false" outlineLevel="0" collapsed="false">
      <c r="B36" s="9" t="s">
        <v>568</v>
      </c>
      <c r="E36" s="873" t="n">
        <v>0</v>
      </c>
      <c r="F36" s="0" t="s">
        <v>567</v>
      </c>
    </row>
    <row r="38" customFormat="false" ht="15.75" hidden="false" customHeight="false" outlineLevel="0" collapsed="false">
      <c r="B38" s="0" t="s">
        <v>569</v>
      </c>
      <c r="E38" s="867" t="n">
        <f aca="false">+E32+1</f>
        <v>35916</v>
      </c>
      <c r="F38" s="873" t="n">
        <v>0</v>
      </c>
      <c r="G38" s="0" t="s">
        <v>567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567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567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567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567</v>
      </c>
    </row>
    <row r="44" customFormat="false" ht="15" hidden="false" customHeight="false" outlineLevel="0" collapsed="false">
      <c r="B44" s="9" t="s">
        <v>570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396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571</v>
      </c>
      <c r="D49" s="875"/>
    </row>
    <row r="50" customFormat="false" ht="15" hidden="false" customHeight="false" outlineLevel="0" collapsed="false">
      <c r="B50" s="876"/>
      <c r="C50" s="874" t="s">
        <v>572</v>
      </c>
    </row>
    <row r="51" customFormat="false" ht="15" hidden="false" customHeight="false" outlineLevel="0" collapsed="false">
      <c r="B51" s="876"/>
      <c r="C51" s="874" t="s">
        <v>573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8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574</v>
      </c>
      <c r="E4" s="886"/>
      <c r="F4" s="886" t="s">
        <v>575</v>
      </c>
      <c r="G4" s="886"/>
      <c r="H4" s="887"/>
      <c r="I4" s="888" t="s">
        <v>576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Monday</v>
      </c>
      <c r="B5" s="889" t="n">
        <f aca="false">Weather_Input!A5</f>
        <v>37053</v>
      </c>
      <c r="C5" s="13"/>
      <c r="D5" s="890" t="s">
        <v>577</v>
      </c>
      <c r="E5" s="891" t="n">
        <f aca="false">Weather_Input!B5</f>
        <v>87</v>
      </c>
      <c r="F5" s="892" t="s">
        <v>578</v>
      </c>
      <c r="G5" s="893" t="n">
        <f aca="false">Weather_Input!H5</f>
        <v>0</v>
      </c>
      <c r="H5" s="894" t="s">
        <v>579</v>
      </c>
      <c r="I5" s="895" t="n">
        <f aca="true">G5-(VLOOKUP(B5,DD_Normal_Data,CELL("Col",B6),FALSE()))</f>
        <v>-3</v>
      </c>
    </row>
    <row r="6" customFormat="false" ht="15" hidden="false" customHeight="false" outlineLevel="0" collapsed="false">
      <c r="A6" s="883"/>
      <c r="B6" s="889"/>
      <c r="C6" s="13"/>
      <c r="D6" s="890" t="s">
        <v>281</v>
      </c>
      <c r="E6" s="891" t="n">
        <f aca="false">Weather_Input!C5</f>
        <v>64</v>
      </c>
      <c r="F6" s="892" t="s">
        <v>580</v>
      </c>
      <c r="G6" s="893" t="n">
        <f aca="false">Weather_Input!F5</f>
        <v>77</v>
      </c>
      <c r="H6" s="894" t="s">
        <v>581</v>
      </c>
      <c r="I6" s="895" t="n">
        <f aca="true">G6-(VLOOKUP(B5,DD_Normal_Data,CELL("Col",C7),FALSE()))</f>
        <v>41</v>
      </c>
      <c r="J6" s="896"/>
      <c r="DE6" s="27" t="s">
        <v>11</v>
      </c>
    </row>
    <row r="7" customFormat="false" ht="15" hidden="false" customHeight="false" outlineLevel="0" collapsed="false">
      <c r="A7" s="883"/>
      <c r="B7" s="889"/>
      <c r="C7" s="13"/>
      <c r="D7" s="890" t="s">
        <v>582</v>
      </c>
      <c r="E7" s="891" t="n">
        <f aca="false">IF(Weather_Input!E5="N/A",(Weather_Input!C5+Weather_Input!B5)/2,Weather_Input!E5)</f>
        <v>75.5</v>
      </c>
      <c r="F7" s="892" t="s">
        <v>583</v>
      </c>
      <c r="G7" s="893" t="n">
        <f aca="false">Weather_Input!G5</f>
        <v>6689</v>
      </c>
      <c r="H7" s="894" t="s">
        <v>583</v>
      </c>
      <c r="I7" s="897" t="n">
        <f aca="true">G7-(VLOOKUP(B5,DD_Normal_Data,CELL("Col",D4),FALSE()))</f>
        <v>277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PARTLY CLOUDY. HIGH IN THE UPPER 80S. COOLER NEAR THE LAKE.WINDS 5 TO 10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MPH. TONIGHT… PARTLY CLOUDY. LOW IN THE UPPER 60S . SW WINDS 10 T0 15 MPH.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Tuesday</v>
      </c>
      <c r="B10" s="889" t="n">
        <f aca="false">Weather_Input!A6</f>
        <v>37054</v>
      </c>
      <c r="C10" s="13"/>
      <c r="D10" s="890" t="s">
        <v>577</v>
      </c>
      <c r="E10" s="891" t="n">
        <f aca="false">Weather_Input!B6</f>
        <v>90</v>
      </c>
      <c r="F10" s="892" t="s">
        <v>578</v>
      </c>
      <c r="G10" s="893" t="n">
        <f aca="false">IF(E12&lt;65,65-(Weather_Input!B6+Weather_Input!C6)/2,0)</f>
        <v>0</v>
      </c>
      <c r="H10" s="894" t="s">
        <v>579</v>
      </c>
      <c r="I10" s="895" t="n">
        <f aca="true">G10-(VLOOKUP(B10,DD_Normal_Data,CELL("Col",B11),FALSE()))</f>
        <v>-2</v>
      </c>
    </row>
    <row r="11" customFormat="false" ht="15" hidden="false" customHeight="false" outlineLevel="0" collapsed="false">
      <c r="A11" s="883"/>
      <c r="B11" s="889"/>
      <c r="C11" s="13"/>
      <c r="D11" s="890" t="s">
        <v>281</v>
      </c>
      <c r="E11" s="891" t="n">
        <f aca="false">Weather_Input!C6</f>
        <v>70</v>
      </c>
      <c r="F11" s="892" t="s">
        <v>580</v>
      </c>
      <c r="G11" s="893" t="n">
        <f aca="false">IF(DAY(B10)=1,G10,G6+G10)</f>
        <v>77</v>
      </c>
      <c r="H11" s="894" t="s">
        <v>581</v>
      </c>
      <c r="I11" s="895" t="n">
        <f aca="true">G11-(VLOOKUP(B10,DD_Normal_Data,CELL("Col",C12),FALSE()))</f>
        <v>39</v>
      </c>
      <c r="DE11" s="27" t="s">
        <v>584</v>
      </c>
    </row>
    <row r="12" customFormat="false" ht="15" hidden="false" customHeight="false" outlineLevel="0" collapsed="false">
      <c r="A12" s="883"/>
      <c r="B12" s="885"/>
      <c r="C12" s="13"/>
      <c r="D12" s="890" t="s">
        <v>582</v>
      </c>
      <c r="E12" s="891" t="n">
        <f aca="false">(Weather_Input!C6+Weather_Input!B6)/2</f>
        <v>80</v>
      </c>
      <c r="F12" s="892" t="s">
        <v>583</v>
      </c>
      <c r="G12" s="893" t="n">
        <f aca="false">IF(AND(DAY(B10)=1,MONTH(B10)=8),G10,G7+G10)</f>
        <v>6689</v>
      </c>
      <c r="H12" s="894" t="s">
        <v>583</v>
      </c>
      <c r="I12" s="895" t="n">
        <f aca="true">G12-(VLOOKUP(B10,DD_Normal_Data,CELL("Col",D9),FALSE()))</f>
        <v>275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PARTLY CLOUDY. HIGH AROUND 90. PARTLY CLOUDY AT NIGHT WITH LOWS IN THE 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LOWER 70S.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Wednesday</v>
      </c>
      <c r="B15" s="889" t="n">
        <f aca="false">Weather_Input!A7</f>
        <v>37055</v>
      </c>
      <c r="C15" s="13"/>
      <c r="D15" s="890" t="s">
        <v>577</v>
      </c>
      <c r="E15" s="891" t="n">
        <f aca="false">Weather_Input!B7</f>
        <v>90</v>
      </c>
      <c r="F15" s="892" t="s">
        <v>578</v>
      </c>
      <c r="G15" s="893" t="n">
        <f aca="false">IF(E17&lt;65,65-(Weather_Input!B7+Weather_Input!C7)/2,0)</f>
        <v>0</v>
      </c>
      <c r="H15" s="894" t="s">
        <v>579</v>
      </c>
      <c r="I15" s="895" t="n">
        <f aca="true">G15-(VLOOKUP(B15,DD_Normal_Data,CELL("Col",B16),FALSE()))</f>
        <v>-2</v>
      </c>
    </row>
    <row r="16" customFormat="false" ht="15" hidden="false" customHeight="false" outlineLevel="0" collapsed="false">
      <c r="A16" s="883"/>
      <c r="B16" s="885"/>
      <c r="C16" s="13"/>
      <c r="D16" s="890" t="s">
        <v>281</v>
      </c>
      <c r="E16" s="891" t="n">
        <f aca="false">Weather_Input!C7</f>
        <v>69</v>
      </c>
      <c r="F16" s="892" t="s">
        <v>580</v>
      </c>
      <c r="G16" s="893" t="n">
        <f aca="false">IF(DAY(B15)=1,G15,G11+G15)</f>
        <v>77</v>
      </c>
      <c r="H16" s="894" t="s">
        <v>581</v>
      </c>
      <c r="I16" s="895" t="n">
        <f aca="true">G16-(VLOOKUP(B15,DD_Normal_Data,CELL("Col",C17),FALSE()))</f>
        <v>37</v>
      </c>
      <c r="DE16" s="27" t="s">
        <v>32</v>
      </c>
    </row>
    <row r="17" customFormat="false" ht="15" hidden="false" customHeight="false" outlineLevel="0" collapsed="false">
      <c r="A17" s="883"/>
      <c r="B17" s="889"/>
      <c r="C17" s="13"/>
      <c r="D17" s="890" t="s">
        <v>582</v>
      </c>
      <c r="E17" s="891" t="n">
        <f aca="false">(Weather_Input!C7+Weather_Input!B7)/2</f>
        <v>79.5</v>
      </c>
      <c r="F17" s="892" t="s">
        <v>583</v>
      </c>
      <c r="G17" s="893" t="n">
        <f aca="false">IF(AND(DAY(B15)=1,MONTH(B15)=8),G15,G12+G15)</f>
        <v>6689</v>
      </c>
      <c r="H17" s="894" t="s">
        <v>583</v>
      </c>
      <c r="I17" s="895" t="n">
        <f aca="true">G17-(VLOOKUP(B15,DD_Normal_Data,CELL("Col",D14),FALSE()))</f>
        <v>273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PARTLY CLOUDY. HIGH IN THE UPPER 80S. 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 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Thursday</v>
      </c>
      <c r="B20" s="889" t="n">
        <f aca="false">Weather_Input!A8</f>
        <v>37056</v>
      </c>
      <c r="C20" s="13"/>
      <c r="D20" s="890" t="s">
        <v>577</v>
      </c>
      <c r="E20" s="891" t="n">
        <f aca="false">Weather_Input!B8</f>
        <v>85</v>
      </c>
      <c r="F20" s="892" t="s">
        <v>578</v>
      </c>
      <c r="G20" s="893" t="n">
        <f aca="false">IF(E22&lt;65,65-(Weather_Input!B8+Weather_Input!C8)/2,0)</f>
        <v>0</v>
      </c>
      <c r="H20" s="894" t="s">
        <v>579</v>
      </c>
      <c r="I20" s="895" t="n">
        <f aca="true">G20-(VLOOKUP(B20,DD_Normal_Data,CELL("Col",B21),FALSE()))</f>
        <v>-1</v>
      </c>
    </row>
    <row r="21" customFormat="false" ht="15" hidden="false" customHeight="false" outlineLevel="0" collapsed="false">
      <c r="A21" s="883"/>
      <c r="B21" s="889"/>
      <c r="C21" s="13"/>
      <c r="D21" s="890" t="s">
        <v>281</v>
      </c>
      <c r="E21" s="891" t="n">
        <f aca="false">Weather_Input!C8</f>
        <v>61</v>
      </c>
      <c r="F21" s="892" t="s">
        <v>580</v>
      </c>
      <c r="G21" s="893" t="n">
        <f aca="false">IF(DAY(B20)=1,G20,G16+G20)</f>
        <v>77</v>
      </c>
      <c r="H21" s="894" t="s">
        <v>581</v>
      </c>
      <c r="I21" s="895" t="n">
        <f aca="true">G21-(VLOOKUP(B20,DD_Normal_Data,CELL("Col",C22),FALSE()))</f>
        <v>36</v>
      </c>
      <c r="DE21" s="27" t="s">
        <v>585</v>
      </c>
    </row>
    <row r="22" customFormat="false" ht="15" hidden="false" customHeight="false" outlineLevel="0" collapsed="false">
      <c r="A22" s="883"/>
      <c r="B22" s="889"/>
      <c r="C22" s="13"/>
      <c r="D22" s="890" t="s">
        <v>582</v>
      </c>
      <c r="E22" s="891" t="n">
        <f aca="false">(Weather_Input!C8+Weather_Input!B8)/2</f>
        <v>73</v>
      </c>
      <c r="F22" s="892" t="s">
        <v>583</v>
      </c>
      <c r="G22" s="893" t="n">
        <f aca="false">IF(AND(DAY(B20)=1,MONTH(B20)=8),G20,G17+G20)</f>
        <v>6689</v>
      </c>
      <c r="H22" s="894" t="s">
        <v>583</v>
      </c>
      <c r="I22" s="895" t="n">
        <f aca="true">G22-(VLOOKUP(B20,DD_Normal_Data,CELL("Col",D19),FALSE()))</f>
        <v>272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A CHANCE OF T'STORMS. LOW IN THE UPPER 60S. HIGH IN THE LOWER 80S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Friday</v>
      </c>
      <c r="B25" s="889" t="n">
        <f aca="false">Weather_Input!A9</f>
        <v>37057</v>
      </c>
      <c r="C25" s="13"/>
      <c r="D25" s="890" t="s">
        <v>577</v>
      </c>
      <c r="E25" s="891" t="n">
        <f aca="false">Weather_Input!B9</f>
        <v>78</v>
      </c>
      <c r="F25" s="892" t="s">
        <v>578</v>
      </c>
      <c r="G25" s="893" t="n">
        <f aca="false">IF(E27&lt;65,65-(Weather_Input!B9+Weather_Input!C9)/2,0)</f>
        <v>0</v>
      </c>
      <c r="H25" s="894" t="s">
        <v>579</v>
      </c>
      <c r="I25" s="895" t="n">
        <f aca="true">G25-(VLOOKUP(B25,DD_Normal_Data,CELL("Col",B26),FALSE()))</f>
        <v>-1</v>
      </c>
    </row>
    <row r="26" customFormat="false" ht="15" hidden="false" customHeight="false" outlineLevel="0" collapsed="false">
      <c r="A26" s="883"/>
      <c r="B26" s="889"/>
      <c r="C26" s="13"/>
      <c r="D26" s="890" t="s">
        <v>281</v>
      </c>
      <c r="E26" s="891" t="n">
        <f aca="false">Weather_Input!C9</f>
        <v>58</v>
      </c>
      <c r="F26" s="892" t="s">
        <v>580</v>
      </c>
      <c r="G26" s="893" t="n">
        <f aca="false">IF(DAY(B25)=1,G25,G21+G25)</f>
        <v>77</v>
      </c>
      <c r="H26" s="894" t="s">
        <v>581</v>
      </c>
      <c r="I26" s="895" t="n">
        <f aca="true">G26-(VLOOKUP(B25,DD_Normal_Data,CELL("Col",C27),FALSE()))</f>
        <v>35</v>
      </c>
      <c r="DE26" s="27" t="s">
        <v>586</v>
      </c>
    </row>
    <row r="27" customFormat="false" ht="15" hidden="false" customHeight="false" outlineLevel="0" collapsed="false">
      <c r="A27" s="883"/>
      <c r="B27" s="885"/>
      <c r="C27" s="13"/>
      <c r="D27" s="890" t="s">
        <v>582</v>
      </c>
      <c r="E27" s="891" t="n">
        <f aca="false">(Weather_Input!C9+Weather_Input!B9)/2</f>
        <v>68</v>
      </c>
      <c r="F27" s="892" t="s">
        <v>583</v>
      </c>
      <c r="G27" s="893" t="n">
        <f aca="false">IF(AND(DAY(B25)=1,MONTH(B25)=8),G25,G22+G25)</f>
        <v>6689</v>
      </c>
      <c r="H27" s="894" t="s">
        <v>583</v>
      </c>
      <c r="I27" s="895" t="n">
        <f aca="true">G27-(VLOOKUP(B25,DD_Normal_Data,CELL("Col",D24),FALSE()))</f>
        <v>271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PARTLY CLOUDY. CHANCE OF MORNING SHOWERS AND T-STORMS. LOW IN THE 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LOWER 60S . HIGH NEAR 80.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Saturday</v>
      </c>
      <c r="B30" s="889" t="n">
        <f aca="false">Weather_Input!A10</f>
        <v>37058</v>
      </c>
      <c r="C30" s="13"/>
      <c r="D30" s="890" t="s">
        <v>577</v>
      </c>
      <c r="E30" s="891" t="n">
        <f aca="false">Weather_Input!B10</f>
        <v>78</v>
      </c>
      <c r="F30" s="892" t="s">
        <v>578</v>
      </c>
      <c r="G30" s="893" t="n">
        <f aca="false">IF(E32&lt;65,65-(Weather_Input!B10+Weather_Input!C10)/2,0)</f>
        <v>0</v>
      </c>
      <c r="H30" s="894" t="s">
        <v>579</v>
      </c>
      <c r="I30" s="895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890" t="s">
        <v>281</v>
      </c>
      <c r="E31" s="891" t="n">
        <f aca="false">Weather_Input!C10</f>
        <v>58</v>
      </c>
      <c r="F31" s="892" t="s">
        <v>580</v>
      </c>
      <c r="G31" s="893" t="n">
        <f aca="false">IF(DAY(B30)=1,G30,G26+G30)</f>
        <v>77</v>
      </c>
      <c r="H31" s="894" t="s">
        <v>581</v>
      </c>
      <c r="I31" s="895" t="n">
        <f aca="true">G31-(VLOOKUP(B30,DD_Normal_Data,CELL("Col",C32),FALSE()))</f>
        <v>34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0" t="s">
        <v>582</v>
      </c>
      <c r="E32" s="891" t="n">
        <f aca="false">(Weather_Input!C10+Weather_Input!B10)/2</f>
        <v>68</v>
      </c>
      <c r="F32" s="892" t="s">
        <v>583</v>
      </c>
      <c r="G32" s="893" t="n">
        <f aca="false">IF(AND(DAY(B30)=1,MONTH(B30)=8),G30,G27+G30)</f>
        <v>6689</v>
      </c>
      <c r="H32" s="894" t="s">
        <v>583</v>
      </c>
      <c r="I32" s="895" t="n">
        <f aca="true">G32-(VLOOKUP(B30,DD_Normal_Data,CELL("Col",D29),FALSE()))</f>
        <v>270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PARTLY CLOUDY. CHANCE OF MORNING SHOWERS AND T-STORMS. LOW IN THE 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LOWER 60S . HIGH NEAR 80.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587</v>
      </c>
      <c r="B35" s="883" t="s">
        <v>257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66</v>
      </c>
      <c r="B36" s="910" t="n">
        <f aca="false">B5</f>
        <v>37053</v>
      </c>
      <c r="C36" s="910" t="n">
        <f aca="false">B10</f>
        <v>37054</v>
      </c>
      <c r="D36" s="910" t="n">
        <f aca="false">B15</f>
        <v>37055</v>
      </c>
      <c r="E36" s="910" t="n">
        <f aca="false">B20</f>
        <v>37056</v>
      </c>
      <c r="F36" s="910" t="n">
        <f aca="false">B25</f>
        <v>37057</v>
      </c>
      <c r="G36" s="910" t="n">
        <f aca="false">B30</f>
        <v>37058</v>
      </c>
      <c r="H36" s="27"/>
      <c r="I36" s="13"/>
    </row>
    <row r="37" customFormat="false" ht="15" hidden="false" customHeight="false" outlineLevel="0" collapsed="false">
      <c r="A37" s="13" t="s">
        <v>73</v>
      </c>
      <c r="B37" s="911" t="n">
        <f aca="true">(VLOOKUP(B36,PGL_Sendouts,(CELL("COL",PGL_Deliveries!C6))))/1000</f>
        <v>215</v>
      </c>
      <c r="C37" s="911" t="n">
        <f aca="true">(VLOOKUP(C36,PGL_Sendouts,(CELL("COL",PGL_Deliveries!C7))))/1000</f>
        <v>220</v>
      </c>
      <c r="D37" s="911" t="n">
        <f aca="true">(VLOOKUP(D36,PGL_Sendouts,(CELL("COL",PGL_Deliveries!C8))))/1000</f>
        <v>220</v>
      </c>
      <c r="E37" s="911" t="n">
        <f aca="true">(VLOOKUP(E36,PGL_Sendouts,(CELL("COL",PGL_Deliveries!C9))))/1000</f>
        <v>220</v>
      </c>
      <c r="F37" s="911" t="n">
        <f aca="true">(VLOOKUP(F36,PGL_Sendouts,(CELL("COL",PGL_Deliveries!C10))))/1000</f>
        <v>215</v>
      </c>
      <c r="G37" s="911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588</v>
      </c>
      <c r="B38" s="911" t="n">
        <f aca="false">PGL_6_Day_Report!D30</f>
        <v>387.52</v>
      </c>
      <c r="C38" s="911" t="n">
        <f aca="false">PGL_6_Day_Report!E30</f>
        <v>370.6735</v>
      </c>
      <c r="D38" s="911" t="n">
        <f aca="false">PGL_6_Day_Report!F30</f>
        <v>357.745</v>
      </c>
      <c r="E38" s="911" t="n">
        <f aca="false">PGL_6_Day_Report!G30</f>
        <v>357.745</v>
      </c>
      <c r="F38" s="911" t="n">
        <f aca="false">PGL_6_Day_Report!H30</f>
        <v>352.745</v>
      </c>
      <c r="G38" s="911" t="n">
        <f aca="false">PGL_6_Day_Report!I30</f>
        <v>332.745</v>
      </c>
      <c r="H38" s="27"/>
      <c r="I38" s="13"/>
    </row>
    <row r="39" customFormat="false" ht="15" hidden="false" customHeight="false" outlineLevel="0" collapsed="false">
      <c r="A39" s="912" t="s">
        <v>167</v>
      </c>
      <c r="B39" s="911" t="n">
        <f aca="false">SUM(PGL_Supplies!Z7:AE7)/1000</f>
        <v>223.46</v>
      </c>
      <c r="C39" s="911" t="n">
        <f aca="false">SUM(PGL_Supplies!Z8:AE8)/1000</f>
        <v>218.589</v>
      </c>
      <c r="D39" s="911" t="n">
        <f aca="false">SUM(PGL_Supplies!Z9:AE9)/1000</f>
        <v>222.589</v>
      </c>
      <c r="E39" s="911" t="n">
        <f aca="false">SUM(PGL_Supplies!Z10:AE10)/1000</f>
        <v>222.589</v>
      </c>
      <c r="F39" s="911" t="n">
        <f aca="false">SUM(PGL_Supplies!Z11:AE11)/1000</f>
        <v>222.589</v>
      </c>
      <c r="G39" s="911" t="n">
        <f aca="false">SUM(PGL_Supplies!Z12:AE12)/1000</f>
        <v>222.589</v>
      </c>
      <c r="H39" s="27"/>
      <c r="I39" s="13"/>
    </row>
    <row r="40" customFormat="false" ht="15" hidden="false" customHeight="false" outlineLevel="0" collapsed="false">
      <c r="A40" s="912" t="s">
        <v>589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590</v>
      </c>
      <c r="B41" s="911" t="n">
        <f aca="false">SUM(PGL_Requirements!R7:U7)/1000</f>
        <v>0.72</v>
      </c>
      <c r="C41" s="911" t="n">
        <f aca="false">SUM(PGL_Requirements!R7:U7)/1000</f>
        <v>0.72</v>
      </c>
      <c r="D41" s="911" t="n">
        <f aca="false">SUM(PGL_Requirements!R7:U7)/1000</f>
        <v>0.72</v>
      </c>
      <c r="E41" s="911" t="n">
        <f aca="false">SUM(PGL_Requirements!R7:U7)/1000</f>
        <v>0.72</v>
      </c>
      <c r="F41" s="911" t="n">
        <f aca="false">SUM(PGL_Requirements!R7:U7)/1000</f>
        <v>0.72</v>
      </c>
      <c r="G41" s="911" t="n">
        <f aca="false">SUM(PGL_Requirements!R7:U7)/1000</f>
        <v>0.72</v>
      </c>
      <c r="H41" s="27"/>
      <c r="I41" s="13"/>
    </row>
    <row r="42" customFormat="false" ht="15" hidden="false" customHeight="false" outlineLevel="0" collapsed="false">
      <c r="A42" s="13" t="s">
        <v>591</v>
      </c>
      <c r="B42" s="911" t="n">
        <f aca="false">PGL_Supplies!V7/1000</f>
        <v>138.663</v>
      </c>
      <c r="C42" s="911" t="n">
        <f aca="false">PGL_Supplies!V8/1000</f>
        <v>120.247</v>
      </c>
      <c r="D42" s="911" t="n">
        <f aca="false">PGL_Supplies!V9/1000</f>
        <v>120.247</v>
      </c>
      <c r="E42" s="911" t="n">
        <f aca="false">PGL_Supplies!V10/1000</f>
        <v>120.247</v>
      </c>
      <c r="F42" s="911" t="n">
        <f aca="false">PGL_Supplies!V11/1000</f>
        <v>120.247</v>
      </c>
      <c r="G42" s="911" t="n">
        <f aca="false">PGL_Supplies!V12/1000</f>
        <v>120.247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127</v>
      </c>
      <c r="B44" s="910" t="n">
        <f aca="false">B36</f>
        <v>37053</v>
      </c>
      <c r="C44" s="910" t="n">
        <f aca="false">C36</f>
        <v>37054</v>
      </c>
      <c r="D44" s="910" t="n">
        <f aca="false">D36</f>
        <v>37055</v>
      </c>
      <c r="E44" s="910" t="n">
        <f aca="false">E36</f>
        <v>37056</v>
      </c>
      <c r="F44" s="910" t="n">
        <f aca="false">F36</f>
        <v>37057</v>
      </c>
      <c r="G44" s="910" t="n">
        <f aca="false">G36</f>
        <v>37058</v>
      </c>
      <c r="H44" s="27"/>
      <c r="I44" s="13"/>
    </row>
    <row r="45" customFormat="false" ht="15" hidden="false" customHeight="false" outlineLevel="0" collapsed="false">
      <c r="A45" s="13" t="s">
        <v>73</v>
      </c>
      <c r="B45" s="911" t="n">
        <f aca="false">NSG_6_Day_Report!D6</f>
        <v>36</v>
      </c>
      <c r="C45" s="911" t="n">
        <f aca="false">NSG_6_Day_Report!E6</f>
        <v>38</v>
      </c>
      <c r="D45" s="911" t="n">
        <f aca="false">NSG_6_Day_Report!F6</f>
        <v>38</v>
      </c>
      <c r="E45" s="911" t="n">
        <f aca="false">NSG_6_Day_Report!G6</f>
        <v>38</v>
      </c>
      <c r="F45" s="911" t="n">
        <f aca="false">NSG_6_Day_Report!H6</f>
        <v>36</v>
      </c>
      <c r="G45" s="911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12" t="s">
        <v>588</v>
      </c>
      <c r="B46" s="911" t="n">
        <f aca="false">NSG_6_Day_Report!D19</f>
        <v>44.04</v>
      </c>
      <c r="C46" s="911" t="n">
        <f aca="false">NSG_6_Day_Report!E19</f>
        <v>40</v>
      </c>
      <c r="D46" s="911" t="n">
        <f aca="false">NSG_6_Day_Report!F19</f>
        <v>40</v>
      </c>
      <c r="E46" s="911" t="n">
        <f aca="false">NSG_6_Day_Report!G19</f>
        <v>40</v>
      </c>
      <c r="F46" s="911" t="n">
        <f aca="false">NSG_6_Day_Report!H19</f>
        <v>38</v>
      </c>
      <c r="G46" s="911" t="n">
        <f aca="false">NSG_6_Day_Report!I19</f>
        <v>35</v>
      </c>
      <c r="H46" s="27"/>
      <c r="I46" s="13"/>
    </row>
    <row r="47" customFormat="false" ht="15" hidden="false" customHeight="false" outlineLevel="0" collapsed="false">
      <c r="A47" s="912" t="s">
        <v>167</v>
      </c>
      <c r="B47" s="911" t="n">
        <f aca="false">SUM(NSG_Supplies!P7:R7)/1000</f>
        <v>44.043</v>
      </c>
      <c r="C47" s="911" t="n">
        <f aca="false">SUM(NSG_Supplies!P8:R8)/1000</f>
        <v>44.043</v>
      </c>
      <c r="D47" s="911" t="n">
        <f aca="false">SUM(NSG_Supplies!P9:R9)/1000</f>
        <v>44.043</v>
      </c>
      <c r="E47" s="911" t="n">
        <f aca="false">SUM(NSG_Supplies!P10:R10)/1000</f>
        <v>44.043</v>
      </c>
      <c r="F47" s="911" t="n">
        <f aca="false">SUM(NSG_Supplies!P11:R11)/1000</f>
        <v>44.043</v>
      </c>
      <c r="G47" s="911" t="n">
        <f aca="false">SUM(NSG_Supplies!P12:R12)/1000</f>
        <v>44.043</v>
      </c>
      <c r="H47" s="27"/>
      <c r="I47" s="13"/>
    </row>
    <row r="48" customFormat="false" ht="15" hidden="false" customHeight="false" outlineLevel="0" collapsed="false">
      <c r="A48" s="912" t="s">
        <v>589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590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591</v>
      </c>
      <c r="B50" s="911" t="n">
        <f aca="false">NSG_Supplies!S7/1000</f>
        <v>16.954</v>
      </c>
      <c r="C50" s="911" t="n">
        <f aca="false">NSG_Supplies!S8/1000</f>
        <v>16.954</v>
      </c>
      <c r="D50" s="911" t="n">
        <f aca="false">NSG_Supplies!S9/1000</f>
        <v>16.954</v>
      </c>
      <c r="E50" s="911" t="n">
        <f aca="false">NSG_Supplies!S10/1000</f>
        <v>16.954</v>
      </c>
      <c r="F50" s="911" t="n">
        <f aca="false">NSG_Supplies!S11/1000</f>
        <v>16.954</v>
      </c>
      <c r="G50" s="911" t="n">
        <f aca="false">NSG_Supplies!S12/1000</f>
        <v>16.954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592</v>
      </c>
      <c r="B52" s="910" t="n">
        <f aca="false">B36</f>
        <v>37053</v>
      </c>
      <c r="C52" s="910" t="n">
        <f aca="false">C36</f>
        <v>37054</v>
      </c>
      <c r="D52" s="910" t="n">
        <f aca="false">D36</f>
        <v>37055</v>
      </c>
      <c r="E52" s="910" t="n">
        <f aca="false">E36</f>
        <v>37056</v>
      </c>
      <c r="F52" s="910" t="n">
        <f aca="false">F36</f>
        <v>37057</v>
      </c>
      <c r="G52" s="910" t="n">
        <f aca="false">G36</f>
        <v>37058</v>
      </c>
      <c r="H52" s="27"/>
      <c r="I52" s="13"/>
    </row>
    <row r="53" customFormat="false" ht="15" hidden="false" customHeight="false" outlineLevel="0" collapsed="false">
      <c r="A53" s="915" t="s">
        <v>593</v>
      </c>
      <c r="B53" s="911" t="n">
        <f aca="false">PGL_Requirements!P7/1000</f>
        <v>120</v>
      </c>
      <c r="C53" s="911" t="n">
        <f aca="false">PGL_Requirements!P8/1000</f>
        <v>100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594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595</v>
      </c>
    </row>
    <row r="57" customFormat="false" ht="15.75" hidden="false" customHeight="false" outlineLevel="0" collapsed="false">
      <c r="A57" s="880" t="s">
        <v>596</v>
      </c>
    </row>
    <row r="58" customFormat="false" ht="15.75" hidden="false" customHeight="false" outlineLevel="0" collapsed="false">
      <c r="A58" s="880" t="s">
        <v>597</v>
      </c>
      <c r="G58" s="917"/>
    </row>
    <row r="59" customFormat="false" ht="15.75" hidden="false" customHeight="false" outlineLevel="0" collapsed="false">
      <c r="A59" s="880" t="s">
        <v>598</v>
      </c>
    </row>
    <row r="60" customFormat="false" ht="15.75" hidden="false" customHeight="false" outlineLevel="0" collapsed="false">
      <c r="A60" s="880" t="s">
        <v>599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600</v>
      </c>
    </row>
    <row r="4" customFormat="false" ht="15" hidden="false" customHeight="false" outlineLevel="0" collapsed="false">
      <c r="A4" s="923"/>
      <c r="B4" s="924" t="str">
        <f aca="false">Six_Day_Summary!A10</f>
        <v>Tuesday</v>
      </c>
      <c r="C4" s="925" t="str">
        <f aca="false">Six_Day_Summary!A15</f>
        <v>Wednesday</v>
      </c>
      <c r="D4" s="925" t="str">
        <f aca="false">Six_Day_Summary!A20</f>
        <v>Thursday</v>
      </c>
      <c r="E4" s="925" t="str">
        <f aca="false">Six_Day_Summary!A25</f>
        <v>Friday</v>
      </c>
      <c r="F4" s="926" t="str">
        <f aca="false">Six_Day_Summary!A30</f>
        <v>Saturday</v>
      </c>
      <c r="G4" s="927"/>
    </row>
    <row r="5" customFormat="false" ht="15" hidden="false" customHeight="false" outlineLevel="0" collapsed="false">
      <c r="A5" s="928" t="s">
        <v>601</v>
      </c>
      <c r="B5" s="929" t="n">
        <f aca="false">Weather_Input!A6</f>
        <v>37054</v>
      </c>
      <c r="C5" s="930" t="n">
        <f aca="false">Weather_Input!A7</f>
        <v>37055</v>
      </c>
      <c r="D5" s="930" t="n">
        <f aca="false">Weather_Input!A8</f>
        <v>37056</v>
      </c>
      <c r="E5" s="930" t="n">
        <f aca="false">Weather_Input!A9</f>
        <v>37057</v>
      </c>
      <c r="F5" s="931" t="n">
        <f aca="false">Weather_Input!A10</f>
        <v>37058</v>
      </c>
      <c r="G5" s="927"/>
    </row>
    <row r="6" customFormat="false" ht="15" hidden="false" customHeight="false" outlineLevel="0" collapsed="false">
      <c r="A6" s="927" t="s">
        <v>602</v>
      </c>
      <c r="B6" s="932" t="n">
        <f aca="false">PGL_Supplies!AC8/1000+PGL_Supplies!L8/1000-PGL_Requirements!O8/1000-PGL_Requirements!T8/1000+B8</f>
        <v>31.469</v>
      </c>
      <c r="C6" s="932" t="n">
        <f aca="false">PGL_Supplies!AC9/1000+PGL_Supplies!L9/1000-PGL_Requirements!O9/1000+C15-PGL_Requirements!T9/1000</f>
        <v>35.469</v>
      </c>
      <c r="D6" s="932" t="n">
        <f aca="false">PGL_Supplies!AC10/1000+PGL_Supplies!L10/1000-PGL_Requirements!O10/1000+D15-PGL_Requirements!T10/1000</f>
        <v>35.469</v>
      </c>
      <c r="E6" s="932" t="n">
        <f aca="false">PGL_Supplies!AC11/1000+PGL_Supplies!L11/1000-PGL_Requirements!O11/1000+E15-PGL_Requirements!T11/1000</f>
        <v>35.469</v>
      </c>
      <c r="F6" s="933" t="n">
        <f aca="false">PGL_Supplies!AC12/1000+PGL_Supplies!L12/1000-PGL_Requirements!O12/1000+F15-PGL_Requirements!T12/1000</f>
        <v>35.469</v>
      </c>
      <c r="G6" s="927"/>
      <c r="H6" s="0" t="s">
        <v>0</v>
      </c>
    </row>
    <row r="7" customFormat="false" ht="15" hidden="false" customHeight="false" outlineLevel="0" collapsed="false">
      <c r="A7" s="927" t="s">
        <v>603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604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605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606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607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608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432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609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610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611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612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Tuesday</v>
      </c>
      <c r="C21" s="946" t="str">
        <f aca="false">C4</f>
        <v>Wednesday</v>
      </c>
      <c r="D21" s="946" t="str">
        <f aca="false">D4</f>
        <v>Thursday</v>
      </c>
      <c r="E21" s="946" t="str">
        <f aca="false">E4</f>
        <v>Friday</v>
      </c>
      <c r="F21" s="947" t="str">
        <f aca="false">F4</f>
        <v>Saturday</v>
      </c>
      <c r="G21" s="927"/>
    </row>
    <row r="22" customFormat="false" ht="15" hidden="false" customHeight="false" outlineLevel="0" collapsed="false">
      <c r="A22" s="948" t="s">
        <v>601</v>
      </c>
      <c r="B22" s="949" t="n">
        <f aca="false">B5</f>
        <v>37054</v>
      </c>
      <c r="C22" s="949" t="n">
        <f aca="false">C5</f>
        <v>37055</v>
      </c>
      <c r="D22" s="949" t="n">
        <f aca="false">D5</f>
        <v>37056</v>
      </c>
      <c r="E22" s="949" t="n">
        <f aca="false">E5</f>
        <v>37057</v>
      </c>
      <c r="F22" s="950" t="n">
        <f aca="false">F5</f>
        <v>37058</v>
      </c>
      <c r="G22" s="927"/>
    </row>
    <row r="23" customFormat="false" ht="15" hidden="false" customHeight="false" outlineLevel="0" collapsed="false">
      <c r="A23" s="927" t="s">
        <v>602</v>
      </c>
      <c r="B23" s="938" t="n">
        <f aca="false">NSG_Supplies!R8/1000+NSG_Supplies!F8/1000-NSG_Requirements!H8/1000</f>
        <v>26.828</v>
      </c>
      <c r="C23" s="938" t="n">
        <f aca="false">NSG_Supplies!R9/1000+NSG_Supplies!F9/1000-NSG_Requirements!H9/1000</f>
        <v>26.828</v>
      </c>
      <c r="D23" s="938" t="n">
        <f aca="false">NSG_Supplies!R10/1000+NSG_Supplies!F10/1000-NSG_Requirements!H10/1000</f>
        <v>26.828</v>
      </c>
      <c r="E23" s="938" t="n">
        <f aca="false">NSG_Supplies!R12/1000+NSG_Supplies!F11/1000-NSG_Requirements!H11/1000</f>
        <v>26.828</v>
      </c>
      <c r="F23" s="933" t="n">
        <f aca="false">NSG_Supplies!R12/1000+NSG_Supplies!F12/1000-NSG_Requirements!H12/1000</f>
        <v>26.828</v>
      </c>
      <c r="G23" s="927"/>
    </row>
    <row r="24" customFormat="false" ht="15" hidden="false" customHeight="false" outlineLevel="0" collapsed="false">
      <c r="A24" s="927" t="s">
        <v>613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603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604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605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614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606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607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608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615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616</v>
      </c>
      <c r="C1" s="953" t="n">
        <f aca="false">Weather_Input!A6</f>
        <v>37054</v>
      </c>
      <c r="D1" s="954" t="s">
        <v>617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618</v>
      </c>
      <c r="E2" s="392"/>
      <c r="I2" s="392"/>
    </row>
    <row r="3" customFormat="false" ht="15.75" hidden="false" customHeight="true" outlineLevel="0" collapsed="false">
      <c r="B3" s="958" t="s">
        <v>167</v>
      </c>
      <c r="C3" s="959" t="n">
        <f aca="false">NSG_Supplies!Q8/1000</f>
        <v>15.215</v>
      </c>
      <c r="E3" s="392"/>
      <c r="F3" s="960" t="s">
        <v>262</v>
      </c>
      <c r="G3" s="470"/>
      <c r="H3" s="961" t="s">
        <v>619</v>
      </c>
      <c r="I3" s="962" t="s">
        <v>620</v>
      </c>
    </row>
    <row r="4" customFormat="false" ht="15.75" hidden="false" customHeight="true" outlineLevel="0" collapsed="false">
      <c r="A4" s="0" t="s">
        <v>0</v>
      </c>
      <c r="B4" s="927" t="s">
        <v>621</v>
      </c>
      <c r="C4" s="391" t="n">
        <f aca="false">NSG_Supplies!E8/1000</f>
        <v>0</v>
      </c>
      <c r="D4" s="815" t="n">
        <f aca="false">NSG_Requirements!J8/1000</f>
        <v>0</v>
      </c>
      <c r="E4" s="963"/>
      <c r="F4" s="958" t="s">
        <v>622</v>
      </c>
      <c r="G4" s="74"/>
      <c r="H4" s="964" t="n">
        <f aca="false">PGL_Requirements!P8/1000</f>
        <v>100</v>
      </c>
      <c r="I4" s="965" t="n">
        <f aca="false">AVERAGE(H4/1.025)</f>
        <v>97.5609756097561</v>
      </c>
      <c r="J4" s="0" t="s">
        <v>0</v>
      </c>
    </row>
    <row r="5" customFormat="false" ht="15.75" hidden="false" customHeight="true" outlineLevel="0" collapsed="false">
      <c r="B5" s="966" t="s">
        <v>623</v>
      </c>
      <c r="C5" s="967" t="n">
        <f aca="false">C3+C4-D4</f>
        <v>15.215</v>
      </c>
      <c r="D5" s="968"/>
      <c r="E5" s="969" t="n">
        <f aca="false">AVERAGE(C5/24)</f>
        <v>0.633958333333333</v>
      </c>
      <c r="F5" s="970" t="s">
        <v>312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624</v>
      </c>
      <c r="C6" s="975"/>
      <c r="D6" s="40"/>
      <c r="E6" s="976"/>
      <c r="F6" s="0" t="s">
        <v>625</v>
      </c>
      <c r="G6" s="975" t="n">
        <f aca="false">AVERAGE(H4/24)</f>
        <v>4.16666666666667</v>
      </c>
      <c r="H6" s="428"/>
      <c r="I6" s="375"/>
    </row>
    <row r="7" customFormat="false" ht="15.75" hidden="false" customHeight="true" outlineLevel="0" collapsed="false">
      <c r="B7" s="958" t="s">
        <v>626</v>
      </c>
      <c r="C7" s="964" t="n">
        <f aca="false">NSG_Supplies!L8/1000</f>
        <v>0</v>
      </c>
      <c r="D7" s="74"/>
      <c r="E7" s="977"/>
      <c r="F7" s="957" t="s">
        <v>627</v>
      </c>
      <c r="G7" s="978"/>
      <c r="H7" s="74"/>
      <c r="I7" s="392"/>
    </row>
    <row r="8" customFormat="false" ht="15.75" hidden="false" customHeight="true" outlineLevel="0" collapsed="false">
      <c r="B8" s="958" t="s">
        <v>628</v>
      </c>
      <c r="C8" s="964" t="n">
        <f aca="false">PGL_Requirements!V8/1000</f>
        <v>0</v>
      </c>
      <c r="D8" s="74"/>
      <c r="E8" s="977"/>
      <c r="F8" s="958" t="s">
        <v>629</v>
      </c>
      <c r="G8" s="964" t="n">
        <f aca="false">PGL_Supplies!T8/1000</f>
        <v>50</v>
      </c>
      <c r="H8" s="74"/>
      <c r="I8" s="392"/>
    </row>
    <row r="9" customFormat="false" ht="15.75" hidden="false" customHeight="true" outlineLevel="0" collapsed="false">
      <c r="B9" s="958" t="s">
        <v>630</v>
      </c>
      <c r="C9" s="964" t="n">
        <f aca="false">NSG_Requirements!B8/1000</f>
        <v>0</v>
      </c>
      <c r="D9" s="74"/>
      <c r="E9" s="977"/>
      <c r="F9" s="29" t="s">
        <v>631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632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523</v>
      </c>
      <c r="G10" s="964" t="n">
        <f aca="false">PGL_Supplies!AB8/1000</f>
        <v>182.92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633</v>
      </c>
      <c r="C11" s="964" t="n">
        <f aca="false">PGL_Supplies!Y8/1000</f>
        <v>105.101</v>
      </c>
      <c r="D11" s="470"/>
      <c r="E11" s="980"/>
      <c r="F11" s="981" t="s">
        <v>634</v>
      </c>
      <c r="G11" s="982" t="n">
        <f aca="false">G8+G10</f>
        <v>232.92</v>
      </c>
      <c r="H11" s="257"/>
      <c r="I11" s="355"/>
    </row>
    <row r="12" customFormat="false" ht="15.75" hidden="false" customHeight="true" outlineLevel="0" collapsed="false">
      <c r="B12" s="248" t="s">
        <v>635</v>
      </c>
      <c r="C12" s="964" t="n">
        <v>0</v>
      </c>
      <c r="D12" s="40"/>
      <c r="E12" s="392"/>
      <c r="F12" s="983" t="s">
        <v>636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637</v>
      </c>
      <c r="C13" s="40"/>
      <c r="D13" s="964" t="n">
        <f aca="false">PGL_Requirements!J8/1000</f>
        <v>0</v>
      </c>
      <c r="E13" s="392"/>
      <c r="F13" s="983" t="s">
        <v>638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639</v>
      </c>
      <c r="C14" s="967" t="n">
        <f aca="false">C11-C12</f>
        <v>105.101</v>
      </c>
      <c r="D14" s="968"/>
      <c r="E14" s="969" t="n">
        <f aca="false">AVERAGE(C14/24)</f>
        <v>4.37920833333333</v>
      </c>
      <c r="F14" s="985" t="s">
        <v>640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641</v>
      </c>
      <c r="C15" s="964" t="n">
        <f aca="false">PGL_Supplies!Z8/1000</f>
        <v>0.2</v>
      </c>
      <c r="D15" s="74"/>
      <c r="E15" s="392"/>
      <c r="F15" s="985" t="s">
        <v>642</v>
      </c>
      <c r="G15" s="982" t="n">
        <f aca="false">SUM(G11)-G16-G17</f>
        <v>136.013</v>
      </c>
      <c r="H15" s="968" t="s">
        <v>0</v>
      </c>
      <c r="I15" s="969" t="n">
        <f aca="false">AVERAGE(G15/24)</f>
        <v>5.66720833333333</v>
      </c>
    </row>
    <row r="16" customFormat="false" ht="15.75" hidden="false" customHeight="true" outlineLevel="0" collapsed="false">
      <c r="B16" s="958" t="s">
        <v>643</v>
      </c>
      <c r="C16" s="964" t="n">
        <f aca="false">PGL_Supplies!R8/1000</f>
        <v>0</v>
      </c>
      <c r="D16" s="964" t="n">
        <f aca="false">PGL_Requirements!U8/1000</f>
        <v>0</v>
      </c>
      <c r="E16" s="392"/>
      <c r="F16" s="985" t="s">
        <v>644</v>
      </c>
      <c r="G16" s="967" t="n">
        <f aca="false">PGL_Requirements!H8/1000</f>
        <v>96.907</v>
      </c>
      <c r="H16" s="967" t="s">
        <v>0</v>
      </c>
      <c r="I16" s="969" t="n">
        <f aca="false">AVERAGE(G16/24)</f>
        <v>4.03779166666667</v>
      </c>
    </row>
    <row r="17" customFormat="false" ht="15.75" hidden="false" customHeight="true" outlineLevel="0" collapsed="false">
      <c r="B17" s="981" t="s">
        <v>634</v>
      </c>
      <c r="C17" s="982" t="n">
        <f aca="false">SUM(C15:C16)-SUM(D15:D16)</f>
        <v>0.2</v>
      </c>
      <c r="D17" s="257"/>
      <c r="E17" s="355"/>
      <c r="F17" s="986" t="s">
        <v>645</v>
      </c>
      <c r="G17" s="987" t="n">
        <v>0</v>
      </c>
      <c r="H17" s="988"/>
      <c r="I17" s="989" t="n">
        <f aca="false">AVERAGE(G17/24)</f>
        <v>0</v>
      </c>
    </row>
    <row r="18" customFormat="false" ht="15.75" hidden="false" customHeight="true" outlineLevel="0" collapsed="false">
      <c r="B18" s="958" t="s">
        <v>646</v>
      </c>
      <c r="C18" s="964" t="n">
        <f aca="false">PGL_Supplies!C8/1000</f>
        <v>0</v>
      </c>
      <c r="D18" s="74"/>
      <c r="E18" s="392"/>
      <c r="F18" s="990" t="s">
        <v>647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648</v>
      </c>
      <c r="C19" s="74"/>
      <c r="D19" s="964" t="n">
        <f aca="false">PGL_Requirements!C8/1000</f>
        <v>0</v>
      </c>
      <c r="E19" s="392"/>
      <c r="F19" s="970" t="s">
        <v>649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650</v>
      </c>
      <c r="C20" s="967" t="n">
        <f aca="false">C17+C18-D19</f>
        <v>0.2</v>
      </c>
      <c r="D20" s="992" t="s">
        <v>0</v>
      </c>
      <c r="E20" s="969" t="n">
        <f aca="false">AVERAGE(C20/24)</f>
        <v>0.00833333333333333</v>
      </c>
      <c r="F20" s="993" t="s">
        <v>426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651</v>
      </c>
      <c r="C21" s="964" t="n">
        <f aca="false">PGL_Supplies!AA8/1000</f>
        <v>0</v>
      </c>
      <c r="D21" s="964" t="s">
        <v>0</v>
      </c>
      <c r="E21" s="392"/>
      <c r="F21" s="958" t="s">
        <v>167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634</v>
      </c>
      <c r="C22" s="982" t="n">
        <f aca="false">SUM(C21)-SUM(D21)</f>
        <v>0</v>
      </c>
      <c r="D22" s="257"/>
      <c r="E22" s="355"/>
      <c r="F22" s="981" t="s">
        <v>634</v>
      </c>
      <c r="G22" s="982" t="n">
        <f aca="false">G21</f>
        <v>4</v>
      </c>
      <c r="H22" s="257"/>
      <c r="I22" s="355"/>
    </row>
    <row r="23" customFormat="false" ht="15.75" hidden="false" customHeight="true" outlineLevel="0" collapsed="false">
      <c r="B23" s="958" t="s">
        <v>652</v>
      </c>
      <c r="C23" s="964" t="n">
        <f aca="false">PGL_Supplies!D8/1000</f>
        <v>0</v>
      </c>
      <c r="D23" s="74"/>
      <c r="E23" s="392"/>
      <c r="F23" s="958" t="s">
        <v>653</v>
      </c>
      <c r="G23" s="964" t="n">
        <f aca="false">PGL_Supplies!G8/1000</f>
        <v>0</v>
      </c>
      <c r="H23" s="74"/>
      <c r="I23" s="392"/>
    </row>
    <row r="24" customFormat="false" ht="15.75" hidden="false" customHeight="true" outlineLevel="0" collapsed="false">
      <c r="B24" s="958" t="s">
        <v>654</v>
      </c>
      <c r="C24" s="74" t="n">
        <v>0</v>
      </c>
      <c r="D24" s="964" t="n">
        <f aca="false">PGL_Requirements!D8/1000</f>
        <v>0</v>
      </c>
      <c r="E24" s="392"/>
      <c r="F24" s="958" t="s">
        <v>655</v>
      </c>
      <c r="G24" s="74"/>
      <c r="H24" s="964" t="n">
        <f aca="false">PGL_Requirements!F8/1000</f>
        <v>0</v>
      </c>
      <c r="I24" s="392"/>
    </row>
    <row r="25" customFormat="false" ht="15.75" hidden="false" customHeight="true" outlineLevel="0" collapsed="false">
      <c r="B25" s="966" t="s">
        <v>656</v>
      </c>
      <c r="C25" s="967" t="n">
        <f aca="false">C22+C23-D24</f>
        <v>0</v>
      </c>
      <c r="D25" s="968"/>
      <c r="E25" s="969" t="n">
        <f aca="false">AVERAGE(C25/24)</f>
        <v>0</v>
      </c>
      <c r="F25" s="374" t="s">
        <v>657</v>
      </c>
      <c r="G25" s="994" t="n">
        <f aca="false">G22+G23-H24+G20</f>
        <v>4</v>
      </c>
      <c r="H25" s="428"/>
      <c r="I25" s="995" t="n">
        <f aca="false">AVERAGE(G25/24)</f>
        <v>0.166666666666667</v>
      </c>
    </row>
    <row r="26" customFormat="false" ht="15.75" hidden="false" customHeight="true" outlineLevel="0" collapsed="false">
      <c r="B26" s="0" t="s">
        <v>658</v>
      </c>
    </row>
    <row r="27" customFormat="false" ht="15.75" hidden="false" customHeight="true" outlineLevel="0" collapsed="false">
      <c r="B27" s="0" t="s">
        <v>659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660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661</v>
      </c>
      <c r="D1" s="1000"/>
      <c r="E1" s="1000" t="s">
        <v>662</v>
      </c>
      <c r="F1" s="1000"/>
      <c r="G1" s="1001" t="s">
        <v>663</v>
      </c>
      <c r="H1" s="1002" t="n">
        <f aca="false">Weather_Input!A6</f>
        <v>37054</v>
      </c>
      <c r="I1" s="1003"/>
      <c r="J1" s="1004"/>
      <c r="K1" s="1004"/>
    </row>
    <row r="2" customFormat="false" ht="16.5" hidden="false" customHeight="true" outlineLevel="0" collapsed="false">
      <c r="A2" s="1005" t="s">
        <v>664</v>
      </c>
      <c r="C2" s="1006" t="n">
        <v>452</v>
      </c>
      <c r="F2" s="1007" t="n">
        <v>452</v>
      </c>
      <c r="H2" s="1004"/>
      <c r="I2" s="1003" t="s">
        <v>665</v>
      </c>
      <c r="J2" s="1008" t="n">
        <f aca="false">NSG_Supplies!Q8/1000</f>
        <v>15.215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666</v>
      </c>
      <c r="G4" s="1011"/>
      <c r="H4" s="1004"/>
      <c r="I4" s="1003"/>
      <c r="J4" s="1003" t="s">
        <v>667</v>
      </c>
      <c r="K4" s="1008" t="n">
        <f aca="false">Billy_Sheet!C5</f>
        <v>15.215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668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97</v>
      </c>
      <c r="G8" s="998"/>
      <c r="H8" s="1003" t="s">
        <v>421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669</v>
      </c>
      <c r="L9" s="1008" t="n">
        <f aca="false">NSG_Deliveries!C6/1000</f>
        <v>38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88</v>
      </c>
      <c r="H10" s="1017" t="s">
        <v>670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0.2</v>
      </c>
      <c r="B11" s="1016"/>
      <c r="H11" s="1008" t="n">
        <f aca="false">NSG_Supplies!U8/1000</f>
        <v>0</v>
      </c>
      <c r="K11" s="998" t="s">
        <v>671</v>
      </c>
      <c r="L11" s="1011" t="n">
        <f aca="false">SUM(K4+K17+K19+H11+H9-L9)</f>
        <v>4.043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672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105.101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452</v>
      </c>
      <c r="F15" s="1019" t="n">
        <v>350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673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503</v>
      </c>
      <c r="D18" s="1023"/>
      <c r="E18" s="1023"/>
      <c r="F18" s="1007" t="n">
        <v>777</v>
      </c>
    </row>
    <row r="19" customFormat="false" ht="11.25" hidden="false" customHeight="false" outlineLevel="0" collapsed="false">
      <c r="A19" s="1014" t="s">
        <v>674</v>
      </c>
      <c r="C19" s="996" t="s">
        <v>0</v>
      </c>
      <c r="J19" s="1003" t="s">
        <v>675</v>
      </c>
      <c r="K19" s="1008" t="n">
        <f aca="false">NSG_Supplies!R8/1000+NSG_Supplies!F8/1000-NSG_Requirements!H8/1000</f>
        <v>26.828</v>
      </c>
      <c r="N19" s="1026"/>
    </row>
    <row r="20" customFormat="false" ht="17.25" hidden="false" customHeight="true" outlineLevel="0" collapsed="false">
      <c r="A20" s="1008" t="n">
        <f aca="false">Billy_Sheet!G15</f>
        <v>136.013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424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0</v>
      </c>
      <c r="G23" s="1003" t="s">
        <v>676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10</v>
      </c>
      <c r="H24" s="998"/>
      <c r="I24" s="998"/>
      <c r="J24" s="998"/>
    </row>
    <row r="25" customFormat="false" ht="10.5" hidden="false" customHeight="true" outlineLevel="0" collapsed="false">
      <c r="A25" s="1004" t="s">
        <v>426</v>
      </c>
      <c r="B25" s="1004"/>
      <c r="C25" s="1004"/>
      <c r="D25" s="1004"/>
      <c r="F25" s="1004"/>
      <c r="G25" s="1003" t="s">
        <v>677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4</v>
      </c>
      <c r="B26" s="1004"/>
      <c r="C26" s="998"/>
      <c r="D26" s="998"/>
      <c r="F26" s="998"/>
      <c r="G26" s="1028" t="n">
        <v>4</v>
      </c>
      <c r="H26" s="998"/>
      <c r="I26" s="998"/>
      <c r="J26" s="998" t="s">
        <v>678</v>
      </c>
      <c r="K26" s="1029" t="n">
        <f aca="false">PGL_Deliveries!C6/1000</f>
        <v>220</v>
      </c>
      <c r="L26" s="1003" t="s">
        <v>669</v>
      </c>
      <c r="M26" s="1008" t="n">
        <f aca="false">NSG_Deliveries!C6/1000</f>
        <v>38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679</v>
      </c>
      <c r="B28" s="1008"/>
      <c r="C28" s="1004"/>
      <c r="D28" s="998"/>
      <c r="F28" s="1003"/>
      <c r="G28" s="1020" t="s">
        <v>680</v>
      </c>
      <c r="H28" s="34"/>
      <c r="J28" s="998" t="s">
        <v>681</v>
      </c>
      <c r="K28" s="1011" t="n">
        <f aca="false">SUM(A42)</f>
        <v>64.407</v>
      </c>
      <c r="L28" s="998" t="s">
        <v>682</v>
      </c>
      <c r="M28" s="1011" t="n">
        <f aca="false">SUM(J2+K17+K19+H11+H9-M26)</f>
        <v>4.043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37053</v>
      </c>
      <c r="G29" s="1008" t="n">
        <f aca="false">PGL_Requirements!H7/1000</f>
        <v>68</v>
      </c>
      <c r="H29" s="1015"/>
      <c r="J29" s="998" t="s">
        <v>683</v>
      </c>
      <c r="K29" s="1008" t="n">
        <f aca="false">PGL_Supplies!AC8/1000+PGL_Supplies!L8/1000-PGL_Requirements!O8/1000</f>
        <v>31.469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37054</v>
      </c>
      <c r="G30" s="1008" t="n">
        <f aca="false">PGL_Requirements!H8/1000</f>
        <v>96.907</v>
      </c>
    </row>
    <row r="31" customFormat="false" ht="17.25" hidden="false" customHeight="true" outlineLevel="0" collapsed="false">
      <c r="A31" s="1000" t="s">
        <v>684</v>
      </c>
      <c r="B31" s="1035"/>
      <c r="C31" s="1036"/>
      <c r="D31" s="1011"/>
      <c r="G31" s="1020" t="s">
        <v>685</v>
      </c>
      <c r="H31" s="1011"/>
      <c r="J31" s="998" t="s">
        <v>671</v>
      </c>
      <c r="K31" s="1011" t="n">
        <f aca="false">SUM(K28+K29-K26)</f>
        <v>-124.124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100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686</v>
      </c>
      <c r="G34" s="998" t="s">
        <v>687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688</v>
      </c>
      <c r="F37" s="1003" t="s">
        <v>689</v>
      </c>
      <c r="G37" s="1008"/>
    </row>
    <row r="38" customFormat="false" ht="11.25" hidden="false" customHeight="false" outlineLevel="0" collapsed="false">
      <c r="C38" s="1019" t="n">
        <v>504</v>
      </c>
      <c r="F38" s="1019" t="n">
        <v>751</v>
      </c>
    </row>
    <row r="39" customFormat="false" ht="11.25" hidden="false" customHeight="false" outlineLevel="0" collapsed="false">
      <c r="A39" s="1005" t="s">
        <v>690</v>
      </c>
      <c r="E39" s="1004" t="s">
        <v>691</v>
      </c>
      <c r="F39" s="1004"/>
    </row>
    <row r="40" customFormat="false" ht="11.25" hidden="false" customHeight="false" outlineLevel="0" collapsed="false">
      <c r="A40" s="1011" t="n">
        <f aca="false">SUM(A3:A35)</f>
        <v>261.314</v>
      </c>
      <c r="B40" s="1018"/>
      <c r="C40" s="1037"/>
      <c r="D40" s="1018"/>
      <c r="E40" s="1018"/>
      <c r="F40" s="1008"/>
      <c r="G40" s="1008" t="n">
        <f aca="false">SUM(G30:G35)</f>
        <v>196.907</v>
      </c>
      <c r="H40" s="1018"/>
      <c r="I40" s="1037"/>
    </row>
    <row r="41" customFormat="false" ht="11.25" hidden="false" customHeight="false" outlineLevel="0" collapsed="false">
      <c r="A41" s="1038" t="s">
        <v>692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64.407</v>
      </c>
      <c r="B42" s="1008"/>
      <c r="C42" s="1018"/>
      <c r="D42" s="1018"/>
      <c r="E42" s="1018"/>
      <c r="F42" s="1039"/>
      <c r="G42" s="1040" t="s">
        <v>693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694</v>
      </c>
      <c r="G43" s="1039" t="s">
        <v>695</v>
      </c>
      <c r="I43" s="1008"/>
    </row>
    <row r="44" customFormat="false" ht="12.75" hidden="false" customHeight="true" outlineLevel="0" collapsed="false">
      <c r="A44" s="1038" t="s">
        <v>696</v>
      </c>
      <c r="B44" s="1008" t="s">
        <v>697</v>
      </c>
      <c r="C44" s="1008" t="s">
        <v>698</v>
      </c>
      <c r="D44" s="1008" t="s">
        <v>699</v>
      </c>
      <c r="E44" s="1043"/>
      <c r="F44" s="1043" t="s">
        <v>700</v>
      </c>
      <c r="G44" s="1018" t="s">
        <v>701</v>
      </c>
      <c r="H44" s="1004" t="s">
        <v>702</v>
      </c>
      <c r="I44" s="1008"/>
      <c r="K44" s="1004"/>
    </row>
    <row r="45" customFormat="false" ht="11.25" hidden="false" customHeight="false" outlineLevel="0" collapsed="false">
      <c r="A45" s="1038" t="s">
        <v>703</v>
      </c>
      <c r="B45" s="1044" t="n">
        <v>250</v>
      </c>
      <c r="C45" s="1044" t="n">
        <v>410</v>
      </c>
      <c r="D45" s="1045" t="n">
        <f aca="false">SUM(F2+F15)/2</f>
        <v>401</v>
      </c>
      <c r="E45" s="1046"/>
      <c r="F45" s="1047" t="n">
        <v>0.067</v>
      </c>
      <c r="G45" s="1048" t="n">
        <f aca="false">(C45-D45)*F45</f>
        <v>0.603</v>
      </c>
      <c r="H45" s="1048" t="n">
        <f aca="false">(D45-B45)*F45</f>
        <v>10.117</v>
      </c>
      <c r="I45" s="1008"/>
      <c r="J45" s="1049"/>
    </row>
    <row r="46" customFormat="false" ht="11.25" hidden="false" customHeight="false" outlineLevel="0" collapsed="false">
      <c r="A46" s="1004" t="s">
        <v>704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705</v>
      </c>
      <c r="B47" s="1050" t="n">
        <v>250</v>
      </c>
      <c r="C47" s="1044" t="n">
        <v>410</v>
      </c>
      <c r="D47" s="1045" t="n">
        <f aca="false">SUM(C2+C15)/2</f>
        <v>452</v>
      </c>
      <c r="E47" s="1046"/>
      <c r="F47" s="1047" t="n">
        <v>0.141</v>
      </c>
      <c r="G47" s="1048" t="n">
        <f aca="false">(C47-D47)*F47</f>
        <v>-5.922</v>
      </c>
      <c r="H47" s="1048" t="n">
        <f aca="false">(D47-B47)*F47</f>
        <v>28.482</v>
      </c>
      <c r="I47" s="1008"/>
    </row>
    <row r="48" customFormat="false" ht="11.25" hidden="false" customHeight="false" outlineLevel="0" collapsed="false">
      <c r="A48" s="1004" t="s">
        <v>706</v>
      </c>
      <c r="B48" s="1050" t="n">
        <v>285</v>
      </c>
      <c r="C48" s="1044" t="n">
        <v>750</v>
      </c>
      <c r="D48" s="1045" t="n">
        <f aca="false">SUM(C18+C38)/2</f>
        <v>503.5</v>
      </c>
      <c r="E48" s="1046"/>
      <c r="F48" s="1047" t="n">
        <v>0.161</v>
      </c>
      <c r="G48" s="1048" t="n">
        <f aca="false">(C48-D48)*F48</f>
        <v>39.6865</v>
      </c>
      <c r="H48" s="1048" t="n">
        <f aca="false">(D48-B48)*F48</f>
        <v>35.1785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707</v>
      </c>
      <c r="G49" s="1048" t="n">
        <f aca="false">SUM(G45:G48)</f>
        <v>34.3675</v>
      </c>
      <c r="H49" s="1048" t="n">
        <f aca="false">SUM(H45:H48)</f>
        <v>73.7775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37053</v>
      </c>
      <c r="B5" s="18" t="n">
        <v>87</v>
      </c>
      <c r="C5" s="19" t="n">
        <v>64</v>
      </c>
      <c r="D5" s="19" t="n">
        <v>12</v>
      </c>
      <c r="E5" s="18" t="s">
        <v>29</v>
      </c>
      <c r="F5" s="18" t="n">
        <v>77</v>
      </c>
      <c r="G5" s="18" t="n">
        <v>6689</v>
      </c>
      <c r="H5" s="18" t="n">
        <v>0</v>
      </c>
      <c r="I5" s="20" t="s">
        <v>30</v>
      </c>
      <c r="J5" s="20" t="s">
        <v>31</v>
      </c>
      <c r="K5" s="18" t="n">
        <v>6</v>
      </c>
      <c r="L5" s="18" t="n">
        <v>1</v>
      </c>
      <c r="N5" s="13" t="str">
        <f aca="false">I5&amp;" "&amp;I5</f>
        <v>PARTLY CLOUDY. HIGH IN THE UPPER 80S. COOLER NEAR THE LAKE.WINDS 5 TO 10 PARTLY CLOUDY. HIGH IN THE UPPER 80S. COOLER NEAR THE LAKE.WINDS 5 TO 10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37054</v>
      </c>
      <c r="B6" s="18" t="n">
        <v>90</v>
      </c>
      <c r="C6" s="19" t="n">
        <v>70</v>
      </c>
      <c r="D6" s="19" t="n">
        <v>15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3</v>
      </c>
      <c r="L6" s="18" t="s">
        <v>35</v>
      </c>
      <c r="N6" s="13" t="str">
        <f aca="false">I6&amp;" "&amp;J6</f>
        <v>PARTLY CLOUDY. HIGH AROUND 90. PARTLY CLOUDY AT NIGHT WITH LOWS IN THE  LOWER 70S.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37055</v>
      </c>
      <c r="B7" s="18" t="n">
        <v>90</v>
      </c>
      <c r="C7" s="19" t="n">
        <v>69</v>
      </c>
      <c r="D7" s="19" t="n">
        <v>15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3</v>
      </c>
      <c r="L7" s="18" t="s">
        <v>17</v>
      </c>
      <c r="N7" s="13" t="str">
        <f aca="false">I7&amp;" "&amp;J7</f>
        <v>PARTLY CLOUDY. HIGH IN THE UPPER 80S.   </v>
      </c>
    </row>
    <row r="8" customFormat="false" ht="16.5" hidden="false" customHeight="true" outlineLevel="0" collapsed="false">
      <c r="A8" s="17" t="n">
        <f aca="false">A7+1</f>
        <v>37056</v>
      </c>
      <c r="B8" s="18" t="n">
        <v>85</v>
      </c>
      <c r="C8" s="19" t="n">
        <v>61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3</v>
      </c>
      <c r="L8" s="18"/>
      <c r="N8" s="13" t="str">
        <f aca="false">I8&amp;" "&amp;J8</f>
        <v>A CHANCE OF T'STORMS. LOW IN THE UPPER 60S. HIGH IN THE LOWER 80S  </v>
      </c>
    </row>
    <row r="9" customFormat="false" ht="16.5" hidden="false" customHeight="true" outlineLevel="0" collapsed="false">
      <c r="A9" s="17" t="n">
        <f aca="false">A8+1</f>
        <v>37057</v>
      </c>
      <c r="B9" s="18" t="n">
        <v>78</v>
      </c>
      <c r="C9" s="19" t="n">
        <v>58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40</v>
      </c>
      <c r="K9" s="18" t="n">
        <v>6</v>
      </c>
      <c r="L9" s="18" t="n">
        <v>0</v>
      </c>
      <c r="M9" s="21"/>
      <c r="N9" s="13" t="str">
        <f aca="false">I9&amp;" "&amp;J9</f>
        <v>PARTLY CLOUDY. CHANCE OF MORNING SHOWERS AND T-STORMS. LOW IN THE  LOWER 60S . HIGH NEAR 80.</v>
      </c>
    </row>
    <row r="10" customFormat="false" ht="16.5" hidden="false" customHeight="true" outlineLevel="0" collapsed="false">
      <c r="A10" s="17" t="n">
        <f aca="false">A9+1</f>
        <v>37058</v>
      </c>
      <c r="B10" s="18" t="n">
        <v>78</v>
      </c>
      <c r="C10" s="19" t="n">
        <v>58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40</v>
      </c>
      <c r="K10" s="18" t="n">
        <v>6</v>
      </c>
      <c r="L10" s="18" t="s">
        <v>41</v>
      </c>
      <c r="N10" s="13" t="str">
        <f aca="false">I10&amp;" "&amp;J10</f>
        <v>PARTLY CLOUDY. CHANCE OF MORNING SHOWERS AND T-STORMS. LOW IN THE  LOWER 60S . HIGH NEAR 80.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678</v>
      </c>
      <c r="B2" s="1054" t="n">
        <f aca="false">PGL_Deliveries!U5/1000</f>
        <v>4.271</v>
      </c>
      <c r="C2" s="74"/>
      <c r="D2" s="1055" t="s">
        <v>663</v>
      </c>
      <c r="E2" s="1056" t="n">
        <f aca="false">Weather_Input!A5</f>
        <v>37053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708</v>
      </c>
      <c r="B3" s="1057" t="n">
        <f aca="false">PGL_Supplies!J7/1000</f>
        <v>0</v>
      </c>
      <c r="C3" s="1058"/>
      <c r="D3" s="1059" t="s">
        <v>291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4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709</v>
      </c>
      <c r="B5" s="964" t="n">
        <f aca="false">PGL_Deliveries!D5/1000</f>
        <v>0</v>
      </c>
      <c r="C5" s="73"/>
      <c r="D5" s="76" t="s">
        <v>710</v>
      </c>
      <c r="E5" s="964" t="n">
        <f aca="false">PGL_Deliveries!O5/1000</f>
        <v>0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503</v>
      </c>
      <c r="B6" s="964" t="n">
        <f aca="false">PGL_Deliveries!I5/1000</f>
        <v>0</v>
      </c>
      <c r="C6" s="1068"/>
      <c r="D6" s="76" t="s">
        <v>711</v>
      </c>
      <c r="E6" s="964" t="n">
        <f aca="false">PGL_Deliveries!P5/1000</f>
        <v>0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712</v>
      </c>
      <c r="B7" s="1070" t="n">
        <f aca="false">SUM(B5:B6)</f>
        <v>0</v>
      </c>
      <c r="C7" s="1068"/>
      <c r="D7" s="76" t="s">
        <v>452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672</v>
      </c>
      <c r="B8" s="964" t="n">
        <f aca="false">PGL_Deliveries!V5/1000</f>
        <v>106.087</v>
      </c>
      <c r="C8" s="1072"/>
      <c r="D8" s="76" t="s">
        <v>713</v>
      </c>
      <c r="E8" s="964" t="n">
        <f aca="false">PGL_Deliveries!N5/1000</f>
        <v>0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88</v>
      </c>
      <c r="B9" s="964" t="n">
        <f aca="false">PGL_Deliveries!W5/1000</f>
        <v>0</v>
      </c>
      <c r="C9" s="73"/>
      <c r="D9" s="76" t="s">
        <v>455</v>
      </c>
      <c r="E9" s="964" t="n">
        <f aca="false">PGL_Deliveries!Q5/1000</f>
        <v>0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424</v>
      </c>
      <c r="B10" s="964" t="n">
        <f aca="false">PGL_Deliveries!X5/1000</f>
        <v>0</v>
      </c>
      <c r="C10" s="73"/>
      <c r="D10" s="76" t="s">
        <v>456</v>
      </c>
      <c r="E10" s="964" t="n">
        <f aca="false">PGL_Deliveries!S5/1000</f>
        <v>4.271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97</v>
      </c>
      <c r="B11" s="964" t="n">
        <f aca="false">(PGL_Deliveries!AJ5+PGL_Deliveries!AK5)/1000</f>
        <v>21.039</v>
      </c>
      <c r="C11" s="73"/>
      <c r="D11" s="76" t="s">
        <v>714</v>
      </c>
      <c r="E11" s="964" t="n">
        <f aca="false">PGL_Deliveries!R5/1000</f>
        <v>0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715</v>
      </c>
      <c r="B12" s="964" t="n">
        <f aca="false">PGL_Supplies!K7/1000</f>
        <v>0</v>
      </c>
      <c r="C12" s="73"/>
      <c r="D12" s="76" t="s">
        <v>459</v>
      </c>
      <c r="E12" s="964" t="n">
        <f aca="false">PGL_Deliveries!G5/1000</f>
        <v>0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716</v>
      </c>
      <c r="B13" s="964" t="n">
        <f aca="false">PGL_Deliveries!Y5/1000+PGL_Deliveries!Z5/1000+PGL_Deliveries!AA5/1000-PGL_Deliveries!BE5/1000-PGL_Deliveries!BF5/1000</f>
        <v>182.69</v>
      </c>
      <c r="C13" s="73"/>
      <c r="D13" s="76" t="s">
        <v>460</v>
      </c>
      <c r="E13" s="964" t="n">
        <f aca="false">PGL_Deliveries!F5/1000</f>
        <v>0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426</v>
      </c>
      <c r="B14" s="964" t="n">
        <f aca="false">PGL_Deliveries!AD5/1000</f>
        <v>0</v>
      </c>
      <c r="C14" s="73"/>
      <c r="D14" s="76" t="s">
        <v>462</v>
      </c>
      <c r="E14" s="964" t="n">
        <f aca="false">PGL_Deliveries!H5/1000</f>
        <v>0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70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-148.144</v>
      </c>
      <c r="C15" s="73"/>
      <c r="D15" s="76" t="s">
        <v>464</v>
      </c>
      <c r="E15" s="964" t="n">
        <f aca="false">PGL_Deliveries!K5/1000</f>
        <v>0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717</v>
      </c>
      <c r="B16" s="74"/>
      <c r="C16" s="1073" t="n">
        <f aca="false">PGL_Deliveries!AO5/1000</f>
        <v>4.907</v>
      </c>
      <c r="D16" s="76" t="s">
        <v>468</v>
      </c>
      <c r="E16" s="964" t="n">
        <f aca="false">PGL_Deliveries!L5/1000</f>
        <v>0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428</v>
      </c>
      <c r="B17" s="964" t="n">
        <f aca="false">PGL_Deliveries!AP5/1000</f>
        <v>0</v>
      </c>
      <c r="C17" s="1068" t="s">
        <v>0</v>
      </c>
      <c r="D17" s="1074" t="s">
        <v>466</v>
      </c>
      <c r="E17" s="971" t="n">
        <f aca="false">PGL_Deliveries!M5/1000</f>
        <v>0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718</v>
      </c>
      <c r="B18" s="994" t="n">
        <f aca="false">SUM(B8:B17)-C16</f>
        <v>156.765</v>
      </c>
      <c r="C18" s="1068"/>
      <c r="D18" s="1076" t="s">
        <v>719</v>
      </c>
      <c r="E18" s="1077" t="n">
        <f aca="false">SUM(E5:E17)</f>
        <v>4.271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633</v>
      </c>
      <c r="B19" s="964" t="n">
        <f aca="false">PGL_Supplies!Y7/1000</f>
        <v>106.16</v>
      </c>
      <c r="C19" s="1072"/>
      <c r="D19" s="76" t="s">
        <v>610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277</v>
      </c>
      <c r="B20" s="964" t="n">
        <f aca="false">PGL_Supplies!X7/1000</f>
        <v>0.3</v>
      </c>
      <c r="C20" s="73"/>
      <c r="D20" s="76" t="s">
        <v>432</v>
      </c>
      <c r="E20" s="964" t="n">
        <f aca="false">PGL_Deliveries!AW5/1000+B41</f>
        <v>2.2245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637</v>
      </c>
      <c r="C21" s="965" t="n">
        <f aca="false">PGL_Requirements!J7/1000</f>
        <v>0</v>
      </c>
      <c r="D21" s="1078" t="s">
        <v>720</v>
      </c>
      <c r="E21" s="1079" t="n">
        <f aca="false">SUM(E18:E20)</f>
        <v>6.4955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707</v>
      </c>
      <c r="B22" s="1082" t="n">
        <f aca="false">+B19+B20-C21</f>
        <v>106.46</v>
      </c>
      <c r="C22" s="1083"/>
      <c r="D22" s="1084" t="s">
        <v>721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472</v>
      </c>
      <c r="B23" s="964" t="n">
        <f aca="false">PGL_Supplies!Z7/1000</f>
        <v>0.2</v>
      </c>
      <c r="C23" s="73"/>
      <c r="D23" s="1084" t="s">
        <v>722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723</v>
      </c>
      <c r="B24" s="1085"/>
      <c r="C24" s="1073" t="n">
        <f aca="false">PGL_Requirements!U7/1000</f>
        <v>0</v>
      </c>
      <c r="D24" s="74" t="s">
        <v>724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725</v>
      </c>
      <c r="B25" s="964" t="n">
        <f aca="false">PGL_Supplies!R7/1000</f>
        <v>0</v>
      </c>
      <c r="C25" s="73"/>
      <c r="D25" s="1084" t="s">
        <v>726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469</v>
      </c>
      <c r="B26" s="83" t="s">
        <v>0</v>
      </c>
      <c r="C26" s="1086" t="s">
        <v>0</v>
      </c>
      <c r="D26" s="74" t="s">
        <v>727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728</v>
      </c>
      <c r="B27" s="964" t="n">
        <f aca="false">PGL_Supplies!AA7/1000</f>
        <v>0</v>
      </c>
      <c r="C27" s="73"/>
      <c r="D27" s="74" t="s">
        <v>435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729</v>
      </c>
      <c r="B28" s="964" t="n">
        <v>0</v>
      </c>
      <c r="C28" s="73"/>
      <c r="D28" s="1084" t="s">
        <v>730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731</v>
      </c>
      <c r="B29" s="83"/>
      <c r="C29" s="1086" t="n">
        <f aca="false">PGL_Requirements!J12/1000</f>
        <v>0</v>
      </c>
      <c r="D29" s="1084" t="s">
        <v>440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732</v>
      </c>
      <c r="B30" s="1088" t="n">
        <f aca="false">PGL_Supplies!AD7/1000</f>
        <v>4</v>
      </c>
      <c r="C30" s="73"/>
      <c r="D30" s="1084" t="s">
        <v>733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734</v>
      </c>
      <c r="B31" s="964" t="n">
        <f aca="false">PGL_Supplies!AE7/1000</f>
        <v>0</v>
      </c>
      <c r="C31" s="73"/>
      <c r="D31" s="1084" t="s">
        <v>735</v>
      </c>
      <c r="E31" s="74" t="s">
        <v>0</v>
      </c>
      <c r="F31" s="965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736</v>
      </c>
      <c r="B32" s="74"/>
      <c r="C32" s="1073" t="n">
        <v>0</v>
      </c>
      <c r="D32" s="1089" t="s">
        <v>737</v>
      </c>
      <c r="E32" s="964" t="n">
        <f aca="false">PGL_Deliveries!AR5/1000</f>
        <v>0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738</v>
      </c>
      <c r="B33" s="964" t="n">
        <f aca="false">PGL_Supplies!Q7/1000</f>
        <v>0</v>
      </c>
      <c r="C33" s="73"/>
      <c r="D33" s="1084" t="s">
        <v>739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740</v>
      </c>
      <c r="B34" s="1090" t="n">
        <f aca="false">(PGL_Deliveries!AB5+PGL_Deliveries!AC5+PGL_Deliveries!AD5)/1000</f>
        <v>0</v>
      </c>
      <c r="C34" s="73"/>
      <c r="D34" s="74" t="s">
        <v>346</v>
      </c>
      <c r="E34" s="964" t="n">
        <f aca="false">PGL_Supplies!AC7/1000</f>
        <v>50.985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741</v>
      </c>
      <c r="B35" s="74"/>
      <c r="C35" s="73" t="n">
        <f aca="false">PGL_Deliveries!AC5/1000</f>
        <v>0</v>
      </c>
      <c r="D35" s="74" t="s">
        <v>742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743</v>
      </c>
      <c r="B36" s="83"/>
      <c r="C36" s="1086" t="n">
        <f aca="false">PGL_Deliveries!AB5/1000</f>
        <v>0</v>
      </c>
      <c r="D36" s="1089" t="s">
        <v>744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745</v>
      </c>
      <c r="B37" s="964" t="s">
        <v>0</v>
      </c>
      <c r="C37" s="1073" t="n">
        <f aca="false">PGL_Requirements!P7/1000</f>
        <v>120</v>
      </c>
      <c r="D37" s="1084" t="s">
        <v>746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747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748</v>
      </c>
      <c r="B39" s="74"/>
      <c r="C39" s="1073" t="n">
        <f aca="false">PGL_Deliveries!AS5/1000</f>
        <v>0</v>
      </c>
      <c r="D39" s="1091" t="s">
        <v>371</v>
      </c>
      <c r="E39" s="1079" t="n">
        <f aca="false">SUM(E22:E37)-SUM(F23:F38)-E33</f>
        <v>50.985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453</v>
      </c>
      <c r="B40" s="964" t="n">
        <f aca="false">PGL_Deliveries!AT5/1000</f>
        <v>0.836</v>
      </c>
      <c r="C40" s="73"/>
      <c r="D40" s="1092" t="s">
        <v>749</v>
      </c>
      <c r="E40" s="1060"/>
      <c r="F40" s="965" t="n">
        <f aca="false">PGL_Requirements!K7/1000</f>
        <v>10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329</v>
      </c>
      <c r="B41" s="964" t="n">
        <f aca="false">PGL_Deliveries!AG5/1000</f>
        <v>0</v>
      </c>
      <c r="C41" s="73"/>
      <c r="D41" s="1084" t="s">
        <v>272</v>
      </c>
      <c r="E41" s="1093" t="n">
        <f aca="false">PGL_Supplies!AB7/1000</f>
        <v>168.275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750</v>
      </c>
      <c r="B42" s="964" t="n">
        <f aca="false">PGL_Deliveries!AF5/1000</f>
        <v>0</v>
      </c>
      <c r="C42" s="73"/>
      <c r="D42" s="74" t="s">
        <v>441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751</v>
      </c>
      <c r="B43" s="964" t="n">
        <f aca="false">PGL_Deliveries!AW5/1000</f>
        <v>2.2245</v>
      </c>
      <c r="C43" s="73"/>
      <c r="D43" s="74" t="s">
        <v>628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752</v>
      </c>
      <c r="B44" s="971" t="s">
        <v>0</v>
      </c>
      <c r="C44" s="1073" t="n">
        <f aca="false">PGL_Requirements!R7/1000</f>
        <v>0.72</v>
      </c>
      <c r="D44" s="74" t="s">
        <v>753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754</v>
      </c>
      <c r="B45" s="74" t="n">
        <f aca="false">Weather_Input!B5</f>
        <v>87</v>
      </c>
      <c r="C45" s="1058"/>
      <c r="D45" s="74" t="s">
        <v>358</v>
      </c>
      <c r="E45" s="1093" t="n">
        <f aca="false">PGL_Supplies!T7/1000</f>
        <v>34.334</v>
      </c>
      <c r="F45" s="1066"/>
    </row>
    <row r="46" customFormat="false" ht="15" hidden="false" customHeight="false" outlineLevel="0" collapsed="false">
      <c r="A46" s="958" t="s">
        <v>755</v>
      </c>
      <c r="B46" s="1094" t="n">
        <f aca="false">Weather_Input!C5</f>
        <v>64</v>
      </c>
      <c r="C46" s="41"/>
      <c r="D46" s="30" t="s">
        <v>756</v>
      </c>
      <c r="E46" s="74"/>
      <c r="F46" s="965" t="n">
        <f aca="false">PGL_Deliveries!BE5/1000</f>
        <v>5.953</v>
      </c>
    </row>
    <row r="47" customFormat="false" ht="15" hidden="false" customHeight="false" outlineLevel="0" collapsed="false">
      <c r="A47" s="983" t="s">
        <v>757</v>
      </c>
      <c r="B47" s="74" t="str">
        <f aca="false">Weather_Input!E5</f>
        <v>N/A</v>
      </c>
      <c r="C47" s="41"/>
      <c r="D47" s="1095" t="s">
        <v>758</v>
      </c>
      <c r="E47" s="83"/>
      <c r="F47" s="965" t="n">
        <f aca="false">PGL_Deliveries!BF5/1000</f>
        <v>0</v>
      </c>
    </row>
    <row r="48" customFormat="false" ht="15" hidden="false" customHeight="false" outlineLevel="0" collapsed="false">
      <c r="A48" s="958" t="s">
        <v>759</v>
      </c>
      <c r="B48" s="1096" t="n">
        <f aca="false">Weather_Input!D5</f>
        <v>12</v>
      </c>
      <c r="C48" s="41"/>
      <c r="D48" s="1084" t="s">
        <v>493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760</v>
      </c>
      <c r="B49" s="964" t="n">
        <f aca="false">PGL_Deliveries!AM5/1000</f>
        <v>1.026</v>
      </c>
      <c r="C49" s="41"/>
      <c r="D49" s="74" t="s">
        <v>761</v>
      </c>
      <c r="E49" s="964" t="n">
        <f aca="false">PGL_Deliveries!AJ5/1000</f>
        <v>21.039</v>
      </c>
      <c r="F49" s="392"/>
    </row>
    <row r="50" customFormat="false" ht="15.75" hidden="false" customHeight="false" outlineLevel="2" collapsed="false">
      <c r="A50" s="941" t="s">
        <v>762</v>
      </c>
      <c r="B50" s="1062"/>
      <c r="C50" s="344"/>
      <c r="D50" s="972" t="s">
        <v>763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764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765</v>
      </c>
      <c r="B3" s="1099" t="n">
        <f aca="false">NSG_Deliveries!H5/1000</f>
        <v>27.751</v>
      </c>
      <c r="C3" s="465"/>
      <c r="D3" s="1100" t="s">
        <v>663</v>
      </c>
      <c r="E3" s="1101" t="n">
        <f aca="false">Weather_Input!A5</f>
        <v>37053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421</v>
      </c>
      <c r="B5" s="1106" t="n">
        <f aca="false">NSG_Deliveries!E5/1000</f>
        <v>0</v>
      </c>
      <c r="C5" s="1107"/>
      <c r="D5" s="1108" t="s">
        <v>673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766</v>
      </c>
      <c r="B7" s="1109" t="n">
        <f aca="false">NSG_Deliveries!G5/1000</f>
        <v>27.751</v>
      </c>
      <c r="C7" s="1112"/>
      <c r="D7" s="1108" t="s">
        <v>767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371</v>
      </c>
      <c r="B8" s="1109" t="n">
        <f aca="false">B5+B7</f>
        <v>27.751</v>
      </c>
      <c r="C8" s="392"/>
      <c r="D8" s="1115" t="s">
        <v>768</v>
      </c>
      <c r="E8" s="1116" t="n">
        <f aca="false">NSG_Deliveries!F5/1000</f>
        <v>0</v>
      </c>
      <c r="F8" s="259"/>
      <c r="G8" s="0"/>
    </row>
    <row r="9" customFormat="false" ht="15" hidden="false" customHeight="true" outlineLevel="0" collapsed="false">
      <c r="A9" s="1117" t="s">
        <v>615</v>
      </c>
      <c r="B9" s="1118" t="s">
        <v>0</v>
      </c>
      <c r="C9" s="1119" t="n">
        <f aca="false">NSG_Requirements!L7/1000</f>
        <v>0</v>
      </c>
      <c r="D9" s="29" t="s">
        <v>293</v>
      </c>
      <c r="E9" s="1120" t="s">
        <v>0</v>
      </c>
      <c r="F9" s="1121" t="n">
        <f aca="false">NSG_Deliveries!M5/1000</f>
        <v>7.959</v>
      </c>
      <c r="G9" s="40"/>
    </row>
    <row r="10" customFormat="false" ht="15" hidden="false" customHeight="true" outlineLevel="0" collapsed="false">
      <c r="A10" s="1122" t="s">
        <v>769</v>
      </c>
      <c r="B10" s="1123" t="n">
        <f aca="false">NSG_Supplies!H7/1000</f>
        <v>0</v>
      </c>
      <c r="C10" s="1124"/>
      <c r="D10" s="1125" t="s">
        <v>770</v>
      </c>
      <c r="E10" s="1126" t="n">
        <f aca="false">NSG_Deliveries!N5/1000</f>
        <v>0</v>
      </c>
      <c r="F10" s="1127"/>
      <c r="G10" s="0"/>
    </row>
    <row r="11" customFormat="false" ht="15" hidden="false" customHeight="true" outlineLevel="0" collapsed="false">
      <c r="A11" s="1128" t="s">
        <v>771</v>
      </c>
      <c r="B11" s="1129" t="s">
        <v>0</v>
      </c>
      <c r="C11" s="1130"/>
      <c r="D11" s="970" t="s">
        <v>772</v>
      </c>
      <c r="E11" s="1131" t="n">
        <f aca="false">NSG_Supplies!Q7/1000</f>
        <v>15.215</v>
      </c>
      <c r="F11" s="1132"/>
      <c r="G11" s="0"/>
    </row>
    <row r="12" customFormat="false" ht="15" hidden="false" customHeight="true" outlineLevel="0" collapsed="false">
      <c r="A12" s="1122" t="s">
        <v>773</v>
      </c>
      <c r="B12" s="1123" t="n">
        <v>0</v>
      </c>
      <c r="C12" s="1103"/>
      <c r="D12" s="0" t="s">
        <v>774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775</v>
      </c>
      <c r="B13" s="1123" t="n">
        <f aca="false">NSG_Supplies!R7/1000</f>
        <v>28.828</v>
      </c>
      <c r="C13" s="1103"/>
      <c r="D13" s="1134" t="s">
        <v>776</v>
      </c>
      <c r="E13" s="1135"/>
      <c r="F13" s="1136"/>
      <c r="G13" s="0"/>
    </row>
    <row r="14" customFormat="false" ht="15" hidden="false" customHeight="true" outlineLevel="0" collapsed="false">
      <c r="A14" s="1122" t="s">
        <v>437</v>
      </c>
      <c r="B14" s="1123" t="n">
        <f aca="false">NSG_Supplies!C7/1000</f>
        <v>0</v>
      </c>
      <c r="C14" s="1103"/>
      <c r="D14" s="1137" t="s">
        <v>777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778</v>
      </c>
      <c r="B15" s="1137"/>
      <c r="C15" s="1119" t="n">
        <f aca="false">NSG_Deliveries!K5/1000</f>
        <v>0</v>
      </c>
      <c r="D15" s="1141" t="s">
        <v>779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780</v>
      </c>
      <c r="B16" s="1126" t="n">
        <f aca="false">NSG_Deliveries!L5/1000</f>
        <v>0.16</v>
      </c>
      <c r="C16" s="1144"/>
      <c r="D16" s="1145" t="s">
        <v>491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781</v>
      </c>
      <c r="B17" s="1137"/>
      <c r="C17" s="1119" t="n">
        <f aca="false">NSG_Requirements!P7/1000</f>
        <v>0</v>
      </c>
      <c r="D17" s="1147" t="s">
        <v>782</v>
      </c>
      <c r="E17" s="428"/>
      <c r="F17" s="460"/>
    </row>
    <row r="18" customFormat="false" ht="15" hidden="false" customHeight="true" outlineLevel="0" collapsed="false">
      <c r="A18" s="1122" t="s">
        <v>783</v>
      </c>
      <c r="B18" s="1123" t="n">
        <f aca="false">NSG_Supplies!I7/1000</f>
        <v>0</v>
      </c>
      <c r="C18" s="1103"/>
      <c r="D18" s="73" t="s">
        <v>784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785</v>
      </c>
      <c r="B19" s="1126" t="n">
        <f aca="false">PGL_Requirements!Y7/1000+PGL_Requirements!AB7/1000</f>
        <v>0</v>
      </c>
      <c r="C19" s="1148"/>
      <c r="D19" s="1149" t="s">
        <v>786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787</v>
      </c>
      <c r="B20" s="1126" t="n">
        <f aca="false">PGL_Requirements!Z7/1000</f>
        <v>0</v>
      </c>
      <c r="C20" s="1148" t="s">
        <v>0</v>
      </c>
      <c r="D20" s="1137" t="s">
        <v>788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789</v>
      </c>
      <c r="B21" s="1126" t="n">
        <f aca="false">PGL_Requirements!AA7/1000</f>
        <v>0</v>
      </c>
      <c r="C21" s="1148"/>
      <c r="D21" s="1150" t="s">
        <v>790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791</v>
      </c>
      <c r="B22" s="1137"/>
      <c r="C22" s="1119" t="n">
        <f aca="false">NSG_Requirements!C7/1000</f>
        <v>0</v>
      </c>
      <c r="D22" s="1150" t="s">
        <v>792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793</v>
      </c>
      <c r="B23" s="1137"/>
      <c r="C23" s="1119" t="n">
        <f aca="false">NSG_Requirements!R7/1000</f>
        <v>0</v>
      </c>
      <c r="D23" s="1150" t="s">
        <v>794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795</v>
      </c>
      <c r="B24" s="1123" t="n">
        <f aca="false">NSG_Supplies!K7/1000</f>
        <v>0</v>
      </c>
      <c r="C24" s="1103"/>
      <c r="D24" s="1150" t="s">
        <v>796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797</v>
      </c>
      <c r="B25" s="1137"/>
      <c r="C25" s="1119" t="n">
        <f aca="false">NSG_Requirements!Q7/1000</f>
        <v>0</v>
      </c>
      <c r="D25" s="1150" t="s">
        <v>798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799</v>
      </c>
      <c r="B26" s="1153" t="n">
        <f aca="false">NSG_Supplies!J7/1000</f>
        <v>0</v>
      </c>
      <c r="C26" s="1107"/>
      <c r="D26" s="1154" t="s">
        <v>800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371</v>
      </c>
      <c r="B27" s="1157" t="n">
        <f aca="false">SUM(B9:B26)-SUM(C9:C26)</f>
        <v>28.988</v>
      </c>
      <c r="C27" s="1158"/>
      <c r="D27" s="1159" t="s">
        <v>801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802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803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42</v>
      </c>
      <c r="BE1" s="0" t="s">
        <v>43</v>
      </c>
    </row>
    <row r="2" customFormat="false" ht="15" hidden="false" customHeight="false" outlineLevel="0" collapsed="false">
      <c r="A2" s="29"/>
      <c r="B2" s="29"/>
      <c r="C2" s="29"/>
      <c r="D2" s="32" t="s">
        <v>44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45</v>
      </c>
      <c r="AC2" s="33" t="s">
        <v>0</v>
      </c>
      <c r="AD2" s="33" t="s">
        <v>0</v>
      </c>
      <c r="AE2" s="33" t="s">
        <v>46</v>
      </c>
      <c r="AF2" s="33"/>
      <c r="AG2" s="33" t="s">
        <v>46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46</v>
      </c>
      <c r="BA2" s="0" t="s">
        <v>47</v>
      </c>
      <c r="BC2" s="0" t="s">
        <v>48</v>
      </c>
      <c r="BE2" s="35" t="n">
        <v>1</v>
      </c>
      <c r="BF2" s="11" t="s">
        <v>48</v>
      </c>
    </row>
    <row r="3" customFormat="false" ht="15" hidden="false" customHeight="false" outlineLevel="0" collapsed="false">
      <c r="A3" s="29"/>
      <c r="B3" s="36" t="s">
        <v>49</v>
      </c>
      <c r="C3" s="29" t="s">
        <v>0</v>
      </c>
      <c r="D3" s="37" t="s">
        <v>50</v>
      </c>
      <c r="E3" s="36" t="s">
        <v>51</v>
      </c>
      <c r="F3" s="36" t="s">
        <v>51</v>
      </c>
      <c r="G3" s="36" t="s">
        <v>51</v>
      </c>
      <c r="H3" s="36" t="s">
        <v>52</v>
      </c>
      <c r="I3" s="36" t="s">
        <v>52</v>
      </c>
      <c r="J3" s="36" t="s">
        <v>52</v>
      </c>
      <c r="K3" s="36" t="s">
        <v>53</v>
      </c>
      <c r="L3" s="36" t="s">
        <v>54</v>
      </c>
      <c r="M3" s="36" t="s">
        <v>54</v>
      </c>
      <c r="N3" s="36" t="s">
        <v>55</v>
      </c>
      <c r="O3" s="36" t="s">
        <v>56</v>
      </c>
      <c r="P3" s="36" t="s">
        <v>57</v>
      </c>
      <c r="R3" s="36"/>
      <c r="S3" s="36"/>
      <c r="T3" s="36" t="s">
        <v>53</v>
      </c>
      <c r="U3" s="36" t="s">
        <v>10</v>
      </c>
      <c r="V3" s="36"/>
      <c r="W3" s="28"/>
      <c r="X3" s="29"/>
      <c r="Y3" s="29" t="s">
        <v>58</v>
      </c>
      <c r="Z3" s="29"/>
      <c r="AA3" s="29"/>
      <c r="AB3" s="36" t="s">
        <v>59</v>
      </c>
      <c r="AC3" s="36" t="s">
        <v>45</v>
      </c>
      <c r="AD3" s="36" t="s">
        <v>45</v>
      </c>
      <c r="AE3" s="36" t="s">
        <v>60</v>
      </c>
      <c r="AF3" s="36" t="s">
        <v>60</v>
      </c>
      <c r="AG3" s="36" t="s">
        <v>61</v>
      </c>
      <c r="AH3" s="36" t="s">
        <v>61</v>
      </c>
      <c r="AI3" s="36" t="s">
        <v>62</v>
      </c>
      <c r="AJ3" s="36" t="s">
        <v>63</v>
      </c>
      <c r="AK3" s="36" t="s">
        <v>64</v>
      </c>
      <c r="AL3" s="36" t="s">
        <v>65</v>
      </c>
      <c r="AM3" s="11" t="s">
        <v>66</v>
      </c>
      <c r="AO3" s="38" t="s">
        <v>67</v>
      </c>
      <c r="AP3" s="39"/>
      <c r="AQ3" s="38" t="s">
        <v>68</v>
      </c>
      <c r="AR3" s="39"/>
      <c r="AS3" s="38" t="s">
        <v>69</v>
      </c>
      <c r="AT3" s="39"/>
      <c r="AU3" s="34" t="s">
        <v>70</v>
      </c>
      <c r="AV3" s="34" t="s">
        <v>70</v>
      </c>
      <c r="AW3" s="34"/>
      <c r="AX3" s="34" t="s">
        <v>70</v>
      </c>
      <c r="AZ3" s="40" t="s">
        <v>71</v>
      </c>
      <c r="BA3" s="40"/>
      <c r="BB3" s="41"/>
      <c r="BC3" s="40" t="s">
        <v>52</v>
      </c>
      <c r="BE3" s="35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51</v>
      </c>
      <c r="BA4" s="44" t="s">
        <v>52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37053</v>
      </c>
      <c r="B5" s="29" t="n">
        <f aca="false">(Weather_Input!B5+Weather_Input!C5)/2</f>
        <v>75.5</v>
      </c>
      <c r="C5" s="46" t="n">
        <v>215000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4271</v>
      </c>
      <c r="T5" s="49" t="n">
        <v>0</v>
      </c>
      <c r="U5" s="46" t="n">
        <f aca="false">SUM(D5:S5)-T5</f>
        <v>4271</v>
      </c>
      <c r="V5" s="46" t="n">
        <v>106087</v>
      </c>
      <c r="W5" s="18" t="n">
        <v>0</v>
      </c>
      <c r="X5" s="18" t="n">
        <v>0</v>
      </c>
      <c r="Y5" s="18" t="n">
        <v>0</v>
      </c>
      <c r="Z5" s="18" t="n">
        <v>182604</v>
      </c>
      <c r="AA5" s="18" t="n">
        <v>6039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21039</v>
      </c>
      <c r="AK5" s="18" t="n">
        <v>0</v>
      </c>
      <c r="AL5" s="18" t="n">
        <v>0</v>
      </c>
      <c r="AM5" s="29" t="n">
        <v>1026</v>
      </c>
      <c r="AN5" s="29"/>
      <c r="AO5" s="29" t="n">
        <v>4907</v>
      </c>
      <c r="AP5" s="29" t="n">
        <v>0</v>
      </c>
      <c r="AQ5" s="29" t="n">
        <v>9240</v>
      </c>
      <c r="AR5" s="29" t="n">
        <v>0</v>
      </c>
      <c r="AS5" s="29" t="n">
        <v>0</v>
      </c>
      <c r="AT5" s="29" t="n">
        <v>836</v>
      </c>
      <c r="AU5" s="29" t="n">
        <v>148300</v>
      </c>
      <c r="AV5" s="29" t="n">
        <v>680</v>
      </c>
      <c r="AW5" s="50" t="n">
        <f aca="false">AU5*0.015</f>
        <v>2224.5</v>
      </c>
      <c r="AX5" s="29" t="n">
        <v>0</v>
      </c>
      <c r="AY5" s="29"/>
      <c r="AZ5" s="29" t="n">
        <v>4474</v>
      </c>
      <c r="BA5" s="29" t="n">
        <v>12</v>
      </c>
      <c r="BB5" s="29" t="n">
        <v>0</v>
      </c>
      <c r="BC5" s="29" t="n">
        <v>0</v>
      </c>
      <c r="BD5" s="29"/>
      <c r="BE5" s="29" t="n">
        <v>5953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37054</v>
      </c>
      <c r="B6" s="51" t="n">
        <f aca="false">(Weather_Input!B6+Weather_Input!C6)/2</f>
        <v>80</v>
      </c>
      <c r="C6" s="46" t="n">
        <v>220000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109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37055</v>
      </c>
      <c r="B7" s="51" t="n">
        <f aca="false">(Weather_Input!B7+Weather_Input!C7)/2</f>
        <v>79.5</v>
      </c>
      <c r="C7" s="46" t="n">
        <v>220000</v>
      </c>
      <c r="D7" s="52" t="s">
        <v>0</v>
      </c>
      <c r="E7" s="53"/>
      <c r="F7" s="53"/>
      <c r="G7" s="53"/>
      <c r="H7" s="54" t="s">
        <v>110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111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37056</v>
      </c>
      <c r="B8" s="51" t="n">
        <f aca="false">(Weather_Input!B8+Weather_Input!C8)/2</f>
        <v>73</v>
      </c>
      <c r="C8" s="46" t="n">
        <v>220000</v>
      </c>
      <c r="D8" s="52" t="s">
        <v>0</v>
      </c>
      <c r="E8" s="53" t="s">
        <v>0</v>
      </c>
      <c r="F8" s="53"/>
      <c r="G8" s="53"/>
      <c r="H8" s="56" t="s">
        <v>112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113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37057</v>
      </c>
      <c r="B9" s="51" t="n">
        <f aca="false">(Weather_Input!B9+Weather_Input!C9)/2</f>
        <v>68</v>
      </c>
      <c r="C9" s="46" t="n">
        <v>215000</v>
      </c>
      <c r="D9" s="52" t="s">
        <v>0</v>
      </c>
      <c r="E9" s="53"/>
      <c r="F9" s="53"/>
      <c r="G9" s="53"/>
      <c r="H9" s="53" t="s">
        <v>114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115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37058</v>
      </c>
      <c r="B10" s="51" t="n">
        <f aca="false">(Weather_Input!B10+Weather_Input!C10)/2</f>
        <v>68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116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117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118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119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120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121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122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804</v>
      </c>
      <c r="B1" s="108" t="n">
        <f aca="false">Weather_Input!A5</f>
        <v>37053</v>
      </c>
      <c r="C1" s="1173"/>
    </row>
    <row r="2" customFormat="false" ht="15" hidden="false" customHeight="false" outlineLevel="0" collapsed="false">
      <c r="A2" s="28" t="s">
        <v>805</v>
      </c>
      <c r="B2" s="1173"/>
      <c r="C2" s="1173"/>
    </row>
    <row r="3" customFormat="false" ht="15.75" hidden="false" customHeight="false" outlineLevel="0" collapsed="false">
      <c r="B3" s="1174" t="s">
        <v>88</v>
      </c>
      <c r="C3" s="1174"/>
      <c r="D3" s="1174"/>
      <c r="E3" s="1174"/>
      <c r="F3" s="1174"/>
      <c r="G3" s="1174"/>
      <c r="H3" s="1175" t="s">
        <v>89</v>
      </c>
      <c r="I3" s="1175"/>
      <c r="J3" s="1175"/>
      <c r="K3" s="1175"/>
      <c r="L3" s="1175"/>
      <c r="M3" s="1175"/>
      <c r="N3" s="919" t="s">
        <v>45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806</v>
      </c>
      <c r="C4" s="1176"/>
      <c r="D4" s="11" t="s">
        <v>707</v>
      </c>
      <c r="E4" s="11" t="s">
        <v>707</v>
      </c>
      <c r="F4" s="1177" t="s">
        <v>807</v>
      </c>
      <c r="G4" s="1177"/>
      <c r="H4" s="4" t="s">
        <v>806</v>
      </c>
      <c r="I4" s="4"/>
      <c r="J4" s="11" t="s">
        <v>707</v>
      </c>
      <c r="K4" s="11" t="s">
        <v>707</v>
      </c>
      <c r="L4" s="1177" t="s">
        <v>807</v>
      </c>
      <c r="M4" s="1177"/>
      <c r="N4" s="4" t="s">
        <v>806</v>
      </c>
      <c r="O4" s="4"/>
      <c r="P4" s="11" t="s">
        <v>707</v>
      </c>
      <c r="Q4" s="11" t="s">
        <v>707</v>
      </c>
      <c r="R4" s="4" t="s">
        <v>807</v>
      </c>
      <c r="S4" s="4"/>
    </row>
    <row r="5" customFormat="false" ht="15" hidden="false" customHeight="false" outlineLevel="0" collapsed="false">
      <c r="A5" s="870"/>
      <c r="B5" s="1178" t="s">
        <v>808</v>
      </c>
      <c r="C5" s="1179" t="s">
        <v>809</v>
      </c>
      <c r="D5" s="1180" t="s">
        <v>810</v>
      </c>
      <c r="E5" s="1180" t="s">
        <v>811</v>
      </c>
      <c r="F5" s="1180" t="s">
        <v>808</v>
      </c>
      <c r="G5" s="1181" t="s">
        <v>809</v>
      </c>
      <c r="H5" s="1180" t="s">
        <v>808</v>
      </c>
      <c r="I5" s="1180" t="s">
        <v>809</v>
      </c>
      <c r="J5" s="1180" t="s">
        <v>810</v>
      </c>
      <c r="K5" s="1180" t="s">
        <v>811</v>
      </c>
      <c r="L5" s="1180" t="s">
        <v>808</v>
      </c>
      <c r="M5" s="1181" t="s">
        <v>809</v>
      </c>
      <c r="N5" s="1180" t="s">
        <v>808</v>
      </c>
      <c r="O5" s="1180" t="s">
        <v>809</v>
      </c>
      <c r="P5" s="1180" t="s">
        <v>810</v>
      </c>
      <c r="Q5" s="1180" t="s">
        <v>811</v>
      </c>
      <c r="R5" s="1180" t="s">
        <v>808</v>
      </c>
      <c r="S5" s="1180" t="s">
        <v>809</v>
      </c>
    </row>
    <row r="6" customFormat="false" ht="15" hidden="false" customHeight="false" outlineLevel="0" collapsed="false">
      <c r="A6" s="1173" t="n">
        <f aca="false">B1-1</f>
        <v>37052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110160</v>
      </c>
      <c r="O6" s="1182" t="n">
        <v>0</v>
      </c>
      <c r="P6" s="1182" t="n">
        <v>51048869</v>
      </c>
      <c r="Q6" s="1182" t="n">
        <v>15045098</v>
      </c>
      <c r="R6" s="1182" t="n">
        <v>36003771</v>
      </c>
      <c r="S6" s="1182" t="n">
        <v>0</v>
      </c>
    </row>
    <row r="7" customFormat="false" ht="15" hidden="false" customHeight="false" outlineLevel="0" collapsed="false">
      <c r="A7" s="1173" t="n">
        <f aca="false">B1</f>
        <v>37053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110160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51159029</v>
      </c>
      <c r="Q7" s="0" t="n">
        <f aca="false">IF(O7&gt;0,Q6+O7,Q6)</f>
        <v>15045098</v>
      </c>
      <c r="R7" s="0" t="n">
        <f aca="false">IF(P7&gt;Q7,P7-Q7,0)</f>
        <v>36113931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812</v>
      </c>
      <c r="C1" s="36" t="s">
        <v>813</v>
      </c>
      <c r="D1" s="1184" t="s">
        <v>814</v>
      </c>
    </row>
    <row r="2" customFormat="false" ht="15" hidden="false" customHeight="false" outlineLevel="0" collapsed="false">
      <c r="B2" s="36" t="s">
        <v>815</v>
      </c>
      <c r="C2" s="36" t="s">
        <v>22</v>
      </c>
      <c r="D2" s="1184" t="s">
        <v>22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123</v>
      </c>
      <c r="L2" s="0" t="s">
        <v>123</v>
      </c>
      <c r="M2" s="0" t="s">
        <v>123</v>
      </c>
      <c r="N2" s="0" t="s">
        <v>123</v>
      </c>
    </row>
    <row r="3" customFormat="false" ht="15" hidden="false" customHeight="false" outlineLevel="0" collapsed="false">
      <c r="B3" s="18" t="s">
        <v>49</v>
      </c>
      <c r="C3" s="29" t="s">
        <v>73</v>
      </c>
      <c r="D3" s="36" t="s">
        <v>124</v>
      </c>
      <c r="F3" s="36" t="s">
        <v>125</v>
      </c>
      <c r="G3" s="36" t="s">
        <v>126</v>
      </c>
      <c r="H3" s="36" t="s">
        <v>10</v>
      </c>
      <c r="I3" s="36" t="s">
        <v>127</v>
      </c>
      <c r="K3" s="0" t="s">
        <v>128</v>
      </c>
      <c r="L3" s="0" t="s">
        <v>128</v>
      </c>
      <c r="M3" s="0" t="s">
        <v>128</v>
      </c>
      <c r="N3" s="0" t="s">
        <v>128</v>
      </c>
    </row>
    <row r="4" customFormat="false" ht="12.75" hidden="false" customHeight="false" outlineLevel="0" collapsed="false">
      <c r="B4" s="18" t="s">
        <v>129</v>
      </c>
      <c r="D4" s="36" t="s">
        <v>130</v>
      </c>
      <c r="E4" s="36" t="s">
        <v>131</v>
      </c>
      <c r="F4" s="36" t="s">
        <v>130</v>
      </c>
      <c r="G4" s="36" t="s">
        <v>130</v>
      </c>
      <c r="H4" s="36" t="s">
        <v>73</v>
      </c>
      <c r="I4" s="36" t="s">
        <v>132</v>
      </c>
      <c r="K4" s="29" t="s">
        <v>133</v>
      </c>
      <c r="L4" s="29" t="s">
        <v>134</v>
      </c>
      <c r="M4" s="29" t="s">
        <v>133</v>
      </c>
      <c r="N4" s="29" t="s">
        <v>134</v>
      </c>
    </row>
    <row r="5" customFormat="false" ht="12.75" hidden="false" customHeight="false" outlineLevel="0" collapsed="false">
      <c r="A5" s="62" t="n">
        <f aca="false">Weather_Input!A5</f>
        <v>37053</v>
      </c>
      <c r="B5" s="29" t="n">
        <f aca="false">(Weather_Input!B5+Weather_Input!C5)/2</f>
        <v>75.5</v>
      </c>
      <c r="C5" s="46" t="n">
        <v>36000</v>
      </c>
      <c r="D5" s="46" t="n">
        <v>0</v>
      </c>
      <c r="E5" s="46" t="n">
        <v>0</v>
      </c>
      <c r="F5" s="46" t="n">
        <v>0</v>
      </c>
      <c r="G5" s="46" t="n">
        <v>27751</v>
      </c>
      <c r="H5" s="63" t="n">
        <f aca="false">SUM(D5:G5)</f>
        <v>27751</v>
      </c>
      <c r="I5" s="29" t="n">
        <v>1007</v>
      </c>
      <c r="J5" s="29" t="s">
        <v>0</v>
      </c>
      <c r="K5" s="29" t="n">
        <v>0</v>
      </c>
      <c r="L5" s="29" t="n">
        <v>160</v>
      </c>
      <c r="M5" s="29" t="n">
        <v>7959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37054</v>
      </c>
      <c r="B6" s="51" t="n">
        <f aca="false">(Weather_Input!B6+Weather_Input!C6)/2</f>
        <v>80</v>
      </c>
      <c r="C6" s="46" t="n">
        <v>38000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37055</v>
      </c>
      <c r="B7" s="51" t="n">
        <f aca="false">(Weather_Input!B7+Weather_Input!C7)/2</f>
        <v>79.5</v>
      </c>
      <c r="C7" s="46" t="n">
        <v>38000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37056</v>
      </c>
      <c r="B8" s="51" t="n">
        <f aca="false">(Weather_Input!B8+Weather_Input!C8)/2</f>
        <v>73</v>
      </c>
      <c r="C8" s="46" t="n">
        <v>38000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37057</v>
      </c>
      <c r="B9" s="51" t="n">
        <f aca="false">(Weather_Input!B9+Weather_Input!C9)/2</f>
        <v>68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37058</v>
      </c>
      <c r="B10" s="51" t="n">
        <f aca="false">(Weather_Input!B10+Weather_Input!C10)/2</f>
        <v>68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135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95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36" t="s">
        <v>108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139</v>
      </c>
      <c r="W4" s="78"/>
      <c r="X4" s="78"/>
      <c r="Y4" s="76" t="s">
        <v>46</v>
      </c>
      <c r="Z4" s="76"/>
      <c r="AA4" s="76"/>
      <c r="AB4" s="76"/>
      <c r="AC4" s="37" t="s">
        <v>140</v>
      </c>
      <c r="AD4" s="37"/>
      <c r="AE4" s="37"/>
      <c r="AF4" s="30"/>
      <c r="AG4" s="36" t="s">
        <v>141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142</v>
      </c>
      <c r="C5" s="76"/>
      <c r="D5" s="29"/>
      <c r="E5" s="29"/>
      <c r="F5" s="80"/>
      <c r="G5" s="79" t="s">
        <v>0</v>
      </c>
      <c r="H5" s="75" t="s">
        <v>86</v>
      </c>
      <c r="I5" s="33" t="s">
        <v>143</v>
      </c>
      <c r="J5" s="81" t="s">
        <v>87</v>
      </c>
      <c r="K5" s="36" t="s">
        <v>144</v>
      </c>
      <c r="L5" s="29"/>
      <c r="M5" s="29"/>
      <c r="N5" s="73"/>
      <c r="O5" s="76" t="s">
        <v>46</v>
      </c>
      <c r="P5" s="36" t="s">
        <v>66</v>
      </c>
      <c r="Q5" s="36" t="s">
        <v>77</v>
      </c>
      <c r="R5" s="36" t="s">
        <v>77</v>
      </c>
      <c r="S5" s="36" t="s">
        <v>46</v>
      </c>
      <c r="T5" s="33" t="s">
        <v>70</v>
      </c>
      <c r="U5" s="82" t="s">
        <v>145</v>
      </c>
      <c r="V5" s="37" t="s">
        <v>146</v>
      </c>
      <c r="W5" s="37" t="s">
        <v>147</v>
      </c>
      <c r="X5" s="36" t="s">
        <v>148</v>
      </c>
      <c r="Y5" s="36" t="s">
        <v>149</v>
      </c>
      <c r="Z5" s="36" t="s">
        <v>149</v>
      </c>
      <c r="AA5" s="36" t="s">
        <v>149</v>
      </c>
      <c r="AB5" s="36" t="s">
        <v>149</v>
      </c>
      <c r="AC5" s="37" t="s">
        <v>149</v>
      </c>
      <c r="AD5" s="36" t="s">
        <v>149</v>
      </c>
      <c r="AE5" s="36" t="s">
        <v>149</v>
      </c>
      <c r="AF5" s="37" t="s">
        <v>149</v>
      </c>
      <c r="AG5" s="36" t="s">
        <v>149</v>
      </c>
      <c r="AH5" s="36" t="s">
        <v>149</v>
      </c>
      <c r="AI5" s="36" t="s">
        <v>149</v>
      </c>
      <c r="AJ5" s="29"/>
    </row>
    <row r="6" customFormat="false" ht="12.75" hidden="false" customHeight="false" outlineLevel="0" collapsed="false">
      <c r="A6" s="83"/>
      <c r="B6" s="84" t="s">
        <v>150</v>
      </c>
      <c r="C6" s="81" t="s">
        <v>88</v>
      </c>
      <c r="D6" s="81" t="s">
        <v>140</v>
      </c>
      <c r="E6" s="81" t="s">
        <v>141</v>
      </c>
      <c r="F6" s="85" t="s">
        <v>151</v>
      </c>
      <c r="G6" s="81" t="s">
        <v>152</v>
      </c>
      <c r="H6" s="86" t="s">
        <v>141</v>
      </c>
      <c r="I6" s="87" t="s">
        <v>153</v>
      </c>
      <c r="J6" s="81" t="s">
        <v>154</v>
      </c>
      <c r="K6" s="81" t="s">
        <v>155</v>
      </c>
      <c r="L6" s="81" t="s">
        <v>46</v>
      </c>
      <c r="M6" s="81" t="s">
        <v>86</v>
      </c>
      <c r="N6" s="81" t="s">
        <v>151</v>
      </c>
      <c r="O6" s="81" t="s">
        <v>156</v>
      </c>
      <c r="P6" s="81" t="s">
        <v>77</v>
      </c>
      <c r="Q6" s="81" t="s">
        <v>157</v>
      </c>
      <c r="R6" s="81" t="s">
        <v>158</v>
      </c>
      <c r="S6" s="81" t="s">
        <v>159</v>
      </c>
      <c r="T6" s="88" t="s">
        <v>160</v>
      </c>
      <c r="U6" s="87" t="s">
        <v>156</v>
      </c>
      <c r="V6" s="89" t="s">
        <v>161</v>
      </c>
      <c r="W6" s="89" t="s">
        <v>162</v>
      </c>
      <c r="X6" s="81" t="n">
        <v>9</v>
      </c>
      <c r="Y6" s="81" t="s">
        <v>46</v>
      </c>
      <c r="Z6" s="81" t="s">
        <v>88</v>
      </c>
      <c r="AA6" s="81" t="s">
        <v>140</v>
      </c>
      <c r="AB6" s="81" t="s">
        <v>141</v>
      </c>
      <c r="AC6" s="81" t="s">
        <v>88</v>
      </c>
      <c r="AD6" s="81" t="s">
        <v>46</v>
      </c>
      <c r="AE6" s="81" t="s">
        <v>140</v>
      </c>
      <c r="AF6" s="81" t="s">
        <v>88</v>
      </c>
      <c r="AG6" s="81" t="s">
        <v>46</v>
      </c>
      <c r="AH6" s="81" t="s">
        <v>140</v>
      </c>
      <c r="AI6" s="81" t="s">
        <v>141</v>
      </c>
      <c r="AJ6" s="29"/>
    </row>
    <row r="7" customFormat="false" ht="12.75" hidden="false" customHeight="false" outlineLevel="0" collapsed="false">
      <c r="A7" s="90" t="n">
        <f aca="false">Weather_Input!A5</f>
        <v>37053</v>
      </c>
      <c r="B7" s="91" t="n">
        <v>0</v>
      </c>
      <c r="C7" s="92" t="n">
        <v>200</v>
      </c>
      <c r="D7" s="93" t="n">
        <v>0</v>
      </c>
      <c r="E7" s="93" t="n">
        <v>5800</v>
      </c>
      <c r="F7" s="91" t="n">
        <v>0</v>
      </c>
      <c r="G7" s="91" t="n">
        <v>0</v>
      </c>
      <c r="H7" s="94" t="n">
        <v>68000</v>
      </c>
      <c r="I7" s="95" t="n">
        <v>0</v>
      </c>
      <c r="J7" s="95" t="n">
        <v>0</v>
      </c>
      <c r="K7" s="93" t="n">
        <v>10000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120000</v>
      </c>
      <c r="Q7" s="50" t="n">
        <f aca="false">P7*0.015</f>
        <v>1800</v>
      </c>
      <c r="R7" s="93" t="n">
        <v>720</v>
      </c>
      <c r="S7" s="93" t="n">
        <v>0</v>
      </c>
      <c r="T7" s="93" t="n">
        <v>0</v>
      </c>
      <c r="U7" s="95" t="n">
        <v>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37053</v>
      </c>
    </row>
    <row r="8" customFormat="false" ht="12.75" hidden="false" customHeight="false" outlineLevel="0" collapsed="false">
      <c r="A8" s="90" t="n">
        <f aca="false">A7+1</f>
        <v>37054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96907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100000</v>
      </c>
      <c r="Q8" s="50" t="n">
        <f aca="false">P8*0.015</f>
        <v>1500</v>
      </c>
      <c r="R8" s="93" t="n">
        <v>720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37054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37055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720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37055</v>
      </c>
      <c r="AN9" s="95"/>
    </row>
    <row r="10" customFormat="false" ht="12.75" hidden="false" customHeight="false" outlineLevel="0" collapsed="false">
      <c r="A10" s="90" t="n">
        <f aca="false">A9+1</f>
        <v>37056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720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37056</v>
      </c>
    </row>
    <row r="11" customFormat="false" ht="12.75" hidden="false" customHeight="false" outlineLevel="0" collapsed="false">
      <c r="A11" s="90" t="n">
        <f aca="false">A10+1</f>
        <v>37057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720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37057</v>
      </c>
    </row>
    <row r="12" customFormat="false" ht="12.75" hidden="false" customHeight="false" outlineLevel="0" collapsed="false">
      <c r="A12" s="90" t="n">
        <f aca="false">A11+1</f>
        <v>37058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720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37058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163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8" activeCellId="0" sqref="L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164</v>
      </c>
      <c r="D3" s="99"/>
      <c r="E3" s="99"/>
      <c r="F3" s="99"/>
      <c r="G3" s="99"/>
      <c r="H3" s="71" t="s">
        <v>165</v>
      </c>
      <c r="I3" s="71"/>
      <c r="J3" s="71"/>
      <c r="K3" s="71"/>
      <c r="L3" s="71"/>
      <c r="M3" s="71" t="s">
        <v>166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167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168</v>
      </c>
      <c r="V4" s="36" t="s">
        <v>169</v>
      </c>
      <c r="Y4" s="73"/>
      <c r="Z4" s="74"/>
      <c r="AE4" s="73"/>
    </row>
    <row r="5" customFormat="false" ht="12.75" hidden="false" customHeight="false" outlineLevel="0" collapsed="false">
      <c r="B5" s="36" t="s">
        <v>170</v>
      </c>
      <c r="C5" s="37"/>
      <c r="D5" s="36"/>
      <c r="E5" s="36"/>
      <c r="F5" s="36"/>
      <c r="G5" s="79"/>
      <c r="H5" s="36"/>
      <c r="I5" s="36"/>
      <c r="J5" s="36"/>
      <c r="K5" s="79" t="s">
        <v>65</v>
      </c>
      <c r="L5" s="76" t="s">
        <v>46</v>
      </c>
      <c r="M5" s="37" t="s">
        <v>66</v>
      </c>
      <c r="N5" s="37" t="s">
        <v>0</v>
      </c>
      <c r="O5" s="36" t="s">
        <v>0</v>
      </c>
      <c r="P5" s="36" t="s">
        <v>0</v>
      </c>
      <c r="Q5" s="36" t="s">
        <v>171</v>
      </c>
      <c r="R5" s="33" t="s">
        <v>88</v>
      </c>
      <c r="S5" s="79" t="s">
        <v>0</v>
      </c>
      <c r="T5" s="75" t="s">
        <v>86</v>
      </c>
      <c r="U5" s="33" t="s">
        <v>143</v>
      </c>
      <c r="V5" s="36" t="s">
        <v>172</v>
      </c>
      <c r="W5" s="36"/>
      <c r="X5" s="76" t="s">
        <v>87</v>
      </c>
      <c r="Y5" s="73"/>
      <c r="Z5" s="36"/>
      <c r="AA5" s="36"/>
      <c r="AB5" s="36"/>
      <c r="AE5" s="79" t="s">
        <v>173</v>
      </c>
    </row>
    <row r="6" customFormat="false" ht="12.75" hidden="false" customHeight="false" outlineLevel="0" collapsed="false">
      <c r="B6" s="81" t="s">
        <v>174</v>
      </c>
      <c r="C6" s="101" t="s">
        <v>88</v>
      </c>
      <c r="D6" s="81" t="s">
        <v>140</v>
      </c>
      <c r="E6" s="81" t="s">
        <v>141</v>
      </c>
      <c r="F6" s="81" t="s">
        <v>86</v>
      </c>
      <c r="G6" s="84" t="s">
        <v>151</v>
      </c>
      <c r="H6" s="81" t="s">
        <v>142</v>
      </c>
      <c r="I6" s="81" t="s">
        <v>97</v>
      </c>
      <c r="J6" s="81" t="s">
        <v>78</v>
      </c>
      <c r="K6" s="84" t="s">
        <v>98</v>
      </c>
      <c r="L6" s="81" t="s">
        <v>175</v>
      </c>
      <c r="M6" s="101" t="s">
        <v>77</v>
      </c>
      <c r="N6" s="81" t="s">
        <v>0</v>
      </c>
      <c r="O6" s="81" t="s">
        <v>0</v>
      </c>
      <c r="P6" s="81" t="s">
        <v>0</v>
      </c>
      <c r="Q6" s="102" t="s">
        <v>176</v>
      </c>
      <c r="R6" s="88" t="s">
        <v>156</v>
      </c>
      <c r="S6" s="84" t="s">
        <v>0</v>
      </c>
      <c r="T6" s="86" t="s">
        <v>177</v>
      </c>
      <c r="U6" s="88" t="s">
        <v>153</v>
      </c>
      <c r="V6" s="81" t="s">
        <v>178</v>
      </c>
      <c r="W6" s="81" t="s">
        <v>0</v>
      </c>
      <c r="X6" s="103" t="s">
        <v>179</v>
      </c>
      <c r="Y6" s="84" t="s">
        <v>87</v>
      </c>
      <c r="Z6" s="81" t="s">
        <v>88</v>
      </c>
      <c r="AA6" s="81" t="s">
        <v>140</v>
      </c>
      <c r="AB6" s="81" t="s">
        <v>141</v>
      </c>
      <c r="AC6" s="81" t="s">
        <v>46</v>
      </c>
      <c r="AD6" s="81" t="s">
        <v>151</v>
      </c>
      <c r="AE6" s="84" t="s">
        <v>180</v>
      </c>
    </row>
    <row r="7" customFormat="false" ht="12.75" hidden="false" customHeight="false" outlineLevel="0" collapsed="false">
      <c r="A7" s="90" t="n">
        <f aca="false">Weather_Input!A5</f>
        <v>37053</v>
      </c>
      <c r="B7" s="50" t="n">
        <v>4300</v>
      </c>
      <c r="C7" s="104" t="n">
        <v>0</v>
      </c>
      <c r="D7" s="50" t="n">
        <v>0</v>
      </c>
      <c r="E7" s="50" t="n">
        <v>0</v>
      </c>
      <c r="F7" s="50" t="n">
        <v>0</v>
      </c>
      <c r="G7" s="91" t="n">
        <v>12000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8130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34334</v>
      </c>
      <c r="U7" s="93" t="n">
        <v>0</v>
      </c>
      <c r="V7" s="96" t="n">
        <v>138663</v>
      </c>
      <c r="W7" s="96" t="n">
        <v>0</v>
      </c>
      <c r="X7" s="95" t="n">
        <v>300</v>
      </c>
      <c r="Y7" s="105" t="n">
        <v>106160</v>
      </c>
      <c r="Z7" s="96" t="n">
        <v>200</v>
      </c>
      <c r="AA7" s="29" t="n">
        <v>0</v>
      </c>
      <c r="AB7" s="95" t="n">
        <v>168275</v>
      </c>
      <c r="AC7" s="95" t="n">
        <v>50985</v>
      </c>
      <c r="AD7" s="95" t="n">
        <v>4000</v>
      </c>
      <c r="AE7" s="105" t="n">
        <v>0</v>
      </c>
      <c r="AF7" s="108" t="n">
        <f aca="false">Weather_Input!A5</f>
        <v>37053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37054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50000</v>
      </c>
      <c r="U8" s="93" t="n">
        <v>0</v>
      </c>
      <c r="V8" s="96" t="n">
        <v>120247</v>
      </c>
      <c r="W8" s="96" t="n">
        <v>0</v>
      </c>
      <c r="X8" s="95" t="n">
        <v>0</v>
      </c>
      <c r="Y8" s="105" t="n">
        <v>105101</v>
      </c>
      <c r="Z8" s="96" t="n">
        <v>200</v>
      </c>
      <c r="AA8" s="29" t="n">
        <v>0</v>
      </c>
      <c r="AB8" s="95" t="n">
        <v>182920</v>
      </c>
      <c r="AC8" s="95" t="n">
        <v>31469</v>
      </c>
      <c r="AD8" s="95" t="n">
        <v>4000</v>
      </c>
      <c r="AE8" s="105" t="n">
        <v>0</v>
      </c>
      <c r="AF8" s="90" t="n">
        <f aca="false">AF7+1</f>
        <v>37054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37055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120247</v>
      </c>
      <c r="W9" s="96" t="n">
        <v>0</v>
      </c>
      <c r="X9" s="95" t="n">
        <v>0</v>
      </c>
      <c r="Y9" s="105" t="n">
        <v>102145</v>
      </c>
      <c r="Z9" s="96" t="n">
        <v>200</v>
      </c>
      <c r="AA9" s="29" t="n">
        <v>0</v>
      </c>
      <c r="AB9" s="95" t="n">
        <v>182920</v>
      </c>
      <c r="AC9" s="95" t="n">
        <v>35469</v>
      </c>
      <c r="AD9" s="95" t="n">
        <v>4000</v>
      </c>
      <c r="AE9" s="105" t="n">
        <v>0</v>
      </c>
      <c r="AF9" s="90" t="n">
        <f aca="false">AF8+1</f>
        <v>37055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37056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120247</v>
      </c>
      <c r="W10" s="96" t="n">
        <v>0</v>
      </c>
      <c r="X10" s="95" t="n">
        <v>0</v>
      </c>
      <c r="Y10" s="105" t="n">
        <v>102145</v>
      </c>
      <c r="Z10" s="96" t="n">
        <v>200</v>
      </c>
      <c r="AA10" s="29" t="n">
        <v>0</v>
      </c>
      <c r="AB10" s="95" t="n">
        <v>182920</v>
      </c>
      <c r="AC10" s="95" t="n">
        <v>35469</v>
      </c>
      <c r="AD10" s="95" t="n">
        <v>4000</v>
      </c>
      <c r="AE10" s="105" t="n">
        <v>0</v>
      </c>
      <c r="AF10" s="90" t="n">
        <f aca="false">AF9+1</f>
        <v>37056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37057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120247</v>
      </c>
      <c r="W11" s="96" t="n">
        <v>0</v>
      </c>
      <c r="X11" s="95" t="n">
        <v>0</v>
      </c>
      <c r="Y11" s="105" t="n">
        <v>102145</v>
      </c>
      <c r="Z11" s="96" t="n">
        <v>200</v>
      </c>
      <c r="AA11" s="29" t="n">
        <v>0</v>
      </c>
      <c r="AB11" s="95" t="n">
        <v>182920</v>
      </c>
      <c r="AC11" s="95" t="n">
        <v>35469</v>
      </c>
      <c r="AD11" s="95" t="n">
        <v>4000</v>
      </c>
      <c r="AE11" s="105" t="n">
        <v>0</v>
      </c>
      <c r="AF11" s="90" t="n">
        <f aca="false">AF10+1</f>
        <v>37057</v>
      </c>
    </row>
    <row r="12" customFormat="false" ht="12.75" hidden="false" customHeight="false" outlineLevel="0" collapsed="false">
      <c r="A12" s="90" t="n">
        <f aca="false">A11+1</f>
        <v>37058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120247</v>
      </c>
      <c r="W12" s="96" t="n">
        <v>0</v>
      </c>
      <c r="X12" s="95" t="n">
        <v>0</v>
      </c>
      <c r="Y12" s="105" t="n">
        <v>102145</v>
      </c>
      <c r="Z12" s="96" t="n">
        <v>200</v>
      </c>
      <c r="AA12" s="29" t="n">
        <v>0</v>
      </c>
      <c r="AB12" s="95" t="n">
        <v>182920</v>
      </c>
      <c r="AC12" s="95" t="n">
        <v>35469</v>
      </c>
      <c r="AD12" s="95" t="n">
        <v>4000</v>
      </c>
      <c r="AE12" s="105" t="n">
        <v>0</v>
      </c>
      <c r="AF12" s="90" t="n">
        <f aca="false">AF11+1</f>
        <v>37058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181</v>
      </c>
      <c r="C3" s="71" t="s">
        <v>182</v>
      </c>
      <c r="D3" s="71"/>
      <c r="E3" s="71"/>
      <c r="F3" s="71"/>
      <c r="G3" s="72" t="s">
        <v>183</v>
      </c>
      <c r="H3" s="72"/>
      <c r="I3" s="72"/>
      <c r="J3" s="72"/>
      <c r="K3" s="72"/>
      <c r="L3" s="71" t="s">
        <v>95</v>
      </c>
      <c r="M3" s="71"/>
      <c r="N3" s="71"/>
      <c r="O3" s="71"/>
      <c r="P3" s="71"/>
      <c r="Q3" s="71"/>
      <c r="R3" s="71"/>
      <c r="S3" s="72" t="s">
        <v>184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185</v>
      </c>
      <c r="C4" s="29"/>
      <c r="D4" s="29"/>
      <c r="E4" s="29"/>
      <c r="F4" s="29"/>
      <c r="G4" s="37" t="s">
        <v>186</v>
      </c>
      <c r="H4" s="37"/>
      <c r="I4" s="36" t="s">
        <v>187</v>
      </c>
      <c r="J4" s="36"/>
      <c r="K4" s="76" t="s">
        <v>188</v>
      </c>
      <c r="L4" s="76" t="s">
        <v>188</v>
      </c>
      <c r="M4" s="37" t="s">
        <v>188</v>
      </c>
      <c r="N4" s="76" t="s">
        <v>127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189</v>
      </c>
      <c r="H5" s="36" t="s">
        <v>46</v>
      </c>
      <c r="I5" s="110" t="n">
        <v>0.05</v>
      </c>
      <c r="J5" s="110" t="s">
        <v>88</v>
      </c>
      <c r="K5" s="76" t="s">
        <v>77</v>
      </c>
      <c r="L5" s="76" t="s">
        <v>77</v>
      </c>
      <c r="M5" s="76" t="s">
        <v>77</v>
      </c>
      <c r="N5" s="76" t="s">
        <v>77</v>
      </c>
      <c r="O5" s="36" t="s">
        <v>88</v>
      </c>
      <c r="P5" s="36" t="s">
        <v>46</v>
      </c>
      <c r="Q5" s="36" t="s">
        <v>46</v>
      </c>
      <c r="R5" s="110" t="s">
        <v>46</v>
      </c>
      <c r="S5" s="37" t="s">
        <v>88</v>
      </c>
      <c r="T5" s="37"/>
      <c r="U5" s="37"/>
      <c r="V5" s="36" t="s">
        <v>0</v>
      </c>
      <c r="W5" s="36" t="s">
        <v>140</v>
      </c>
      <c r="X5" s="36" t="s">
        <v>0</v>
      </c>
      <c r="Y5" s="29"/>
      <c r="Z5" s="36" t="s">
        <v>46</v>
      </c>
      <c r="AA5" s="36"/>
      <c r="AB5" s="36" t="s">
        <v>0</v>
      </c>
      <c r="AC5" s="28" t="s">
        <v>190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86</v>
      </c>
      <c r="C6" s="81" t="s">
        <v>46</v>
      </c>
      <c r="D6" s="81" t="s">
        <v>88</v>
      </c>
      <c r="E6" s="81" t="s">
        <v>140</v>
      </c>
      <c r="F6" s="81" t="s">
        <v>141</v>
      </c>
      <c r="G6" s="101" t="s">
        <v>191</v>
      </c>
      <c r="H6" s="81" t="s">
        <v>175</v>
      </c>
      <c r="I6" s="81" t="s">
        <v>192</v>
      </c>
      <c r="J6" s="81" t="s">
        <v>156</v>
      </c>
      <c r="K6" s="81" t="s">
        <v>193</v>
      </c>
      <c r="L6" s="81" t="s">
        <v>194</v>
      </c>
      <c r="M6" s="81" t="s">
        <v>195</v>
      </c>
      <c r="N6" s="81" t="s">
        <v>196</v>
      </c>
      <c r="O6" s="81" t="n">
        <v>50</v>
      </c>
      <c r="P6" s="81" t="s">
        <v>197</v>
      </c>
      <c r="Q6" s="81" t="s">
        <v>159</v>
      </c>
      <c r="R6" s="81" t="s">
        <v>198</v>
      </c>
      <c r="S6" s="101" t="s">
        <v>199</v>
      </c>
      <c r="T6" s="81" t="s">
        <v>200</v>
      </c>
      <c r="U6" s="81" t="s">
        <v>201</v>
      </c>
      <c r="V6" s="101" t="s">
        <v>199</v>
      </c>
      <c r="W6" s="81" t="s">
        <v>200</v>
      </c>
      <c r="X6" s="81" t="s">
        <v>201</v>
      </c>
      <c r="Y6" s="101" t="s">
        <v>199</v>
      </c>
      <c r="Z6" s="81" t="s">
        <v>200</v>
      </c>
      <c r="AA6" s="81" t="s">
        <v>201</v>
      </c>
      <c r="AB6" s="101" t="s">
        <v>199</v>
      </c>
      <c r="AC6" s="81" t="s">
        <v>200</v>
      </c>
      <c r="AD6" s="81" t="s">
        <v>201</v>
      </c>
      <c r="AE6" s="81" t="s">
        <v>202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37053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2000</v>
      </c>
      <c r="I7" s="92" t="n">
        <v>7197</v>
      </c>
      <c r="J7" s="92" t="n">
        <v>6040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37053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37054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2000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37054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37055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2000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37055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37056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2000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37056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37057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2000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37057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37058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2000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37058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181</v>
      </c>
      <c r="C3" s="116" t="s">
        <v>203</v>
      </c>
      <c r="D3" s="116"/>
      <c r="E3" s="116"/>
      <c r="F3" s="116"/>
      <c r="G3" s="116"/>
      <c r="H3" s="71" t="s">
        <v>166</v>
      </c>
      <c r="I3" s="71"/>
      <c r="J3" s="71"/>
      <c r="K3" s="71"/>
      <c r="L3" s="71"/>
      <c r="M3" s="71"/>
      <c r="N3" s="71"/>
      <c r="O3" s="69" t="s">
        <v>204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205</v>
      </c>
      <c r="C4" s="37"/>
      <c r="D4" s="36"/>
      <c r="E4" s="36"/>
      <c r="F4" s="76"/>
      <c r="G4" s="76" t="s">
        <v>187</v>
      </c>
      <c r="H4" s="37"/>
      <c r="M4" s="73"/>
      <c r="N4" s="74"/>
      <c r="P4" s="36" t="s">
        <v>206</v>
      </c>
      <c r="Q4" s="36"/>
      <c r="U4" s="73"/>
    </row>
    <row r="5" customFormat="false" ht="12.75" hidden="false" customHeight="false" outlineLevel="0" collapsed="false">
      <c r="C5" s="37" t="s">
        <v>46</v>
      </c>
      <c r="D5" s="36" t="s">
        <v>207</v>
      </c>
      <c r="E5" s="36" t="s">
        <v>88</v>
      </c>
      <c r="F5" s="76" t="s">
        <v>46</v>
      </c>
      <c r="G5" s="117" t="n">
        <v>0.05</v>
      </c>
      <c r="H5" s="37" t="s">
        <v>66</v>
      </c>
      <c r="I5" s="36" t="s">
        <v>46</v>
      </c>
      <c r="J5" s="36" t="s">
        <v>46</v>
      </c>
      <c r="K5" s="36" t="s">
        <v>46</v>
      </c>
      <c r="L5" s="36" t="s">
        <v>88</v>
      </c>
      <c r="M5" s="79" t="s">
        <v>88</v>
      </c>
      <c r="N5" s="36" t="s">
        <v>141</v>
      </c>
      <c r="O5" s="36"/>
      <c r="P5" s="36" t="s">
        <v>208</v>
      </c>
      <c r="Q5" s="36" t="s">
        <v>208</v>
      </c>
      <c r="R5" s="36" t="s">
        <v>46</v>
      </c>
      <c r="S5" s="29" t="s">
        <v>209</v>
      </c>
      <c r="U5" s="79"/>
    </row>
    <row r="6" customFormat="false" ht="12.75" hidden="false" customHeight="false" outlineLevel="0" collapsed="false">
      <c r="B6" s="81" t="s">
        <v>86</v>
      </c>
      <c r="C6" s="101" t="s">
        <v>189</v>
      </c>
      <c r="D6" s="81" t="s">
        <v>210</v>
      </c>
      <c r="E6" s="81" t="s">
        <v>156</v>
      </c>
      <c r="F6" s="81" t="s">
        <v>175</v>
      </c>
      <c r="G6" s="81" t="s">
        <v>192</v>
      </c>
      <c r="H6" s="101" t="s">
        <v>77</v>
      </c>
      <c r="I6" s="81" t="s">
        <v>197</v>
      </c>
      <c r="J6" s="81" t="s">
        <v>159</v>
      </c>
      <c r="K6" s="81" t="s">
        <v>198</v>
      </c>
      <c r="L6" s="81" t="s">
        <v>211</v>
      </c>
      <c r="M6" s="84" t="s">
        <v>212</v>
      </c>
      <c r="N6" s="81" t="s">
        <v>213</v>
      </c>
      <c r="O6" s="81" t="s">
        <v>140</v>
      </c>
      <c r="P6" s="81" t="s">
        <v>214</v>
      </c>
      <c r="Q6" s="81" t="s">
        <v>215</v>
      </c>
      <c r="R6" s="81" t="s">
        <v>208</v>
      </c>
      <c r="S6" s="88" t="s">
        <v>46</v>
      </c>
      <c r="T6" s="81" t="s">
        <v>141</v>
      </c>
      <c r="U6" s="84" t="s">
        <v>78</v>
      </c>
    </row>
    <row r="7" customFormat="false" ht="12.75" hidden="false" customHeight="false" outlineLevel="0" collapsed="false">
      <c r="A7" s="90" t="n">
        <f aca="false">Weather_Input!A5</f>
        <v>37053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2289.1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15215</v>
      </c>
      <c r="R7" s="50" t="n">
        <v>28828</v>
      </c>
      <c r="S7" s="50" t="n">
        <v>16954</v>
      </c>
      <c r="T7" s="50" t="n">
        <v>0</v>
      </c>
      <c r="U7" s="50" t="n">
        <v>0</v>
      </c>
      <c r="V7" s="90" t="n">
        <f aca="false">Weather_Input!A5</f>
        <v>37053</v>
      </c>
      <c r="W7" s="95"/>
      <c r="X7" s="95"/>
    </row>
    <row r="8" customFormat="false" ht="12.75" hidden="false" customHeight="false" outlineLevel="0" collapsed="false">
      <c r="A8" s="90" t="n">
        <f aca="false">A7+1</f>
        <v>37054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2289.1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15215</v>
      </c>
      <c r="R8" s="50" t="n">
        <v>28828</v>
      </c>
      <c r="S8" s="50" t="n">
        <v>16954</v>
      </c>
      <c r="T8" s="50" t="n">
        <v>0</v>
      </c>
      <c r="U8" s="50" t="n">
        <v>0</v>
      </c>
      <c r="V8" s="90" t="n">
        <f aca="false">V7+1</f>
        <v>37054</v>
      </c>
      <c r="W8" s="95"/>
      <c r="X8" s="95"/>
    </row>
    <row r="9" customFormat="false" ht="12.75" hidden="false" customHeight="false" outlineLevel="0" collapsed="false">
      <c r="A9" s="90" t="n">
        <f aca="false">A8+1</f>
        <v>37055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2289.1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15215</v>
      </c>
      <c r="R9" s="50" t="n">
        <v>28828</v>
      </c>
      <c r="S9" s="50" t="n">
        <v>16954</v>
      </c>
      <c r="T9" s="50" t="n">
        <v>0</v>
      </c>
      <c r="U9" s="50" t="n">
        <v>0</v>
      </c>
      <c r="V9" s="90" t="n">
        <f aca="false">V8+1</f>
        <v>37055</v>
      </c>
      <c r="W9" s="95"/>
      <c r="X9" s="95"/>
    </row>
    <row r="10" customFormat="false" ht="12.75" hidden="false" customHeight="false" outlineLevel="0" collapsed="false">
      <c r="A10" s="90" t="n">
        <f aca="false">A9+1</f>
        <v>37056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2289.1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15215</v>
      </c>
      <c r="R10" s="50" t="n">
        <v>28828</v>
      </c>
      <c r="S10" s="50" t="n">
        <v>16954</v>
      </c>
      <c r="T10" s="50" t="n">
        <v>0</v>
      </c>
      <c r="U10" s="50" t="n">
        <v>0</v>
      </c>
      <c r="V10" s="90" t="n">
        <f aca="false">V9+1</f>
        <v>37056</v>
      </c>
      <c r="W10" s="95"/>
      <c r="X10" s="95"/>
    </row>
    <row r="11" customFormat="false" ht="12.75" hidden="false" customHeight="false" outlineLevel="0" collapsed="false">
      <c r="A11" s="90" t="n">
        <f aca="false">A10+1</f>
        <v>37057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2289.1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15215</v>
      </c>
      <c r="R11" s="50" t="n">
        <v>28828</v>
      </c>
      <c r="S11" s="50" t="n">
        <v>16954</v>
      </c>
      <c r="T11" s="50" t="n">
        <v>0</v>
      </c>
      <c r="U11" s="50" t="n">
        <v>0</v>
      </c>
      <c r="V11" s="90" t="n">
        <f aca="false">V10+1</f>
        <v>37057</v>
      </c>
      <c r="W11" s="95"/>
      <c r="X11" s="95"/>
    </row>
    <row r="12" customFormat="false" ht="12.75" hidden="false" customHeight="false" outlineLevel="0" collapsed="false">
      <c r="A12" s="90" t="n">
        <f aca="false">A11+1</f>
        <v>37058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2289.1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15215</v>
      </c>
      <c r="R12" s="50" t="n">
        <v>28828</v>
      </c>
      <c r="S12" s="50" t="n">
        <v>16954</v>
      </c>
      <c r="T12" s="50" t="n">
        <v>0</v>
      </c>
      <c r="U12" s="50" t="n">
        <v>0</v>
      </c>
      <c r="V12" s="90" t="n">
        <f aca="false">V11+1</f>
        <v>37058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216</v>
      </c>
      <c r="B1" s="120"/>
      <c r="C1" s="121"/>
      <c r="D1" s="120"/>
      <c r="E1" s="120"/>
      <c r="F1" s="120" t="s">
        <v>0</v>
      </c>
      <c r="G1" s="120" t="s">
        <v>217</v>
      </c>
      <c r="H1" s="122" t="str">
        <f aca="false">D3</f>
        <v>MON</v>
      </c>
      <c r="I1" s="123" t="n">
        <f aca="false">D4</f>
        <v>37053</v>
      </c>
    </row>
    <row r="2" customFormat="false" ht="15.75" hidden="false" customHeight="false" outlineLevel="0" collapsed="false">
      <c r="A2" s="124" t="s">
        <v>218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MON</v>
      </c>
      <c r="E3" s="128" t="str">
        <f aca="false">CHOOSE(WEEKDAY(E4),"SUN","MON","TUE","WED","THU","FRI","SAT")</f>
        <v>TUE</v>
      </c>
      <c r="F3" s="128" t="str">
        <f aca="false">CHOOSE(WEEKDAY(F4),"SUN","MON","TUE","WED","THU","FRI","SAT")</f>
        <v>WED</v>
      </c>
      <c r="G3" s="128" t="str">
        <f aca="false">CHOOSE(WEEKDAY(G4),"SUN","MON","TUE","WED","THU","FRI","SAT")</f>
        <v>THU</v>
      </c>
      <c r="H3" s="128" t="str">
        <f aca="false">CHOOSE(WEEKDAY(H4),"SUN","MON","TUE","WED","THU","FRI","SAT")</f>
        <v>FRI</v>
      </c>
      <c r="I3" s="129" t="str">
        <f aca="false">CHOOSE(WEEKDAY(I4),"SUN","MON","TUE","WED","THU","FRI","SAT")</f>
        <v>SAT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37053</v>
      </c>
      <c r="E4" s="132" t="n">
        <f aca="false">Weather_Input!A6</f>
        <v>37054</v>
      </c>
      <c r="F4" s="132" t="n">
        <f aca="false">Weather_Input!A7</f>
        <v>37055</v>
      </c>
      <c r="G4" s="132" t="n">
        <f aca="false">Weather_Input!A8</f>
        <v>37056</v>
      </c>
      <c r="H4" s="132" t="n">
        <f aca="false">Weather_Input!A9</f>
        <v>37057</v>
      </c>
      <c r="I4" s="133" t="n">
        <f aca="false">Weather_Input!A10</f>
        <v>37058</v>
      </c>
    </row>
    <row r="5" customFormat="false" ht="16.5" hidden="false" customHeight="true" outlineLevel="0" collapsed="false">
      <c r="A5" s="134" t="s">
        <v>219</v>
      </c>
      <c r="B5" s="125"/>
      <c r="C5" s="125" t="s">
        <v>220</v>
      </c>
      <c r="D5" s="135" t="str">
        <f aca="false">TEXT(Weather_Input!B5,"0")&amp;"/"&amp;TEXT(Weather_Input!C5,"0")&amp;"/"&amp;TEXT((Weather_Input!B5+Weather_Input!C5)/2,"0")</f>
        <v>87/64/76</v>
      </c>
      <c r="E5" s="135" t="str">
        <f aca="false">TEXT(Weather_Input!B6,"0")&amp;"/"&amp;TEXT(Weather_Input!C6,"0")&amp;"/"&amp;TEXT((Weather_Input!B6+Weather_Input!C6)/2,"0")</f>
        <v>90/70/80</v>
      </c>
      <c r="F5" s="135" t="str">
        <f aca="false">TEXT(Weather_Input!B7,"0")&amp;"/"&amp;TEXT(Weather_Input!C7,"0")&amp;"/"&amp;TEXT((Weather_Input!B7+Weather_Input!C7)/2,"0")</f>
        <v>90/69/80</v>
      </c>
      <c r="G5" s="135" t="str">
        <f aca="false">TEXT(Weather_Input!B8,"0")&amp;"/"&amp;TEXT(Weather_Input!C8,"0")&amp;"/"&amp;TEXT((Weather_Input!B8+Weather_Input!C8)/2,"0")</f>
        <v>85/61/73</v>
      </c>
      <c r="H5" s="135" t="str">
        <f aca="false">TEXT(Weather_Input!B9,"0")&amp;"/"&amp;TEXT(Weather_Input!C9,"0")&amp;"/"&amp;TEXT((Weather_Input!B9+Weather_Input!C9)/2,"0")</f>
        <v>78/58/68</v>
      </c>
      <c r="I5" s="136" t="str">
        <f aca="false">TEXT(Weather_Input!B10,"0")&amp;"/"&amp;TEXT(Weather_Input!C10,"0")&amp;"/"&amp;TEXT((Weather_Input!B10+Weather_Input!C10)/2,"0")</f>
        <v>78/58/68</v>
      </c>
    </row>
    <row r="6" customFormat="false" ht="15.75" hidden="false" customHeight="false" outlineLevel="0" collapsed="false">
      <c r="A6" s="137" t="s">
        <v>221</v>
      </c>
      <c r="B6" s="125"/>
      <c r="C6" s="125"/>
      <c r="D6" s="135" t="n">
        <f aca="false">PGL_Deliveries!C5/1000</f>
        <v>215</v>
      </c>
      <c r="E6" s="135" t="n">
        <f aca="false">PGL_Deliveries!C6/1000</f>
        <v>220</v>
      </c>
      <c r="F6" s="135" t="n">
        <f aca="false">PGL_Deliveries!C7/1000</f>
        <v>220</v>
      </c>
      <c r="G6" s="135" t="n">
        <f aca="false">PGL_Deliveries!C8/1000</f>
        <v>220</v>
      </c>
      <c r="H6" s="135" t="n">
        <f aca="false">PGL_Deliveries!C9/1000</f>
        <v>215</v>
      </c>
      <c r="I6" s="136" t="n">
        <f aca="false">PGL_Deliveries!C10/1000</f>
        <v>195</v>
      </c>
    </row>
    <row r="7" customFormat="false" ht="15.75" hidden="false" customHeight="false" outlineLevel="0" collapsed="false">
      <c r="A7" s="137" t="s">
        <v>222</v>
      </c>
      <c r="B7" s="125" t="s">
        <v>141</v>
      </c>
      <c r="C7" s="125"/>
      <c r="D7" s="135" t="n">
        <f aca="false">PGL_Requirements!H7/1000*0.5</f>
        <v>34</v>
      </c>
      <c r="E7" s="135" t="n">
        <f aca="false">PGL_Requirements!H8/1000*0.5</f>
        <v>48.4535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223</v>
      </c>
      <c r="B8" s="125"/>
      <c r="C8" s="125"/>
      <c r="D8" s="135" t="n">
        <f aca="false">PGL_Requirements!I7/1000+PGL_Requirements!K7/1000</f>
        <v>10</v>
      </c>
      <c r="E8" s="135" t="n">
        <f aca="false">PGL_Requirements!I8/1000+PGL_Requirements!K8/1000</f>
        <v>0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224</v>
      </c>
      <c r="B9" s="125" t="s">
        <v>225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226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141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227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228</v>
      </c>
      <c r="B13" s="125" t="s">
        <v>229</v>
      </c>
      <c r="C13" s="125" t="s">
        <v>77</v>
      </c>
      <c r="D13" s="135" t="n">
        <f aca="false">PGL_Requirements!P7/1000</f>
        <v>120</v>
      </c>
      <c r="E13" s="135" t="n">
        <f aca="false">PGL_Requirements!P8/1000</f>
        <v>100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157</v>
      </c>
      <c r="D14" s="135" t="n">
        <f aca="false">PGL_Requirements!Q7/1000</f>
        <v>1.8</v>
      </c>
      <c r="E14" s="135" t="n">
        <f aca="false">PGL_Requirements!Q8/1000</f>
        <v>1.5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158</v>
      </c>
      <c r="D15" s="135" t="n">
        <f aca="false">PGL_Requirements!R7/1000</f>
        <v>0.72</v>
      </c>
      <c r="E15" s="135" t="n">
        <f aca="false">PGL_Requirements!R8/1000</f>
        <v>0.72</v>
      </c>
      <c r="F15" s="135" t="n">
        <f aca="false">PGL_Requirements!R9/1000</f>
        <v>0.72</v>
      </c>
      <c r="G15" s="135" t="n">
        <f aca="false">PGL_Requirements!R10/1000</f>
        <v>0.72</v>
      </c>
      <c r="H15" s="135" t="n">
        <f aca="false">PGL_Requirements!R11/1000</f>
        <v>0.72</v>
      </c>
      <c r="I15" s="136" t="n">
        <f aca="false">PGL_Requirements!R12/1000</f>
        <v>0.72</v>
      </c>
    </row>
    <row r="16" customFormat="false" ht="15.75" hidden="false" customHeight="false" outlineLevel="0" collapsed="false">
      <c r="A16" s="134"/>
      <c r="C16" s="125" t="s">
        <v>230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70</v>
      </c>
      <c r="C17" s="125" t="s">
        <v>160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225</v>
      </c>
      <c r="C18" s="125" t="s">
        <v>156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227</v>
      </c>
      <c r="C19" s="125" t="s">
        <v>156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231</v>
      </c>
      <c r="B20" s="139" t="s">
        <v>225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227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141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232</v>
      </c>
      <c r="C23" s="139" t="s">
        <v>200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233</v>
      </c>
      <c r="B24" s="125"/>
      <c r="C24" s="125"/>
      <c r="D24" s="135" t="n">
        <f aca="false">PGL_Requirements!G7/1000</f>
        <v>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234</v>
      </c>
      <c r="B25" s="125" t="s">
        <v>235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88</v>
      </c>
      <c r="C26" s="125"/>
      <c r="D26" s="135" t="n">
        <f aca="false">PGL_Requirements!C7/1000</f>
        <v>0.2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140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141</v>
      </c>
      <c r="C28" s="125"/>
      <c r="D28" s="135" t="n">
        <f aca="false">PGL_Requirements!E7/1000</f>
        <v>5.8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151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236</v>
      </c>
      <c r="B30" s="144"/>
      <c r="C30" s="144"/>
      <c r="D30" s="145" t="n">
        <f aca="false">SUM(D6:D29)</f>
        <v>387.52</v>
      </c>
      <c r="E30" s="145" t="n">
        <f aca="false">SUM(E6:E29)</f>
        <v>370.6735</v>
      </c>
      <c r="F30" s="145" t="n">
        <f aca="false">SUM(F6:F29)</f>
        <v>357.745</v>
      </c>
      <c r="G30" s="145" t="n">
        <f aca="false">SUM(G6:G29)</f>
        <v>357.745</v>
      </c>
      <c r="H30" s="145" t="n">
        <f aca="false">SUM(H6:H29)</f>
        <v>352.745</v>
      </c>
      <c r="I30" s="146" t="n">
        <f aca="false">SUM(I6:I29)</f>
        <v>332.745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237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238</v>
      </c>
      <c r="B33" s="125" t="s">
        <v>229</v>
      </c>
      <c r="C33" s="125" t="s">
        <v>77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142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78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225</v>
      </c>
      <c r="C36" s="125" t="s">
        <v>156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227</v>
      </c>
      <c r="C37" s="125" t="s">
        <v>156</v>
      </c>
      <c r="D37" s="135" t="n">
        <f aca="false">PGL_Supplies!L7/1000</f>
        <v>8.13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239</v>
      </c>
      <c r="B38" s="125" t="s">
        <v>225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141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227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240</v>
      </c>
      <c r="C41" s="125" t="s">
        <v>241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242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243</v>
      </c>
      <c r="B43" s="125" t="s">
        <v>141</v>
      </c>
      <c r="C43" s="125"/>
      <c r="D43" s="135" t="n">
        <f aca="false">PGL_Supplies!T7/1000*0.5</f>
        <v>17.167</v>
      </c>
      <c r="E43" s="135" t="n">
        <f aca="false">PGL_Supplies!T8/1000*0.5</f>
        <v>25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226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141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227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244</v>
      </c>
      <c r="B47" s="125" t="s">
        <v>245</v>
      </c>
      <c r="C47" s="125"/>
      <c r="D47" s="135" t="n">
        <f aca="false">PGL_Supplies!Y7/1000</f>
        <v>106.16</v>
      </c>
      <c r="E47" s="135" t="n">
        <f aca="false">PGL_Supplies!Y8/1000</f>
        <v>105.101</v>
      </c>
      <c r="F47" s="135" t="n">
        <f aca="false">PGL_Supplies!Y9/1000</f>
        <v>102.145</v>
      </c>
      <c r="G47" s="135" t="n">
        <f aca="false">PGL_Supplies!Y10/1000</f>
        <v>102.145</v>
      </c>
      <c r="H47" s="135" t="n">
        <f aca="false">PGL_Supplies!Y11/1000</f>
        <v>102.145</v>
      </c>
      <c r="I47" s="136" t="n">
        <f aca="false">PGL_Supplies!Y12/1000</f>
        <v>102.145</v>
      </c>
    </row>
    <row r="48" customFormat="false" ht="15.75" hidden="false" customHeight="false" outlineLevel="0" collapsed="false">
      <c r="A48" s="137"/>
      <c r="B48" s="125" t="s">
        <v>225</v>
      </c>
      <c r="C48" s="138"/>
      <c r="D48" s="135" t="n">
        <f aca="false">PGL_Supplies!Z7/1000</f>
        <v>0.2</v>
      </c>
      <c r="E48" s="135" t="n">
        <f aca="false">PGL_Supplies!Z8/1000</f>
        <v>0.2</v>
      </c>
      <c r="F48" s="135" t="n">
        <f aca="false">PGL_Supplies!Z9/1000</f>
        <v>0.2</v>
      </c>
      <c r="G48" s="135" t="n">
        <f aca="false">PGL_Supplies!Z10/1000</f>
        <v>0.2</v>
      </c>
      <c r="H48" s="135" t="n">
        <f aca="false">PGL_Supplies!Z11/1000</f>
        <v>0.2</v>
      </c>
      <c r="I48" s="136" t="n">
        <f aca="false">PGL_Supplies!Z12/1000</f>
        <v>0.2</v>
      </c>
    </row>
    <row r="49" customFormat="false" ht="15.75" hidden="false" customHeight="false" outlineLevel="0" collapsed="false">
      <c r="A49" s="137"/>
      <c r="B49" s="125" t="s">
        <v>226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141</v>
      </c>
      <c r="C50" s="138"/>
      <c r="D50" s="135" t="n">
        <f aca="false">PGL_Supplies!AB7/1000</f>
        <v>168.275</v>
      </c>
      <c r="E50" s="135" t="n">
        <f aca="false">PGL_Supplies!AB8/1000</f>
        <v>182.92</v>
      </c>
      <c r="F50" s="135" t="n">
        <f aca="false">PGL_Supplies!AB9/1000</f>
        <v>182.92</v>
      </c>
      <c r="G50" s="135" t="n">
        <f aca="false">PGL_Supplies!AB10/1000</f>
        <v>182.92</v>
      </c>
      <c r="H50" s="135" t="n">
        <f aca="false">PGL_Supplies!AB11/1000</f>
        <v>182.92</v>
      </c>
      <c r="I50" s="136" t="n">
        <f aca="false">PGL_Supplies!AB12/1000</f>
        <v>182.92</v>
      </c>
    </row>
    <row r="51" customFormat="false" ht="15.75" hidden="false" customHeight="false" outlineLevel="0" collapsed="false">
      <c r="A51" s="137"/>
      <c r="B51" s="125" t="s">
        <v>227</v>
      </c>
      <c r="C51" s="125"/>
      <c r="D51" s="135" t="n">
        <f aca="false">PGL_Supplies!AC7/1000</f>
        <v>50.985</v>
      </c>
      <c r="E51" s="135" t="n">
        <f aca="false">PGL_Supplies!AC8/1000</f>
        <v>31.469</v>
      </c>
      <c r="F51" s="135" t="n">
        <f aca="false">PGL_Supplies!AC9/1000</f>
        <v>35.469</v>
      </c>
      <c r="G51" s="135" t="n">
        <f aca="false">PGL_Supplies!AC10/1000</f>
        <v>35.469</v>
      </c>
      <c r="H51" s="135" t="n">
        <f aca="false">PGL_Supplies!AC11/1000</f>
        <v>35.469</v>
      </c>
      <c r="I51" s="136" t="n">
        <f aca="false">PGL_Supplies!AC12/1000</f>
        <v>35.469</v>
      </c>
    </row>
    <row r="52" customFormat="false" ht="15.75" hidden="false" customHeight="false" outlineLevel="0" collapsed="false">
      <c r="A52" s="137"/>
      <c r="B52" s="125" t="s">
        <v>246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247</v>
      </c>
      <c r="C53" s="125"/>
      <c r="D53" s="135" t="n">
        <f aca="false">PGL_Supplies!I7/1000</f>
        <v>15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248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249</v>
      </c>
      <c r="B55" s="125"/>
      <c r="C55" s="125"/>
      <c r="D55" s="135" t="n">
        <f aca="false">PGL_Supplies!B7/1000</f>
        <v>4.3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250</v>
      </c>
      <c r="B56" s="125" t="s">
        <v>245</v>
      </c>
      <c r="C56" s="125"/>
      <c r="D56" s="135" t="n">
        <f aca="false">PGL_Supplies!X7/1000</f>
        <v>0.3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225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226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141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246</v>
      </c>
      <c r="C60" s="157"/>
      <c r="D60" s="141" t="n">
        <f aca="false">PGL_Supplies!G7/1000</f>
        <v>12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251</v>
      </c>
      <c r="B61" s="159"/>
      <c r="C61" s="159"/>
      <c r="D61" s="160" t="n">
        <f aca="false">SUM(D33:D60)</f>
        <v>387.517</v>
      </c>
      <c r="E61" s="160" t="n">
        <f aca="false">SUM(E33:E60)</f>
        <v>364.69</v>
      </c>
      <c r="F61" s="160" t="n">
        <f aca="false">SUM(F33:F60)</f>
        <v>340.734</v>
      </c>
      <c r="G61" s="160" t="n">
        <f aca="false">SUM(G33:G60)</f>
        <v>340.734</v>
      </c>
      <c r="H61" s="160" t="n">
        <f aca="false">SUM(H33:H60)</f>
        <v>340.734</v>
      </c>
      <c r="I61" s="161" t="n">
        <f aca="false">SUM(I33:I60)</f>
        <v>340.734</v>
      </c>
    </row>
    <row r="62" customFormat="false" ht="15" hidden="false" customHeight="false" outlineLevel="0" collapsed="false">
      <c r="A62" s="162" t="s">
        <v>252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7.98899999999998</v>
      </c>
    </row>
    <row r="63" customFormat="false" ht="15.75" hidden="false" customHeight="false" outlineLevel="0" collapsed="false">
      <c r="A63" s="165" t="s">
        <v>253</v>
      </c>
      <c r="B63" s="144"/>
      <c r="C63" s="166"/>
      <c r="D63" s="167" t="n">
        <f aca="false">IF(D30-D61&lt;0,0,D30-D61)</f>
        <v>0.00300000000004275</v>
      </c>
      <c r="E63" s="167" t="n">
        <f aca="false">IF(E30-E61&lt;0,0,E30-E61)</f>
        <v>5.98350000000005</v>
      </c>
      <c r="F63" s="167" t="n">
        <f aca="false">IF(F30-F61&lt;0,0,F30-F61)</f>
        <v>17.011</v>
      </c>
      <c r="G63" s="167" t="n">
        <f aca="false">IF(G30-G61&lt;0,0,G30-G61)</f>
        <v>17.011</v>
      </c>
      <c r="H63" s="167" t="n">
        <f aca="false">IF(H30-H61&lt;0,0,H30-H61)</f>
        <v>12.011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254</v>
      </c>
      <c r="B64" s="170"/>
      <c r="C64" s="170"/>
      <c r="D64" s="171" t="n">
        <f aca="false">PGL_Supplies!V7/1000</f>
        <v>138.663</v>
      </c>
      <c r="E64" s="171" t="n">
        <f aca="false">PGL_Supplies!V8/1000</f>
        <v>120.247</v>
      </c>
      <c r="F64" s="171" t="n">
        <f aca="false">PGL_Supplies!V9/1000</f>
        <v>120.247</v>
      </c>
      <c r="G64" s="171" t="n">
        <f aca="false">PGL_Supplies!V10/1000</f>
        <v>120.247</v>
      </c>
      <c r="H64" s="171" t="n">
        <f aca="false">PGL_Supplies!V11/1000</f>
        <v>120.247</v>
      </c>
      <c r="I64" s="172" t="n">
        <f aca="false">PGL_Supplies!V12/1000</f>
        <v>120.247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255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2001-06-12T06:38:16Z</cp:lastPrinted>
  <cp:revision>0</cp:revision>
  <dc:subject/>
  <dc:title/>
</cp:coreProperties>
</file>