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10" name="_xlnm.Print_Area" vbProcedure="false">PGL_Nine_to_Nine!$A$1:$I$72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<sst xmlns="http://schemas.openxmlformats.org/spreadsheetml/2006/main" count="2339" uniqueCount="837">
  <si>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</si>
  <si>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</si>
  <si>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</si>
  <si>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</si>
  <si>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</si>
  <si>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</si>
  <si>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</si>
  <si>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</si>
  <si>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</si>
  <si>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</si>
  <si>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</si>
  <si>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</si>
  <si>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</si>
  <si>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</si>
  <si>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</si>
  <si>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</si>
  <si>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</si>
  <si>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</si>
  <si>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</si>
  <si>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</si>
  <si>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</si>
  <si>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</si>
  <si>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</si>
  <si>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</si>
  <si>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</si>
  <si>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</si>
  <si>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</si>
  <si>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</si>
  <si>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</si>
  <si>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CLOUDY MOST OF THE TIME WITH NOTHING MORE THAN A COUPLE OF SHOWERS.</t>
  </si>
  <si>
    <t xml:space="preserve">RAIN</t>
  </si>
  <si>
    <t xml:space="preserve">  IT MAY SHOWER WITH PERIODS OF CLOUDS AND SUNSHINE.</t>
  </si>
  <si>
    <t xml:space="preserve">S</t>
  </si>
  <si>
    <t xml:space="preserve">TSTORM</t>
  </si>
  <si>
    <t xml:space="preserve">  SUNSHINE AND SOME CLOUDS.</t>
  </si>
  <si>
    <t xml:space="preserve">  A GOOD DEAL OF SUN.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</si>
  <si>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</si>
  <si>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</si>
  <si>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</si>
  <si>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</si>
  <si>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</si>
  <si>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</si>
  <si>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</si>
  <si>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</si>
  <si>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</si>
  <si>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</si>
  <si>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</si>
  <si>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</si>
  <si>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</si>
  <si>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</si>
  <si>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</si>
  <si>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</si>
  <si>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</si>
  <si>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</si>
  <si>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</si>
  <si>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</si>
  <si>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</si>
  <si>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</si>
  <si>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</si>
  <si>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</si>
  <si>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</si>
  <si>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</si>
  <si>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</si>
  <si>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</si>
  <si>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</si>
  <si>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</si>
  <si>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</si>
  <si>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</si>
  <si>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</si>
  <si>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</si>
  <si>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</si>
  <si>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</si>
  <si>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</si>
  <si>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</si>
  <si>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</si>
  <si>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</si>
  <si>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</si>
  <si>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</si>
  <si>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</si>
  <si>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</si>
  <si>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</si>
  <si>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</si>
  <si>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</si>
  <si>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</si>
  <si>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</si>
  <si>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</si>
  <si>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</si>
  <si>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</si>
  <si>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</si>
  <si>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</si>
  <si>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</si>
  <si>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</si>
  <si>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</si>
  <si>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</si>
  <si>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</si>
  <si>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</si>
  <si>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</si>
  <si>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</si>
  <si>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</si>
  <si>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</si>
  <si>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</si>
  <si>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</si>
  <si>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</si>
  <si>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</si>
  <si>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</si>
  <si>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</si>
  <si>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</si>
  <si>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</si>
  <si>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</si>
  <si>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</si>
  <si>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</si>
  <si>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</si>
  <si>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</si>
  <si>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</si>
  <si>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</si>
  <si>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</si>
  <si>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</si>
  <si>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</si>
  <si>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</si>
  <si>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</si>
  <si>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</si>
  <si>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</si>
  <si>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</si>
  <si>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</si>
  <si>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</si>
  <si>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</si>
  <si>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</si>
  <si>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</si>
  <si>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</si>
  <si>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</si>
  <si>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</si>
  <si>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</si>
  <si>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</si>
  <si>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</si>
  <si>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</si>
  <si>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</si>
  <si>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</si>
  <si>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</si>
  <si>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</si>
  <si>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</si>
  <si>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</si>
  <si>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</si>
  <si>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</si>
  <si>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</si>
  <si>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</si>
  <si>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</si>
  <si>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</si>
  <si>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</si>
  <si>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</si>
  <si>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</si>
  <si>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</si>
  <si>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</si>
  <si>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</si>
  <si>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</si>
  <si>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</si>
  <si>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</si>
  <si>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</si>
  <si>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</si>
  <si>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</si>
  <si>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</si>
  <si>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</si>
  <si>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</si>
  <si>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</si>
  <si>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</si>
  <si>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</si>
  <si>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</si>
  <si>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</si>
  <si>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</si>
  <si>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</si>
  <si>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</si>
  <si>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</si>
  <si>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</si>
  <si>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</si>
  <si>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</si>
  <si>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</si>
  <si>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</si>
  <si>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</si>
  <si>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</si>
  <si>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</si>
  <si>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</si>
  <si>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</si>
  <si>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</si>
  <si>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</si>
  <si>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</si>
  <si>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</si>
  <si>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</si>
  <si>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</si>
  <si>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</si>
  <si>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</si>
  <si>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</si>
  <si>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</si>
  <si>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</si>
  <si>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</si>
  <si>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</si>
  <si>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</si>
  <si>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</si>
  <si>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</si>
  <si>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</si>
  <si>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</si>
  <si>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</si>
  <si>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</si>
  <si>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</si>
  <si>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</si>
  <si>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</si>
  <si>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</si>
  <si>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</si>
  <si>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</si>
  <si>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</si>
  <si>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</si>
  <si>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</si>
  <si>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</si>
  <si>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</si>
  <si>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</si>
  <si>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</si>
  <si>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</si>
  <si>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</si>
  <si>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</si>
  <si>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</si>
  <si>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</si>
  <si>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</si>
  <si>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</si>
  <si>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</si>
  <si>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</si>
  <si>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</si>
  <si>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</si>
  <si>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</si>
  <si>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</si>
  <si>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</si>
  <si>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</si>
  <si>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</si>
  <si>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</si>
  <si>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</si>
  <si>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</si>
  <si>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</si>
  <si>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</si>
  <si>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</si>
  <si>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</si>
  <si>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</si>
  <si>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</si>
  <si>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</si>
  <si>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</si>
  <si>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</si>
  <si>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</si>
  <si>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</si>
  <si>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</si>
  <si>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</si>
  <si>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</si>
  <si>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</si>
  <si>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</si>
  <si>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</si>
  <si>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</si>
  <si>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</si>
  <si>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</si>
  <si>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</si>
  <si>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</si>
  <si>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</si>
  <si>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</si>
  <si>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</si>
  <si>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</si>
  <si>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</si>
  <si>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</si>
  <si>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</si>
  <si>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</si>
  <si>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</si>
  <si>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</si>
  <si>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</si>
  <si>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</si>
  <si>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</si>
  <si>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</si>
  <si>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</si>
  <si>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</si>
  <si>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</si>
  <si>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</si>
  <si>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SNG/RFG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</si>
  <si>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</si>
  <si>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</si>
  <si>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</si>
  <si>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</si>
  <si>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</si>
  <si>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</si>
  <si>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</si>
  <si>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</si>
  <si>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</si>
  <si>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</si>
  <si>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</si>
  <si>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</si>
  <si>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</si>
  <si>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</si>
  <si>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       Elwood Usage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</si>
  <si>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</si>
  <si>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</si>
  <si>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</si>
  <si>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</si>
  <si>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</si>
  <si>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</si>
  <si>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</si>
  <si>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</si>
  <si>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</si>
  <si>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Alliance thru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</si>
  <si>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</si>
  <si>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</si>
  <si>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</si>
  <si>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</si>
  <si>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</si>
  <si>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ANR total delivery</t>
  </si>
  <si>
    <t xml:space="preserve">Payback ANR to PGL</t>
  </si>
  <si>
    <t xml:space="preserve">Deliveries to Manlove</t>
  </si>
  <si>
    <t xml:space="preserve">Manlove Lng/Injection (-)</t>
  </si>
  <si>
    <t xml:space="preserve">System Supply ANR</t>
  </si>
  <si>
    <t xml:space="preserve">73rd &amp; Crawford</t>
  </si>
  <si>
    <t xml:space="preserve">Midwestern </t>
  </si>
  <si>
    <t xml:space="preserve">Midwestern total delivery</t>
  </si>
  <si>
    <t xml:space="preserve">73rd Totals</t>
  </si>
  <si>
    <t xml:space="preserve">Northern Border </t>
  </si>
  <si>
    <t xml:space="preserve">Northern Border total del.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</si>
  <si>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</si>
  <si>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</si>
  <si>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</si>
  <si>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</si>
  <si>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Trunkline total delivery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</si>
  <si>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</si>
  <si>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</si>
  <si>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</si>
  <si>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</si>
  <si>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</si>
  <si>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</si>
  <si>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</si>
  <si>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</si>
  <si>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</si>
  <si>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</si>
  <si>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</si>
  <si>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                  Minimum take :</t>
  </si>
  <si>
    <t xml:space="preserve">Manlove Compressor Fuel</t>
  </si>
  <si>
    <t xml:space="preserve">Crawford LPG</t>
  </si>
  <si>
    <t xml:space="preserve">Elwood Nicor 1 units (1-4)</t>
  </si>
  <si>
    <t xml:space="preserve">            Minimum take :</t>
  </si>
  <si>
    <t xml:space="preserve">Chicago District (NGPL)</t>
  </si>
  <si>
    <t xml:space="preserve">NGPL 10"</t>
  </si>
  <si>
    <t xml:space="preserve">Elwood Nicor 2 Turbine</t>
  </si>
  <si>
    <t xml:space="preserve">NGPL 16"</t>
  </si>
  <si>
    <t xml:space="preserve">Elwood Nicor 2 Ultrasonic</t>
  </si>
  <si>
    <t xml:space="preserve">Manlove Tap</t>
  </si>
  <si>
    <t xml:space="preserve">Utrasonic Bi-Directional</t>
  </si>
  <si>
    <t xml:space="preserve">Total Elwood</t>
  </si>
  <si>
    <t xml:space="preserve">NGPL Takes</t>
  </si>
  <si>
    <t xml:space="preserve">Sharp Rd. Northern Border</t>
  </si>
  <si>
    <t xml:space="preserve">NGPL / Manlove</t>
  </si>
  <si>
    <t xml:space="preserve">Payback PGL to Midw.</t>
  </si>
  <si>
    <t xml:space="preserve">No-Notice In</t>
  </si>
  <si>
    <t xml:space="preserve">Payback Midw to PGL </t>
  </si>
  <si>
    <t xml:space="preserve">Wisvest Calumet 3</t>
  </si>
  <si>
    <t xml:space="preserve">No-Notice Out</t>
  </si>
  <si>
    <t xml:space="preserve">NGPL FTS</t>
  </si>
  <si>
    <t xml:space="preserve">TGL - 30 @ Midwestern</t>
  </si>
  <si>
    <t xml:space="preserve">Calumet Edison</t>
  </si>
  <si>
    <t xml:space="preserve">NGPL CHICAGO DISTRICT</t>
  </si>
  <si>
    <t xml:space="preserve">Crawford Edison</t>
  </si>
  <si>
    <t xml:space="preserve">112th Street</t>
  </si>
  <si>
    <t xml:space="preserve">Northern Border</t>
  </si>
  <si>
    <t xml:space="preserve">Fisk Edison</t>
  </si>
  <si>
    <t xml:space="preserve">138th Street</t>
  </si>
  <si>
    <t xml:space="preserve">Payback PGL- NBDR</t>
  </si>
  <si>
    <t xml:space="preserve">Total Edison</t>
  </si>
  <si>
    <t xml:space="preserve">126th &amp; Saginaw (Ford)</t>
  </si>
  <si>
    <t xml:space="preserve">Republic (LTV) 2</t>
  </si>
  <si>
    <t xml:space="preserve">Payback NBDR - PGL</t>
  </si>
  <si>
    <t xml:space="preserve">Calumet 2</t>
  </si>
  <si>
    <t xml:space="preserve">Calumet 3</t>
  </si>
  <si>
    <t xml:space="preserve">US Steel</t>
  </si>
  <si>
    <t xml:space="preserve">US/ACME</t>
  </si>
  <si>
    <t xml:space="preserve">Elwood/NICOR Nom</t>
  </si>
  <si>
    <t xml:space="preserve">Crawford NGPL</t>
  </si>
  <si>
    <t xml:space="preserve">Acme Steel</t>
  </si>
  <si>
    <t xml:space="preserve">TOTAL Northern Border</t>
  </si>
  <si>
    <t xml:space="preserve">LTV Steel</t>
  </si>
  <si>
    <t xml:space="preserve">Deliveries to Manhattan North </t>
  </si>
  <si>
    <t xml:space="preserve">Ohare 1</t>
  </si>
  <si>
    <t xml:space="preserve">Nonmetered</t>
  </si>
  <si>
    <t xml:space="preserve">Deliveries to Manhattan South </t>
  </si>
  <si>
    <t xml:space="preserve">Ohare 2 </t>
  </si>
  <si>
    <t xml:space="preserve">126th &amp; Saginaw ( Ford)</t>
  </si>
  <si>
    <t xml:space="preserve">Deliveries to Sharp Rd. 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</si>
  <si>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</si>
  <si>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</si>
  <si>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</si>
  <si>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</si>
  <si>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</si>
  <si>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System Supply NSG &amp; PGL</t>
  </si>
  <si>
    <t xml:space="preserve">TGL-30 @ Midwestern</t>
  </si>
  <si>
    <t xml:space="preserve">Payback Midw. to PGL</t>
  </si>
  <si>
    <t xml:space="preserve">                                 </t>
  </si>
  <si>
    <t xml:space="preserve">Elwood Gas Usage</t>
  </si>
  <si>
    <t xml:space="preserve">Deliveries to Manhattan North +</t>
  </si>
  <si>
    <t xml:space="preserve">Deliveries to Manhattan South +</t>
  </si>
  <si>
    <t xml:space="preserve">Deliveries to Sharp Rd. +</t>
  </si>
  <si>
    <t xml:space="preserve">Del to Elwood NICOR 100% -</t>
  </si>
  <si>
    <t xml:space="preserve">Calumet Edison       (NGPL)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</si>
  <si>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</si>
  <si>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</si>
  <si>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</si>
  <si>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</si>
  <si>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</si>
  <si>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Elwood 100% (NBDR)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</si>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</sst>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b val="true"/>
      <sz val="12"/>
      <name val="Arial"/>
      <family val="2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sz val="8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9" fillId="3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6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9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4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9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3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3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1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6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9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8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8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8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6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6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A36" activeCellId="0" sqref="A3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252</v>
      </c>
      <c r="B1" s="120"/>
      <c r="C1" s="120"/>
      <c r="D1" s="120"/>
      <c r="E1" s="120"/>
      <c r="F1" s="120"/>
      <c r="G1" s="120" t="s">
        <v>213</v>
      </c>
      <c r="H1" s="174" t="str">
        <f aca="false">D3</f>
        <v>SAT</v>
      </c>
      <c r="I1" s="175" t="n">
        <f aca="false">D4</f>
        <v>37037</v>
      </c>
      <c r="J1" s="176"/>
    </row>
    <row r="2" customFormat="false" ht="20.1" hidden="false" customHeight="true" outlineLevel="0" collapsed="false">
      <c r="A2" s="124" t="s">
        <v>253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  <c r="J3" s="176"/>
    </row>
    <row r="4" customFormat="false" ht="20.1" hidden="false" customHeight="true" outlineLevel="0" collapsed="false">
      <c r="A4" s="130" t="s">
        <v>254</v>
      </c>
      <c r="B4" s="131"/>
      <c r="C4" s="131"/>
      <c r="D4" s="177" t="n">
        <f aca="false">Weather_Input!A5</f>
        <v>37037</v>
      </c>
      <c r="E4" s="177" t="n">
        <f aca="false">Weather_Input!A6</f>
        <v>37038</v>
      </c>
      <c r="F4" s="177" t="n">
        <f aca="false">Weather_Input!A7</f>
        <v>37039</v>
      </c>
      <c r="G4" s="177" t="n">
        <f aca="false">Weather_Input!A8</f>
        <v>37040</v>
      </c>
      <c r="H4" s="177" t="n">
        <f aca="false">Weather_Input!A9</f>
        <v>37041</v>
      </c>
      <c r="I4" s="178" t="n">
        <f aca="false">Weather_Input!A10</f>
        <v>37042</v>
      </c>
      <c r="J4" s="176"/>
    </row>
    <row r="5" customFormat="false" ht="20.1" hidden="false" customHeight="true" outlineLevel="0" collapsed="false">
      <c r="A5" s="134" t="s">
        <v>215</v>
      </c>
      <c r="B5" s="125"/>
      <c r="C5" s="125" t="s">
        <v>216</v>
      </c>
      <c r="D5" s="179" t="str">
        <f aca="false">TEXT(Weather_Input!B5,"0")&amp;"/"&amp;TEXT(Weather_Input!C5,"0")&amp;"/"&amp;TEXT((Weather_Input!B5+Weather_Input!C5)/2,"0")</f>
        <v>56/47/52</v>
      </c>
      <c r="E5" s="179" t="str">
        <f aca="false">TEXT(Weather_Input!B6,"0")&amp;"/"&amp;TEXT(Weather_Input!C6,"0")&amp;"/"&amp;TEXT((Weather_Input!B6+Weather_Input!C6)/2,"0")</f>
        <v>65/48/57</v>
      </c>
      <c r="F5" s="179" t="str">
        <f aca="false">TEXT(Weather_Input!B7,"0")&amp;"/"&amp;TEXT(Weather_Input!C7,"0")&amp;"/"&amp;TEXT((Weather_Input!B7+Weather_Input!C7)/2,"0")</f>
        <v>69/52/61</v>
      </c>
      <c r="G5" s="179" t="str">
        <f aca="false">TEXT(Weather_Input!B8,"0")&amp;"/"&amp;TEXT(Weather_Input!C8,"0")&amp;"/"&amp;TEXT((Weather_Input!B8+Weather_Input!C8)/2,"0")</f>
        <v>69/53/61</v>
      </c>
      <c r="H5" s="179" t="str">
        <f aca="false">TEXT(Weather_Input!B9,"0")&amp;"/"&amp;TEXT(Weather_Input!C9,"0")&amp;"/"&amp;TEXT((Weather_Input!B9+Weather_Input!C9)/2,"0")</f>
        <v>70/55/63</v>
      </c>
      <c r="I5" s="180" t="str">
        <f aca="false">TEXT(Weather_Input!B10,"0")&amp;"/"&amp;TEXT(Weather_Input!C10,"0")&amp;"/"&amp;TEXT((Weather_Input!B10+Weather_Input!C10)/2,"0")</f>
        <v>70/55/63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217</v>
      </c>
      <c r="B6" s="125"/>
      <c r="C6" s="125"/>
      <c r="D6" s="181" t="n">
        <f aca="true">VLOOKUP(D4,NSG_Sendouts,CELL("Col",NSG_Deliveries!C5),FALSE())/1000</f>
        <v>60</v>
      </c>
      <c r="E6" s="181" t="n">
        <f aca="true">VLOOKUP(E4,NSG_Sendouts,CELL("Col",NSG_Deliveries!C6),FALSE())/1000</f>
        <v>50</v>
      </c>
      <c r="F6" s="181" t="n">
        <f aca="true">VLOOKUP(F4,NSG_Sendouts,CELL("Col",NSG_Deliveries!C7),FALSE())/1000</f>
        <v>46</v>
      </c>
      <c r="G6" s="181" t="n">
        <f aca="true">VLOOKUP(G4,NSG_Sendouts,CELL("Col",NSG_Deliveries!C8),FALSE())/1000</f>
        <v>45</v>
      </c>
      <c r="H6" s="181" t="n">
        <f aca="true">VLOOKUP(H4,NSG_Sendouts,CELL("Col",NSG_Deliveries!C9),FALSE())/1000</f>
        <v>43</v>
      </c>
      <c r="I6" s="182" t="n">
        <f aca="true">VLOOKUP(I4,NSG_Sendouts,CELL("Col",NSG_Deliveries!C10),FALSE())/1000</f>
        <v>43</v>
      </c>
      <c r="J6" s="118"/>
    </row>
    <row r="7" customFormat="false" ht="20.1" hidden="false" customHeight="true" outlineLevel="0" collapsed="false">
      <c r="A7" s="134" t="s">
        <v>220</v>
      </c>
      <c r="B7" s="125" t="s">
        <v>223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221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222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136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224</v>
      </c>
      <c r="B11" s="125" t="s">
        <v>225</v>
      </c>
      <c r="C11" s="125" t="s">
        <v>72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221</v>
      </c>
      <c r="C12" s="139" t="s">
        <v>151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223</v>
      </c>
      <c r="C13" s="139" t="s">
        <v>151</v>
      </c>
      <c r="D13" s="181" t="n">
        <f aca="false">NSG_Requirements!H7/1000</f>
        <v>0</v>
      </c>
      <c r="E13" s="181" t="n">
        <f aca="false">NSG_Requirements!H8/1000</f>
        <v>1.25</v>
      </c>
      <c r="F13" s="181" t="n">
        <f aca="false">NSG_Requirements!H9/1000</f>
        <v>1.25</v>
      </c>
      <c r="G13" s="181" t="n">
        <f aca="false">NSG_Requirements!H10/1000</f>
        <v>1.25</v>
      </c>
      <c r="H13" s="181" t="n">
        <f aca="false">NSG_Requirements!H11/1000</f>
        <v>1.25</v>
      </c>
      <c r="I13" s="182" t="n">
        <f aca="false">NSG_Requirements!H12/1000</f>
        <v>1.25</v>
      </c>
      <c r="J13" s="176"/>
    </row>
    <row r="14" customFormat="false" ht="20.1" hidden="false" customHeight="true" outlineLevel="0" collapsed="false">
      <c r="A14" s="134"/>
      <c r="B14" s="125" t="s">
        <v>221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223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222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136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255</v>
      </c>
      <c r="B18" s="157" t="s">
        <v>256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232</v>
      </c>
      <c r="B19" s="166"/>
      <c r="C19" s="166"/>
      <c r="D19" s="186" t="n">
        <f aca="false">SUM(D6:D18)</f>
        <v>60</v>
      </c>
      <c r="E19" s="186" t="n">
        <f aca="false">SUM(E6:E18)</f>
        <v>51.25</v>
      </c>
      <c r="F19" s="186" t="n">
        <f aca="false">SUM(F6:F18)</f>
        <v>47.25</v>
      </c>
      <c r="G19" s="186" t="n">
        <f aca="false">SUM(G6:G18)</f>
        <v>46.25</v>
      </c>
      <c r="H19" s="186" t="n">
        <f aca="false">SUM(H6:H18)</f>
        <v>44.25</v>
      </c>
      <c r="I19" s="187" t="n">
        <f aca="false">SUM(I6:I18)</f>
        <v>44.25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233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257</v>
      </c>
      <c r="B22" s="125" t="s">
        <v>225</v>
      </c>
      <c r="C22" s="125" t="s">
        <v>258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221</v>
      </c>
      <c r="C23" s="125" t="s">
        <v>259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260</v>
      </c>
      <c r="D24" s="181" t="n">
        <f aca="false">NSG_Supplies!E7/1000</f>
        <v>3.3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223</v>
      </c>
      <c r="C25" s="139" t="s">
        <v>151</v>
      </c>
      <c r="D25" s="181" t="n">
        <f aca="false">NSG_Supplies!F7/1000</f>
        <v>6.76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122</v>
      </c>
      <c r="C26" s="125" t="s">
        <v>261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262</v>
      </c>
      <c r="B27" s="139" t="s">
        <v>221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223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222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136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263</v>
      </c>
      <c r="B31" s="125" t="s">
        <v>221</v>
      </c>
      <c r="C31" s="125" t="s">
        <v>264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223</v>
      </c>
      <c r="C32" s="194" t="s">
        <v>265</v>
      </c>
      <c r="D32" s="181" t="n">
        <f aca="false">NSG_Supplies!R7/1000</f>
        <v>29.943</v>
      </c>
      <c r="E32" s="181" t="n">
        <f aca="false">NSG_Supplies!R8/1000</f>
        <v>29.943</v>
      </c>
      <c r="F32" s="181" t="n">
        <f aca="false">NSG_Supplies!R9/1000</f>
        <v>29.943</v>
      </c>
      <c r="G32" s="181" t="n">
        <f aca="false">NSG_Supplies!R10/1000</f>
        <v>29.943</v>
      </c>
      <c r="H32" s="181" t="n">
        <f aca="false">NSG_Supplies!R11/1000</f>
        <v>29.943</v>
      </c>
      <c r="I32" s="182" t="n">
        <f aca="false">NSG_Supplies!R12/1000</f>
        <v>29.943</v>
      </c>
      <c r="J32" s="176"/>
    </row>
    <row r="33" customFormat="false" ht="20.1" hidden="false" customHeight="true" outlineLevel="0" collapsed="false">
      <c r="A33" s="134"/>
      <c r="B33" s="125" t="s">
        <v>221</v>
      </c>
      <c r="C33" s="125" t="s">
        <v>266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247</v>
      </c>
      <c r="B34" s="125" t="s">
        <v>222</v>
      </c>
      <c r="C34" s="125" t="s">
        <v>267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136</v>
      </c>
      <c r="C35" s="139" t="s">
        <v>268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256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247</v>
      </c>
      <c r="B37" s="159"/>
      <c r="C37" s="159"/>
      <c r="D37" s="196" t="n">
        <f aca="false">SUM(D22:D36)</f>
        <v>60.003</v>
      </c>
      <c r="E37" s="196" t="n">
        <f aca="false">SUM(E22:E36)</f>
        <v>49.943</v>
      </c>
      <c r="F37" s="196" t="n">
        <f aca="false">SUM(F22:F36)</f>
        <v>49.943</v>
      </c>
      <c r="G37" s="196" t="n">
        <f aca="false">SUM(G22:G36)</f>
        <v>49.943</v>
      </c>
      <c r="H37" s="196" t="n">
        <f aca="false">SUM(H22:H36)</f>
        <v>49.943</v>
      </c>
      <c r="I37" s="197" t="n">
        <f aca="false">SUM(I22:I36)</f>
        <v>49.943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248</v>
      </c>
      <c r="B38" s="199"/>
      <c r="C38" s="199"/>
      <c r="D38" s="200" t="n">
        <f aca="false">IF(D37-D19&lt;0,0,D37-D19)</f>
        <v>0.00300000000000011</v>
      </c>
      <c r="E38" s="200" t="n">
        <f aca="false">IF(E37-E19&lt;0,0,E37-E19)</f>
        <v>0</v>
      </c>
      <c r="F38" s="200" t="n">
        <f aca="false">IF(F37-F19&lt;0,0,F37-F19)</f>
        <v>2.693</v>
      </c>
      <c r="G38" s="200" t="n">
        <f aca="false">IF(G37-G19&lt;0,0,G37-G19)</f>
        <v>3.693</v>
      </c>
      <c r="H38" s="200" t="n">
        <f aca="false">IF(H37-H19&lt;0,0,H37-H19)</f>
        <v>5.693</v>
      </c>
      <c r="I38" s="201" t="n">
        <f aca="false">IF(I37-I19&lt;0,0,I37-I19)</f>
        <v>5.693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249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1.307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269</v>
      </c>
      <c r="B40" s="206"/>
      <c r="C40" s="206"/>
      <c r="D40" s="207" t="n">
        <f aca="false">NSG_Supplies!S7/1000</f>
        <v>18.998</v>
      </c>
      <c r="E40" s="207" t="n">
        <f aca="false">NSG_Supplies!S8/1000</f>
        <v>18.998</v>
      </c>
      <c r="F40" s="207" t="n">
        <f aca="false">NSG_Supplies!S9/1000</f>
        <v>18.998</v>
      </c>
      <c r="G40" s="207" t="n">
        <f aca="false">NSG_Supplies!S10/1000</f>
        <v>18.998</v>
      </c>
      <c r="H40" s="207" t="n">
        <f aca="false">NSG_Supplies!S11/1000</f>
        <v>18.998</v>
      </c>
      <c r="I40" s="208" t="n">
        <f aca="false">NSG_Supplies!S12/1000</f>
        <v>18.998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270</v>
      </c>
      <c r="B42" s="211"/>
      <c r="C42" s="211"/>
      <c r="D42" s="212" t="n">
        <f aca="false">Weather_Input!D5</f>
        <v>9</v>
      </c>
      <c r="E42" s="212" t="n">
        <f aca="false">Weather_Input!D6</f>
        <v>8</v>
      </c>
      <c r="F42" s="212" t="n">
        <f aca="false">Weather_Input!D7</f>
        <v>10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72"/>
  <sheetViews>
    <sheetView showFormulas="false" showGridLines="true" showRowColHeaders="true" showZeros="true" rightToLeft="false" tabSelected="false" showOutlineSymbols="true" defaultGridColor="true" view="normal" topLeftCell="A9" colorId="64" zoomScale="75" zoomScaleNormal="75" zoomScalePageLayoutView="100" workbookViewId="0">
      <selection pane="topLeft" activeCell="A14" activeCellId="0" sqref="A1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  <col collapsed="false" customWidth="true" hidden="false" outlineLevel="0" max="16" min="16" style="0" width="23.77"/>
    <col collapsed="false" customWidth="true" hidden="false" outlineLevel="0" max="18" min="17" style="0" width="8.77"/>
    <col collapsed="false" customWidth="true" hidden="false" outlineLevel="0" max="19" min="19" style="0" width="9.77"/>
    <col collapsed="false" customWidth="true" hidden="false" outlineLevel="0" max="20" min="20" style="0" width="22.77"/>
    <col collapsed="false" customWidth="true" hidden="false" outlineLevel="0" max="23" min="21" style="0" width="8.77"/>
    <col collapsed="false" customWidth="true" hidden="false" outlineLevel="0" max="24" min="24" style="0" width="19.77"/>
    <col collapsed="false" customWidth="true" hidden="false" outlineLevel="0" max="30" min="25" style="0" width="8.77"/>
  </cols>
  <sheetData>
    <row r="1" customFormat="false" ht="19.5" hidden="false" customHeight="false" outlineLevel="0" collapsed="false">
      <c r="A1" s="214" t="s">
        <v>0</v>
      </c>
      <c r="B1" s="215"/>
      <c r="C1" s="215"/>
      <c r="D1" s="215"/>
      <c r="E1" s="216" t="s">
        <v>271</v>
      </c>
      <c r="F1" s="217" t="n">
        <f aca="false">Weather_Input!A5</f>
        <v>37037</v>
      </c>
      <c r="G1" s="218" t="str">
        <f aca="false">CHOOSE(WEEKDAY(F1),"SUN","MON","TUE","WED","THU","FRI","SAT")</f>
        <v>SAT</v>
      </c>
      <c r="H1" s="219" t="s">
        <v>272</v>
      </c>
      <c r="I1" s="220"/>
      <c r="P1" s="221" t="s">
        <v>0</v>
      </c>
      <c r="Q1" s="222" t="s">
        <v>0</v>
      </c>
      <c r="R1" s="223" t="s">
        <v>82</v>
      </c>
      <c r="S1" s="224"/>
      <c r="T1" s="221" t="s">
        <v>0</v>
      </c>
      <c r="U1" s="223" t="s">
        <v>273</v>
      </c>
      <c r="V1" s="225" t="s">
        <v>0</v>
      </c>
      <c r="W1" s="225"/>
      <c r="X1" s="226" t="s">
        <v>0</v>
      </c>
      <c r="Y1" s="215"/>
      <c r="Z1" s="215"/>
      <c r="AA1" s="216" t="s">
        <v>271</v>
      </c>
      <c r="AB1" s="227" t="n">
        <f aca="false">Weather_Input!A5</f>
        <v>37037</v>
      </c>
      <c r="AC1" s="228" t="str">
        <f aca="false">CHOOSE(WEEKDAY(AB1),"SUN","MON","TUE","WED","THU","FRI","SAT")</f>
        <v>SAT</v>
      </c>
      <c r="AD1" s="220"/>
    </row>
    <row r="2" customFormat="false" ht="17.25" hidden="false" customHeight="false" outlineLevel="0" collapsed="false">
      <c r="A2" s="229" t="s">
        <v>0</v>
      </c>
      <c r="B2" s="230" t="s">
        <v>274</v>
      </c>
      <c r="C2" s="231" t="n">
        <v>52.4</v>
      </c>
      <c r="D2" s="232" t="s">
        <v>275</v>
      </c>
      <c r="E2" s="233"/>
      <c r="F2" s="234" t="s">
        <v>276</v>
      </c>
      <c r="G2" s="233" t="s">
        <v>0</v>
      </c>
      <c r="H2" s="234" t="s">
        <v>277</v>
      </c>
      <c r="I2" s="235"/>
      <c r="P2" s="236" t="s">
        <v>278</v>
      </c>
      <c r="Q2" s="237" t="n">
        <f aca="false">PGL_Supplies!X7/1000</f>
        <v>0.3</v>
      </c>
      <c r="R2" s="238"/>
      <c r="S2" s="239"/>
      <c r="T2" s="240" t="s">
        <v>279</v>
      </c>
      <c r="U2" s="241"/>
      <c r="V2" s="242" t="s">
        <v>0</v>
      </c>
      <c r="W2" s="243" t="s">
        <v>0</v>
      </c>
      <c r="X2" s="244" t="s">
        <v>280</v>
      </c>
      <c r="Y2" s="245" t="s">
        <v>281</v>
      </c>
      <c r="Z2" s="246" t="s">
        <v>282</v>
      </c>
      <c r="AA2" s="245" t="s">
        <v>17</v>
      </c>
      <c r="AB2" s="246" t="s">
        <v>282</v>
      </c>
      <c r="AC2" s="245" t="s">
        <v>17</v>
      </c>
      <c r="AD2" s="247" t="s">
        <v>282</v>
      </c>
      <c r="AF2" s="248" t="s">
        <v>0</v>
      </c>
    </row>
    <row r="3" customFormat="false" ht="15.75" hidden="false" customHeight="false" outlineLevel="0" collapsed="false">
      <c r="A3" s="249" t="s">
        <v>280</v>
      </c>
      <c r="B3" s="232" t="s">
        <v>281</v>
      </c>
      <c r="C3" s="244" t="s">
        <v>0</v>
      </c>
      <c r="D3" s="232" t="s">
        <v>17</v>
      </c>
      <c r="E3" s="244" t="s">
        <v>282</v>
      </c>
      <c r="F3" s="232" t="s">
        <v>17</v>
      </c>
      <c r="G3" s="244" t="s">
        <v>282</v>
      </c>
      <c r="H3" s="232" t="s">
        <v>17</v>
      </c>
      <c r="I3" s="235" t="s">
        <v>282</v>
      </c>
      <c r="P3" s="236" t="s">
        <v>283</v>
      </c>
      <c r="Q3" s="250" t="n">
        <f aca="false">PGL_Requirements!J7/1000</f>
        <v>0</v>
      </c>
      <c r="R3" s="251" t="s">
        <v>0</v>
      </c>
      <c r="S3" s="252"/>
      <c r="T3" s="240" t="s">
        <v>284</v>
      </c>
      <c r="U3" s="237" t="n">
        <f aca="false">PGL_Supplies!I7/1000</f>
        <v>15</v>
      </c>
      <c r="V3" s="253" t="s">
        <v>0</v>
      </c>
      <c r="W3" s="243" t="s">
        <v>0</v>
      </c>
      <c r="X3" s="254" t="s">
        <v>0</v>
      </c>
      <c r="Y3" s="255" t="n">
        <f aca="false">Weather_Input!B5</f>
        <v>56</v>
      </c>
      <c r="Z3" s="256" t="n">
        <f aca="false">Weather_Input!C5</f>
        <v>47</v>
      </c>
      <c r="AA3" s="257" t="s">
        <v>0</v>
      </c>
      <c r="AB3" s="258" t="s">
        <v>0</v>
      </c>
      <c r="AC3" s="258"/>
      <c r="AD3" s="259"/>
    </row>
    <row r="4" customFormat="false" ht="16.5" hidden="false" customHeight="false" outlineLevel="0" collapsed="false">
      <c r="A4" s="229" t="s">
        <v>0</v>
      </c>
      <c r="B4" s="255" t="n">
        <f aca="false">Weather_Input!B5</f>
        <v>56</v>
      </c>
      <c r="C4" s="256" t="n">
        <f aca="false">Weather_Input!C5</f>
        <v>47</v>
      </c>
      <c r="D4" s="260"/>
      <c r="E4" s="260"/>
      <c r="F4" s="257" t="s">
        <v>0</v>
      </c>
      <c r="G4" s="258" t="s">
        <v>0</v>
      </c>
      <c r="H4" s="258"/>
      <c r="I4" s="259"/>
      <c r="P4" s="261" t="s">
        <v>285</v>
      </c>
      <c r="Q4" s="262" t="n">
        <v>24</v>
      </c>
      <c r="R4" s="40"/>
      <c r="S4" s="263"/>
      <c r="T4" s="264" t="s">
        <v>286</v>
      </c>
      <c r="U4" s="265" t="n">
        <v>0</v>
      </c>
      <c r="V4" s="266" t="s">
        <v>0</v>
      </c>
      <c r="W4" s="267"/>
      <c r="X4" s="0" t="s">
        <v>287</v>
      </c>
      <c r="Y4" s="268"/>
      <c r="Z4" s="269" t="n">
        <v>52.5</v>
      </c>
      <c r="AA4" s="270"/>
      <c r="AB4" s="271"/>
      <c r="AC4" s="270"/>
      <c r="AD4" s="272"/>
    </row>
    <row r="5" customFormat="false" ht="16.5" hidden="false" customHeight="false" outlineLevel="0" collapsed="false">
      <c r="A5" s="229" t="s">
        <v>288</v>
      </c>
      <c r="B5" s="273"/>
      <c r="C5" s="274" t="n">
        <f aca="false">PGL_Requirements!H7/1000</f>
        <v>0</v>
      </c>
      <c r="D5" s="275"/>
      <c r="E5" s="276"/>
      <c r="F5" s="275"/>
      <c r="G5" s="233"/>
      <c r="H5" s="276"/>
      <c r="I5" s="277"/>
      <c r="P5" s="278" t="s">
        <v>289</v>
      </c>
      <c r="Q5" s="237" t="n">
        <f aca="false">PGL_Supplies!Y7/1000</f>
        <v>144.116</v>
      </c>
      <c r="R5" s="279" t="s">
        <v>0</v>
      </c>
      <c r="S5" s="280"/>
      <c r="T5" s="281" t="s">
        <v>290</v>
      </c>
      <c r="U5" s="282" t="n">
        <f aca="false">U3+U4</f>
        <v>15</v>
      </c>
      <c r="V5" s="283" t="s">
        <v>0</v>
      </c>
      <c r="W5" s="284" t="s">
        <v>0</v>
      </c>
      <c r="X5" s="285" t="s">
        <v>291</v>
      </c>
      <c r="Y5" s="286" t="s">
        <v>0</v>
      </c>
      <c r="Z5" s="287" t="n">
        <f aca="false">PGL_Deliveries!C5/1000</f>
        <v>320</v>
      </c>
      <c r="AA5" s="260"/>
      <c r="AB5" s="258"/>
      <c r="AC5" s="260"/>
      <c r="AD5" s="259"/>
    </row>
    <row r="6" customFormat="false" ht="16.5" hidden="false" customHeight="false" outlineLevel="0" collapsed="false">
      <c r="A6" s="288" t="s">
        <v>291</v>
      </c>
      <c r="B6" s="286" t="s">
        <v>0</v>
      </c>
      <c r="C6" s="287" t="n">
        <f aca="false">PGL_Deliveries!C5/1000</f>
        <v>320</v>
      </c>
      <c r="D6" s="286" t="s">
        <v>0</v>
      </c>
      <c r="E6" s="258"/>
      <c r="F6" s="260"/>
      <c r="G6" s="258"/>
      <c r="H6" s="260"/>
      <c r="I6" s="259"/>
      <c r="P6" s="289" t="s">
        <v>292</v>
      </c>
      <c r="Q6" s="290" t="n">
        <f aca="false">+Q5-Q3+Q2-Q4</f>
        <v>120.416</v>
      </c>
      <c r="R6" s="291" t="s">
        <v>0</v>
      </c>
      <c r="S6" s="292"/>
      <c r="T6" s="293" t="s">
        <v>0</v>
      </c>
      <c r="U6" s="294" t="s">
        <v>40</v>
      </c>
      <c r="V6" s="295"/>
      <c r="W6" s="296"/>
      <c r="X6" s="40" t="s">
        <v>293</v>
      </c>
      <c r="Y6" s="297"/>
      <c r="Z6" s="298" t="n">
        <f aca="false">PGL_Requirements!X7/1000</f>
        <v>0</v>
      </c>
      <c r="AA6" s="297"/>
      <c r="AB6" s="299"/>
      <c r="AC6" s="40"/>
      <c r="AD6" s="300"/>
    </row>
    <row r="7" customFormat="false" ht="16.5" hidden="false" customHeight="false" outlineLevel="0" collapsed="false">
      <c r="A7" s="261" t="s">
        <v>293</v>
      </c>
      <c r="B7" s="297"/>
      <c r="C7" s="298" t="n">
        <f aca="false">PGL_Requirements!I7/1000</f>
        <v>0</v>
      </c>
      <c r="D7" s="40"/>
      <c r="E7" s="40"/>
      <c r="F7" s="297"/>
      <c r="G7" s="299"/>
      <c r="H7" s="40"/>
      <c r="I7" s="300"/>
      <c r="P7" s="301" t="s">
        <v>0</v>
      </c>
      <c r="Q7" s="302" t="s">
        <v>0</v>
      </c>
      <c r="R7" s="303" t="s">
        <v>83</v>
      </c>
      <c r="S7" s="304"/>
      <c r="T7" s="236" t="s">
        <v>294</v>
      </c>
      <c r="U7" s="237" t="n">
        <f aca="false">PGL_Supplies!Q7/1000</f>
        <v>0</v>
      </c>
      <c r="V7" s="305" t="s">
        <v>0</v>
      </c>
      <c r="W7" s="306"/>
      <c r="X7" s="307"/>
      <c r="Y7" s="294" t="s">
        <v>0</v>
      </c>
      <c r="Z7" s="294" t="s">
        <v>0</v>
      </c>
      <c r="AA7" s="307"/>
      <c r="AB7" s="307"/>
      <c r="AC7" s="307"/>
      <c r="AD7" s="308"/>
    </row>
    <row r="8" customFormat="false" ht="16.5" hidden="false" customHeight="false" outlineLevel="0" collapsed="false">
      <c r="A8" s="309"/>
      <c r="B8" s="294" t="s">
        <v>0</v>
      </c>
      <c r="C8" s="294" t="s">
        <v>0</v>
      </c>
      <c r="D8" s="307"/>
      <c r="E8" s="307"/>
      <c r="F8" s="307"/>
      <c r="G8" s="307"/>
      <c r="H8" s="307"/>
      <c r="I8" s="308"/>
      <c r="P8" s="236" t="s">
        <v>295</v>
      </c>
      <c r="Q8" s="237" t="n">
        <f aca="false">PGL_Requirements!U7/1000</f>
        <v>40.2</v>
      </c>
      <c r="R8" s="310"/>
      <c r="S8" s="252"/>
      <c r="T8" s="236" t="s">
        <v>296</v>
      </c>
      <c r="U8" s="253" t="n">
        <f aca="false">PGL_Requirements!F7/1000</f>
        <v>4</v>
      </c>
      <c r="V8" s="305" t="s">
        <v>0</v>
      </c>
      <c r="W8" s="306"/>
      <c r="X8" s="311" t="s">
        <v>297</v>
      </c>
      <c r="Y8" s="312" t="s">
        <v>0</v>
      </c>
      <c r="Z8" s="313" t="n">
        <f aca="false">Q4</f>
        <v>24</v>
      </c>
      <c r="AA8" s="314"/>
      <c r="AB8" s="258"/>
      <c r="AC8" s="314"/>
      <c r="AD8" s="259" t="s">
        <v>0</v>
      </c>
    </row>
    <row r="9" customFormat="false" ht="15" hidden="false" customHeight="false" outlineLevel="0" collapsed="false">
      <c r="A9" s="236" t="s">
        <v>298</v>
      </c>
      <c r="B9" s="312" t="s">
        <v>0</v>
      </c>
      <c r="C9" s="313" t="n">
        <f aca="false">B31</f>
        <v>24</v>
      </c>
      <c r="D9" s="314"/>
      <c r="E9" s="258"/>
      <c r="F9" s="314"/>
      <c r="G9" s="258"/>
      <c r="H9" s="314"/>
      <c r="I9" s="259" t="s">
        <v>0</v>
      </c>
      <c r="P9" s="236" t="s">
        <v>299</v>
      </c>
      <c r="Q9" s="237" t="n">
        <f aca="false">PGL_Supplies!R7/1000</f>
        <v>0</v>
      </c>
      <c r="R9" s="252"/>
      <c r="S9" s="252"/>
      <c r="T9" s="236" t="s">
        <v>300</v>
      </c>
      <c r="U9" s="237" t="n">
        <f aca="false">PGL_Supplies!G7/1000</f>
        <v>0</v>
      </c>
      <c r="V9" s="237"/>
      <c r="W9" s="306"/>
      <c r="X9" s="40" t="s">
        <v>82</v>
      </c>
      <c r="Y9" s="268"/>
      <c r="Z9" s="315" t="n">
        <f aca="false">+Q6</f>
        <v>120.416</v>
      </c>
      <c r="AA9" s="268"/>
      <c r="AB9" s="271"/>
      <c r="AC9" s="270"/>
      <c r="AD9" s="316" t="s">
        <v>0</v>
      </c>
    </row>
    <row r="10" customFormat="false" ht="15.75" hidden="false" customHeight="false" outlineLevel="0" collapsed="false">
      <c r="A10" s="261" t="s">
        <v>82</v>
      </c>
      <c r="B10" s="268"/>
      <c r="C10" s="315" t="n">
        <f aca="false">+B34</f>
        <v>120.116</v>
      </c>
      <c r="D10" s="268"/>
      <c r="E10" s="270"/>
      <c r="F10" s="268"/>
      <c r="G10" s="271"/>
      <c r="H10" s="270"/>
      <c r="I10" s="316" t="s">
        <v>0</v>
      </c>
      <c r="P10" s="236" t="s">
        <v>301</v>
      </c>
      <c r="Q10" s="237" t="n">
        <f aca="false">PGL_Requirements!C7/1000</f>
        <v>0</v>
      </c>
      <c r="R10" s="268"/>
      <c r="S10" s="317"/>
      <c r="T10" s="236" t="s">
        <v>302</v>
      </c>
      <c r="U10" s="318" t="n">
        <f aca="false">PGL_Supplies!AD7/1000</f>
        <v>4</v>
      </c>
      <c r="V10" s="319"/>
      <c r="W10" s="320"/>
      <c r="X10" s="321" t="s">
        <v>303</v>
      </c>
      <c r="Y10" s="322" t="s">
        <v>0</v>
      </c>
      <c r="Z10" s="313" t="n">
        <f aca="false">Q13</f>
        <v>0</v>
      </c>
      <c r="AA10" s="260"/>
      <c r="AB10" s="313" t="s">
        <v>0</v>
      </c>
      <c r="AC10" s="260"/>
      <c r="AD10" s="316" t="s">
        <v>0</v>
      </c>
    </row>
    <row r="11" customFormat="false" ht="16.5" hidden="false" customHeight="false" outlineLevel="0" collapsed="false">
      <c r="A11" s="323" t="s">
        <v>304</v>
      </c>
      <c r="B11" s="322" t="s">
        <v>0</v>
      </c>
      <c r="C11" s="313" t="n">
        <f aca="false">B41</f>
        <v>0</v>
      </c>
      <c r="D11" s="260"/>
      <c r="E11" s="313" t="s">
        <v>0</v>
      </c>
      <c r="F11" s="260"/>
      <c r="G11" s="313" t="s">
        <v>0</v>
      </c>
      <c r="H11" s="260"/>
      <c r="I11" s="316" t="s">
        <v>0</v>
      </c>
      <c r="P11" s="236" t="s">
        <v>305</v>
      </c>
      <c r="Q11" s="237" t="n">
        <f aca="false">PGL_Supplies!C7/1000</f>
        <v>0</v>
      </c>
      <c r="R11" s="268"/>
      <c r="S11" s="317"/>
      <c r="T11" s="324" t="s">
        <v>306</v>
      </c>
      <c r="U11" s="325" t="n">
        <f aca="false">+U10+U9-U8+U7</f>
        <v>0</v>
      </c>
      <c r="V11" s="282" t="s">
        <v>0</v>
      </c>
      <c r="W11" s="326"/>
      <c r="X11" s="321" t="s">
        <v>72</v>
      </c>
      <c r="Y11" s="322" t="s">
        <v>0</v>
      </c>
      <c r="Z11" s="313" t="n">
        <f aca="false">Q21</f>
        <v>-149.68</v>
      </c>
      <c r="AA11" s="260"/>
      <c r="AB11" s="258" t="s">
        <v>0</v>
      </c>
      <c r="AC11" s="260"/>
      <c r="AD11" s="259"/>
    </row>
    <row r="12" customFormat="false" ht="16.5" hidden="false" customHeight="false" outlineLevel="0" collapsed="false">
      <c r="A12" s="323" t="s">
        <v>307</v>
      </c>
      <c r="B12" s="322" t="s">
        <v>0</v>
      </c>
      <c r="C12" s="313" t="n">
        <f aca="false">B55</f>
        <v>-149.68</v>
      </c>
      <c r="D12" s="260"/>
      <c r="E12" s="258"/>
      <c r="F12" s="260"/>
      <c r="G12" s="258" t="s">
        <v>0</v>
      </c>
      <c r="H12" s="260"/>
      <c r="I12" s="259"/>
      <c r="P12" s="327" t="s">
        <v>308</v>
      </c>
      <c r="Q12" s="237" t="n">
        <f aca="false">PGL_Supplies!Z7/1000</f>
        <v>40.2</v>
      </c>
      <c r="R12" s="40"/>
      <c r="S12" s="328"/>
      <c r="T12" s="329" t="s">
        <v>0</v>
      </c>
      <c r="U12" s="330" t="s">
        <v>309</v>
      </c>
      <c r="V12" s="331"/>
      <c r="W12" s="332"/>
      <c r="X12" s="321" t="s">
        <v>310</v>
      </c>
      <c r="Y12" s="322" t="s">
        <v>0</v>
      </c>
      <c r="Z12" s="313" t="n">
        <f aca="false">Q30</f>
        <v>0</v>
      </c>
      <c r="AA12" s="260"/>
      <c r="AB12" s="258" t="s">
        <v>0</v>
      </c>
      <c r="AC12" s="260"/>
      <c r="AD12" s="259"/>
    </row>
    <row r="13" customFormat="false" ht="16.5" hidden="false" customHeight="false" outlineLevel="0" collapsed="false">
      <c r="A13" s="323" t="s">
        <v>311</v>
      </c>
      <c r="B13" s="322" t="s">
        <v>0</v>
      </c>
      <c r="C13" s="313" t="n">
        <f aca="false">B47</f>
        <v>0</v>
      </c>
      <c r="D13" s="275"/>
      <c r="E13" s="258"/>
      <c r="F13" s="260"/>
      <c r="G13" s="258" t="s">
        <v>0</v>
      </c>
      <c r="H13" s="260"/>
      <c r="I13" s="259"/>
      <c r="P13" s="289" t="s">
        <v>292</v>
      </c>
      <c r="Q13" s="283" t="n">
        <f aca="false">Q12+Q11-Q10+Q9-Q8</f>
        <v>0</v>
      </c>
      <c r="R13" s="292"/>
      <c r="S13" s="292"/>
      <c r="T13" s="333" t="s">
        <v>312</v>
      </c>
      <c r="U13" s="241" t="s">
        <v>0</v>
      </c>
      <c r="V13" s="334" t="s">
        <v>0</v>
      </c>
      <c r="W13" s="335" t="s">
        <v>0</v>
      </c>
      <c r="X13" s="321" t="s">
        <v>313</v>
      </c>
      <c r="Y13" s="336" t="s">
        <v>0</v>
      </c>
      <c r="Z13" s="313" t="n">
        <f aca="false">Q36</f>
        <v>201.847</v>
      </c>
      <c r="AA13" s="260"/>
      <c r="AB13" s="258" t="s">
        <v>0</v>
      </c>
      <c r="AC13" s="260"/>
      <c r="AD13" s="259"/>
    </row>
    <row r="14" customFormat="false" ht="16.5" hidden="false" customHeight="false" outlineLevel="0" collapsed="false">
      <c r="A14" s="323" t="s">
        <v>314</v>
      </c>
      <c r="B14" s="336" t="s">
        <v>0</v>
      </c>
      <c r="C14" s="313" t="n">
        <f aca="false">I65</f>
        <v>201.847</v>
      </c>
      <c r="D14" s="260"/>
      <c r="E14" s="258"/>
      <c r="F14" s="260"/>
      <c r="G14" s="258" t="s">
        <v>0</v>
      </c>
      <c r="H14" s="260"/>
      <c r="I14" s="259"/>
      <c r="P14" s="337" t="s">
        <v>0</v>
      </c>
      <c r="Q14" s="303" t="s">
        <v>0</v>
      </c>
      <c r="R14" s="303" t="s">
        <v>72</v>
      </c>
      <c r="S14" s="338"/>
      <c r="T14" s="339" t="s">
        <v>315</v>
      </c>
      <c r="U14" s="252"/>
      <c r="V14" s="340"/>
      <c r="W14" s="341"/>
      <c r="X14" s="321" t="s">
        <v>316</v>
      </c>
      <c r="Y14" s="322" t="s">
        <v>0</v>
      </c>
      <c r="Z14" s="342" t="n">
        <f aca="false">U5</f>
        <v>15</v>
      </c>
      <c r="AA14" s="260"/>
      <c r="AB14" s="258" t="s">
        <v>0</v>
      </c>
      <c r="AC14" s="260"/>
      <c r="AD14" s="259"/>
    </row>
    <row r="15" customFormat="false" ht="16.5" hidden="false" customHeight="false" outlineLevel="0" collapsed="false">
      <c r="A15" s="323" t="s">
        <v>316</v>
      </c>
      <c r="B15" s="322" t="s">
        <v>0</v>
      </c>
      <c r="C15" s="342" t="n">
        <f aca="false">PGL_Supplies!I7/1000</f>
        <v>15</v>
      </c>
      <c r="D15" s="260" t="s">
        <v>0</v>
      </c>
      <c r="E15" s="258"/>
      <c r="F15" s="260"/>
      <c r="G15" s="258" t="s">
        <v>0</v>
      </c>
      <c r="H15" s="260"/>
      <c r="I15" s="259"/>
      <c r="P15" s="236" t="s">
        <v>90</v>
      </c>
      <c r="Q15" s="237" t="n">
        <f aca="false">PGL_Requirements!P7/1000</f>
        <v>150</v>
      </c>
      <c r="R15" s="252"/>
      <c r="S15" s="343"/>
      <c r="T15" s="344" t="s">
        <v>317</v>
      </c>
      <c r="U15" s="345"/>
      <c r="V15" s="297"/>
      <c r="W15" s="346"/>
      <c r="X15" s="321" t="s">
        <v>318</v>
      </c>
      <c r="Y15" s="322" t="s">
        <v>2</v>
      </c>
      <c r="Z15" s="313" t="n">
        <f aca="false">U11</f>
        <v>0</v>
      </c>
      <c r="AA15" s="260"/>
      <c r="AB15" s="258" t="s">
        <v>0</v>
      </c>
      <c r="AC15" s="260"/>
      <c r="AD15" s="259"/>
    </row>
    <row r="16" customFormat="false" ht="16.5" hidden="false" customHeight="false" outlineLevel="0" collapsed="false">
      <c r="A16" s="323" t="s">
        <v>319</v>
      </c>
      <c r="B16" s="322" t="s">
        <v>2</v>
      </c>
      <c r="C16" s="313" t="n">
        <f aca="false">+B64</f>
        <v>0</v>
      </c>
      <c r="D16" s="260"/>
      <c r="E16" s="258"/>
      <c r="F16" s="260"/>
      <c r="G16" s="258" t="s">
        <v>0</v>
      </c>
      <c r="H16" s="260"/>
      <c r="I16" s="259"/>
      <c r="P16" s="236" t="s">
        <v>320</v>
      </c>
      <c r="Q16" s="237" t="n">
        <f aca="false">PGL_Supplies!M7/1000</f>
        <v>0</v>
      </c>
      <c r="R16" s="252"/>
      <c r="S16" s="343"/>
      <c r="T16" s="347" t="s">
        <v>0</v>
      </c>
      <c r="U16" s="307" t="s">
        <v>321</v>
      </c>
      <c r="V16" s="348"/>
      <c r="W16" s="349"/>
      <c r="X16" s="321" t="s">
        <v>322</v>
      </c>
      <c r="Y16" s="322" t="s">
        <v>2</v>
      </c>
      <c r="Z16" s="342" t="n">
        <f aca="false">PGL_Supplies!B7/1000</f>
        <v>5</v>
      </c>
      <c r="AA16" s="260"/>
      <c r="AB16" s="258" t="s">
        <v>0</v>
      </c>
      <c r="AC16" s="260"/>
      <c r="AD16" s="259"/>
    </row>
    <row r="17" customFormat="false" ht="15" hidden="false" customHeight="true" outlineLevel="0" collapsed="false">
      <c r="A17" s="323" t="s">
        <v>322</v>
      </c>
      <c r="B17" s="322" t="s">
        <v>2</v>
      </c>
      <c r="C17" s="342" t="n">
        <f aca="false">PGL_Supplies!B7/1000</f>
        <v>5</v>
      </c>
      <c r="D17" s="275"/>
      <c r="E17" s="258"/>
      <c r="F17" s="260"/>
      <c r="G17" s="258" t="s">
        <v>0</v>
      </c>
      <c r="H17" s="260"/>
      <c r="I17" s="259"/>
      <c r="P17" s="236" t="s">
        <v>323</v>
      </c>
      <c r="Q17" s="237" t="n">
        <f aca="false">SUM(PGL_Requirements!B7/1000)</f>
        <v>0</v>
      </c>
      <c r="R17" s="252"/>
      <c r="S17" s="306"/>
      <c r="T17" s="350" t="s">
        <v>324</v>
      </c>
      <c r="U17" s="351" t="n">
        <f aca="false">+PGL_Supplies!K7/1000</f>
        <v>0</v>
      </c>
      <c r="V17" s="352" t="s">
        <v>0</v>
      </c>
      <c r="W17" s="353" t="s">
        <v>0</v>
      </c>
      <c r="X17" s="321" t="s">
        <v>325</v>
      </c>
      <c r="Y17" s="354" t="s">
        <v>0</v>
      </c>
      <c r="Z17" s="251" t="n">
        <f aca="false">-PGL_Requirements!G7/1000</f>
        <v>-0</v>
      </c>
      <c r="AA17" s="260"/>
      <c r="AB17" s="258"/>
      <c r="AC17" s="260"/>
      <c r="AD17" s="259"/>
    </row>
    <row r="18" customFormat="false" ht="16.5" hidden="false" customHeight="false" outlineLevel="0" collapsed="false">
      <c r="A18" s="323" t="s">
        <v>325</v>
      </c>
      <c r="B18" s="355" t="s">
        <v>0</v>
      </c>
      <c r="C18" s="298" t="n">
        <f aca="false">PGL_Requirements!G7/1000</f>
        <v>0</v>
      </c>
      <c r="D18" s="232"/>
      <c r="E18" s="258"/>
      <c r="F18" s="260"/>
      <c r="G18" s="258"/>
      <c r="H18" s="260"/>
      <c r="I18" s="259"/>
      <c r="P18" s="236" t="s">
        <v>326</v>
      </c>
      <c r="Q18" s="237" t="n">
        <f aca="false">PGL_Supplies!H7/1000</f>
        <v>1</v>
      </c>
      <c r="R18" s="252"/>
      <c r="S18" s="306"/>
      <c r="T18" s="293" t="s">
        <v>0</v>
      </c>
      <c r="U18" s="307" t="s">
        <v>327</v>
      </c>
      <c r="V18" s="295"/>
      <c r="W18" s="296"/>
      <c r="X18" s="0" t="s">
        <v>328</v>
      </c>
      <c r="Y18" s="268"/>
      <c r="Z18" s="356" t="n">
        <f aca="false">-U19</f>
        <v>-0</v>
      </c>
      <c r="AA18" s="268"/>
      <c r="AB18" s="357"/>
      <c r="AC18" s="268"/>
      <c r="AD18" s="272"/>
    </row>
    <row r="19" customFormat="false" ht="16.5" hidden="false" customHeight="false" outlineLevel="0" collapsed="false">
      <c r="A19" s="358" t="s">
        <v>317</v>
      </c>
      <c r="B19" s="359" t="s">
        <v>0</v>
      </c>
      <c r="C19" s="360" t="n">
        <f aca="false">SUM(C9:C17)-C18</f>
        <v>216.283</v>
      </c>
      <c r="D19" s="361" t="s">
        <v>0</v>
      </c>
      <c r="E19" s="362" t="s">
        <v>0</v>
      </c>
      <c r="F19" s="361" t="s">
        <v>0</v>
      </c>
      <c r="G19" s="360" t="s">
        <v>0</v>
      </c>
      <c r="H19" s="361" t="s">
        <v>0</v>
      </c>
      <c r="I19" s="363"/>
      <c r="P19" s="364" t="s">
        <v>329</v>
      </c>
      <c r="Q19" s="237" t="n">
        <f aca="false">PGL_Requirements!R7/1000</f>
        <v>0.68</v>
      </c>
      <c r="R19" s="252"/>
      <c r="S19" s="306"/>
      <c r="T19" s="365" t="s">
        <v>330</v>
      </c>
      <c r="U19" s="366" t="n">
        <f aca="false">PGL_Requirements!K7/1000</f>
        <v>0</v>
      </c>
      <c r="V19" s="367"/>
      <c r="W19" s="368"/>
      <c r="X19" s="0" t="s">
        <v>218</v>
      </c>
      <c r="Y19" s="369"/>
      <c r="Z19" s="370" t="n">
        <f aca="false">-U24</f>
        <v>-0</v>
      </c>
      <c r="AA19" s="369"/>
      <c r="AB19" s="371"/>
      <c r="AC19" s="369"/>
      <c r="AD19" s="372"/>
    </row>
    <row r="20" customFormat="false" ht="16.5" hidden="false" customHeight="false" outlineLevel="0" collapsed="false">
      <c r="A20" s="329" t="s">
        <v>41</v>
      </c>
      <c r="B20" s="373" t="s">
        <v>0</v>
      </c>
      <c r="C20" s="374"/>
      <c r="D20" s="375"/>
      <c r="E20" s="376"/>
      <c r="F20" s="375"/>
      <c r="G20" s="375" t="s">
        <v>331</v>
      </c>
      <c r="H20" s="375"/>
      <c r="I20" s="308"/>
      <c r="P20" s="236" t="s">
        <v>332</v>
      </c>
      <c r="Q20" s="237" t="n">
        <f aca="false">PGL_Requirements!Q7/1000</f>
        <v>2.25</v>
      </c>
      <c r="R20" s="280"/>
      <c r="S20" s="320"/>
      <c r="T20" s="40"/>
      <c r="U20" s="40"/>
      <c r="V20" s="40"/>
      <c r="W20" s="377"/>
      <c r="X20" s="378" t="s">
        <v>317</v>
      </c>
      <c r="Y20" s="359" t="s">
        <v>0</v>
      </c>
      <c r="Z20" s="360" t="n">
        <f aca="false">SUM(Z8:Z19)</f>
        <v>216.583</v>
      </c>
      <c r="AA20" s="361" t="s">
        <v>0</v>
      </c>
      <c r="AB20" s="360" t="s">
        <v>0</v>
      </c>
      <c r="AC20" s="361" t="s">
        <v>0</v>
      </c>
      <c r="AD20" s="363"/>
    </row>
    <row r="21" customFormat="false" ht="16.5" hidden="false" customHeight="false" outlineLevel="0" collapsed="false">
      <c r="A21" s="323" t="s">
        <v>333</v>
      </c>
      <c r="B21" s="322" t="s">
        <v>0</v>
      </c>
      <c r="C21" s="379" t="n">
        <f aca="false">-PGL_Supplies!J7/1000</f>
        <v>-0</v>
      </c>
      <c r="D21" s="380"/>
      <c r="E21" s="258"/>
      <c r="F21" s="380"/>
      <c r="G21" s="258"/>
      <c r="H21" s="380"/>
      <c r="I21" s="235"/>
      <c r="P21" s="289" t="s">
        <v>290</v>
      </c>
      <c r="Q21" s="381" t="n">
        <f aca="false">-Q15+Q16+Q18-Q19-Q17+Q22+Q23</f>
        <v>-149.68</v>
      </c>
      <c r="R21" s="382"/>
      <c r="S21" s="326"/>
      <c r="T21" s="383" t="s">
        <v>334</v>
      </c>
      <c r="U21" s="262" t="n">
        <v>0</v>
      </c>
      <c r="V21" s="317"/>
      <c r="W21" s="384"/>
      <c r="X21" s="294" t="s">
        <v>41</v>
      </c>
      <c r="Y21" s="373" t="s">
        <v>0</v>
      </c>
      <c r="Z21" s="374"/>
      <c r="AA21" s="375"/>
      <c r="AB21" s="375" t="s">
        <v>335</v>
      </c>
      <c r="AC21" s="375"/>
      <c r="AD21" s="308"/>
    </row>
    <row r="22" customFormat="false" ht="15" hidden="false" customHeight="false" outlineLevel="0" collapsed="false">
      <c r="A22" s="323" t="s">
        <v>336</v>
      </c>
      <c r="B22" s="322" t="s">
        <v>0</v>
      </c>
      <c r="C22" s="313" t="n">
        <f aca="false">C6+C7-C19</f>
        <v>103.717</v>
      </c>
      <c r="D22" s="380"/>
      <c r="E22" s="258"/>
      <c r="F22" s="380"/>
      <c r="G22" s="313" t="s">
        <v>0</v>
      </c>
      <c r="H22" s="380"/>
      <c r="I22" s="277"/>
      <c r="P22" s="236" t="s">
        <v>337</v>
      </c>
      <c r="Q22" s="237" t="n">
        <v>0</v>
      </c>
      <c r="R22" s="385"/>
      <c r="S22" s="386"/>
      <c r="T22" s="383" t="s">
        <v>338</v>
      </c>
      <c r="U22" s="262" t="n">
        <v>0</v>
      </c>
      <c r="V22" s="317"/>
      <c r="W22" s="384"/>
      <c r="X22" s="321" t="s">
        <v>333</v>
      </c>
      <c r="Y22" s="322" t="s">
        <v>0</v>
      </c>
      <c r="Z22" s="379" t="n">
        <f aca="false">-PGL_Supplies!J7/1000</f>
        <v>-0</v>
      </c>
      <c r="AA22" s="380"/>
      <c r="AB22" s="258"/>
      <c r="AC22" s="380"/>
      <c r="AD22" s="235"/>
    </row>
    <row r="23" customFormat="false" ht="18" hidden="false" customHeight="true" outlineLevel="0" collapsed="false">
      <c r="A23" s="387" t="s">
        <v>279</v>
      </c>
      <c r="B23" s="322" t="s">
        <v>0</v>
      </c>
      <c r="C23" s="313"/>
      <c r="D23" s="380"/>
      <c r="E23" s="258"/>
      <c r="F23" s="388" t="s">
        <v>0</v>
      </c>
      <c r="G23" s="389"/>
      <c r="H23" s="388" t="s">
        <v>0</v>
      </c>
      <c r="I23" s="235"/>
      <c r="P23" s="236" t="s">
        <v>339</v>
      </c>
      <c r="Q23" s="390" t="n">
        <v>0</v>
      </c>
      <c r="R23" s="391"/>
      <c r="S23" s="392"/>
      <c r="T23" s="393" t="s">
        <v>340</v>
      </c>
      <c r="U23" s="394" t="n">
        <v>0</v>
      </c>
      <c r="V23" s="345"/>
      <c r="W23" s="346"/>
      <c r="X23" s="321" t="s">
        <v>336</v>
      </c>
      <c r="Y23" s="322" t="s">
        <v>0</v>
      </c>
      <c r="Z23" s="313" t="n">
        <f aca="false">Z5+Z6-Z20</f>
        <v>103.417</v>
      </c>
      <c r="AA23" s="380"/>
      <c r="AB23" s="313" t="s">
        <v>0</v>
      </c>
      <c r="AC23" s="380"/>
      <c r="AD23" s="277"/>
    </row>
    <row r="24" customFormat="false" ht="16.5" hidden="false" customHeight="false" outlineLevel="0" collapsed="false">
      <c r="A24" s="323" t="s">
        <v>341</v>
      </c>
      <c r="B24" s="395" t="s">
        <v>0</v>
      </c>
      <c r="C24" s="396" t="n">
        <f aca="false">SUM(B54+B56+B57)</f>
        <v>2.25</v>
      </c>
      <c r="D24" s="244"/>
      <c r="E24" s="397"/>
      <c r="F24" s="398"/>
      <c r="G24" s="397"/>
      <c r="H24" s="399" t="s">
        <v>0</v>
      </c>
      <c r="I24" s="400" t="s">
        <v>0</v>
      </c>
      <c r="K24" s="0" t="s">
        <v>0</v>
      </c>
      <c r="P24" s="401" t="s">
        <v>342</v>
      </c>
      <c r="Q24" s="402" t="n">
        <f aca="false">SUM(Q4)</f>
        <v>24</v>
      </c>
      <c r="R24" s="403"/>
      <c r="S24" s="404"/>
      <c r="T24" s="405" t="s">
        <v>343</v>
      </c>
      <c r="U24" s="366" t="n">
        <f aca="false">PGL_Requirements!H7/1000</f>
        <v>0</v>
      </c>
      <c r="V24" s="367"/>
      <c r="W24" s="406"/>
      <c r="X24" s="407" t="s">
        <v>279</v>
      </c>
      <c r="Y24" s="322" t="s">
        <v>0</v>
      </c>
      <c r="Z24" s="313"/>
      <c r="AA24" s="388" t="s">
        <v>0</v>
      </c>
      <c r="AB24" s="389"/>
      <c r="AC24" s="388" t="s">
        <v>0</v>
      </c>
      <c r="AD24" s="277"/>
    </row>
    <row r="25" customFormat="false" ht="17.25" hidden="false" customHeight="false" outlineLevel="0" collapsed="false">
      <c r="A25" s="408" t="s">
        <v>344</v>
      </c>
      <c r="B25" s="409" t="s">
        <v>0</v>
      </c>
      <c r="C25" s="410" t="n">
        <f aca="false">SUM(C22:C24)</f>
        <v>105.967</v>
      </c>
      <c r="D25" s="409" t="str">
        <f aca="false">B25</f>
        <v> </v>
      </c>
      <c r="E25" s="410" t="s">
        <v>0</v>
      </c>
      <c r="F25" s="409" t="s">
        <v>0</v>
      </c>
      <c r="G25" s="410" t="s">
        <v>0</v>
      </c>
      <c r="H25" s="411" t="s">
        <v>0</v>
      </c>
      <c r="I25" s="412" t="s">
        <v>0</v>
      </c>
      <c r="P25" s="337" t="s">
        <v>0</v>
      </c>
      <c r="Q25" s="413" t="s">
        <v>0</v>
      </c>
      <c r="R25" s="414" t="s">
        <v>84</v>
      </c>
      <c r="S25" s="296"/>
      <c r="T25" s="415" t="s">
        <v>345</v>
      </c>
      <c r="U25" s="416"/>
      <c r="V25" s="417"/>
      <c r="W25" s="418"/>
      <c r="X25" s="321" t="s">
        <v>341</v>
      </c>
      <c r="Y25" s="395" t="s">
        <v>0</v>
      </c>
      <c r="Z25" s="396" t="n">
        <f aca="false">SUM(Q20+Q22+Q23)</f>
        <v>2.25</v>
      </c>
      <c r="AA25" s="398"/>
      <c r="AB25" s="419"/>
      <c r="AC25" s="399" t="s">
        <v>0</v>
      </c>
      <c r="AD25" s="235"/>
    </row>
    <row r="26" customFormat="false" ht="17.25" hidden="false" customHeight="false" outlineLevel="0" collapsed="false">
      <c r="A26" s="236" t="s">
        <v>346</v>
      </c>
      <c r="B26" s="420"/>
      <c r="C26" s="379" t="n">
        <f aca="false">SUM(-PGL_Supplies!M7/1000)</f>
        <v>0</v>
      </c>
      <c r="D26" s="421" t="s">
        <v>0</v>
      </c>
      <c r="E26" s="422" t="s">
        <v>0</v>
      </c>
      <c r="F26" s="423"/>
      <c r="G26" s="424"/>
      <c r="H26" s="425"/>
      <c r="I26" s="426"/>
      <c r="P26" s="236" t="s">
        <v>347</v>
      </c>
      <c r="Q26" s="237" t="n">
        <f aca="false">PGL_Supplies!D7/1000</f>
        <v>0</v>
      </c>
      <c r="R26" s="427"/>
      <c r="S26" s="306"/>
      <c r="T26" s="40"/>
      <c r="U26" s="428"/>
      <c r="V26" s="40"/>
      <c r="W26" s="429"/>
      <c r="X26" s="430" t="s">
        <v>344</v>
      </c>
      <c r="Y26" s="409" t="s">
        <v>0</v>
      </c>
      <c r="Z26" s="410" t="n">
        <f aca="false">SUM(Z23:Z25)</f>
        <v>105.667</v>
      </c>
      <c r="AA26" s="409" t="s">
        <v>0</v>
      </c>
      <c r="AB26" s="313"/>
      <c r="AC26" s="411" t="s">
        <v>0</v>
      </c>
      <c r="AD26" s="412" t="s">
        <v>0</v>
      </c>
    </row>
    <row r="27" customFormat="false" ht="15.75" hidden="false" customHeight="true" outlineLevel="0" collapsed="false">
      <c r="A27" s="323" t="s">
        <v>348</v>
      </c>
      <c r="B27" s="431"/>
      <c r="C27" s="251" t="n">
        <f aca="false">PGL_Requirements!O7/1000</f>
        <v>0</v>
      </c>
      <c r="D27" s="432" t="s">
        <v>0</v>
      </c>
      <c r="E27" s="274" t="s">
        <v>0</v>
      </c>
      <c r="F27" s="354"/>
      <c r="G27" s="274" t="s">
        <v>0</v>
      </c>
      <c r="H27" s="425"/>
      <c r="I27" s="433" t="s">
        <v>0</v>
      </c>
      <c r="L27" s="40"/>
      <c r="P27" s="236" t="s">
        <v>349</v>
      </c>
      <c r="Q27" s="434" t="n">
        <f aca="false">PGL_Supplies!D7/1000</f>
        <v>0</v>
      </c>
      <c r="R27" s="435"/>
      <c r="S27" s="306"/>
      <c r="T27" s="365" t="s">
        <v>350</v>
      </c>
      <c r="U27" s="436"/>
      <c r="V27" s="367"/>
      <c r="W27" s="368"/>
      <c r="X27" s="311" t="s">
        <v>346</v>
      </c>
      <c r="Y27" s="420"/>
      <c r="Z27" s="379" t="n">
        <f aca="false">SUM(-PGL_Supplies!M7/1000)</f>
        <v>0</v>
      </c>
      <c r="AA27" s="423"/>
      <c r="AB27" s="424"/>
      <c r="AC27" s="425"/>
      <c r="AD27" s="426"/>
    </row>
    <row r="28" customFormat="false" ht="15.75" hidden="false" customHeight="false" outlineLevel="0" collapsed="false">
      <c r="A28" s="323" t="s">
        <v>351</v>
      </c>
      <c r="B28" s="437"/>
      <c r="C28" s="438" t="n">
        <f aca="false">-PGL_Supplies!L7/1000</f>
        <v>-60.01</v>
      </c>
      <c r="D28" s="439" t="s">
        <v>0</v>
      </c>
      <c r="E28" s="251" t="s">
        <v>0</v>
      </c>
      <c r="F28" s="354"/>
      <c r="G28" s="251" t="s">
        <v>0</v>
      </c>
      <c r="H28" s="425"/>
      <c r="I28" s="440" t="s">
        <v>0</v>
      </c>
      <c r="L28" s="311"/>
      <c r="P28" s="236" t="s">
        <v>162</v>
      </c>
      <c r="Q28" s="434" t="n">
        <f aca="false">PGL_Supplies!AA7/1000</f>
        <v>0</v>
      </c>
      <c r="R28" s="252"/>
      <c r="S28" s="306"/>
      <c r="T28" s="40"/>
      <c r="U28" s="428"/>
      <c r="V28" s="40"/>
      <c r="W28" s="429"/>
      <c r="X28" s="321" t="s">
        <v>348</v>
      </c>
      <c r="Y28" s="431"/>
      <c r="Z28" s="251" t="n">
        <f aca="false">PGL_Requirements!O7/1000</f>
        <v>0</v>
      </c>
      <c r="AA28" s="354"/>
      <c r="AB28" s="274" t="s">
        <v>0</v>
      </c>
      <c r="AC28" s="425"/>
      <c r="AD28" s="433" t="s">
        <v>0</v>
      </c>
    </row>
    <row r="29" customFormat="false" ht="15.75" hidden="false" customHeight="false" outlineLevel="0" collapsed="false">
      <c r="A29" s="236" t="s">
        <v>352</v>
      </c>
      <c r="B29" s="441"/>
      <c r="C29" s="251" t="n">
        <f aca="false">-PGL_Supplies!AC7/1000</f>
        <v>-45.658</v>
      </c>
      <c r="D29" s="439" t="s">
        <v>0</v>
      </c>
      <c r="E29" s="251" t="n">
        <f aca="false">-PGL_Supplies!AC7/1000</f>
        <v>-45.658</v>
      </c>
      <c r="F29" s="354"/>
      <c r="G29" s="251" t="n">
        <f aca="false">-PGL_Supplies!AC7/1000</f>
        <v>-45.658</v>
      </c>
      <c r="H29" s="425"/>
      <c r="I29" s="426" t="n">
        <f aca="false">-PGL_Supplies!AC7/1000</f>
        <v>-45.658</v>
      </c>
      <c r="L29" s="311"/>
      <c r="P29" s="236" t="s">
        <v>353</v>
      </c>
      <c r="Q29" s="237" t="n">
        <f aca="false">PGL_Supplies!S7/1000</f>
        <v>0</v>
      </c>
      <c r="R29" s="427"/>
      <c r="S29" s="306"/>
      <c r="T29" s="442" t="s">
        <v>354</v>
      </c>
      <c r="U29" s="394"/>
      <c r="V29" s="345"/>
      <c r="W29" s="443"/>
      <c r="X29" s="321" t="s">
        <v>351</v>
      </c>
      <c r="Y29" s="437"/>
      <c r="Z29" s="438" t="n">
        <f aca="false">-PGL_Supplies!L7/1000</f>
        <v>-60.01</v>
      </c>
      <c r="AA29" s="354"/>
      <c r="AB29" s="251" t="s">
        <v>0</v>
      </c>
      <c r="AC29" s="425"/>
      <c r="AD29" s="440" t="s">
        <v>0</v>
      </c>
    </row>
    <row r="30" customFormat="false" ht="16.5" hidden="false" customHeight="false" outlineLevel="0" collapsed="false">
      <c r="A30" s="301" t="s">
        <v>0</v>
      </c>
      <c r="B30" s="444" t="s">
        <v>0</v>
      </c>
      <c r="C30" s="445" t="s">
        <v>82</v>
      </c>
      <c r="D30" s="446"/>
      <c r="E30" s="447"/>
      <c r="F30" s="448" t="s">
        <v>355</v>
      </c>
      <c r="G30" s="448"/>
      <c r="H30" s="448"/>
      <c r="I30" s="448"/>
      <c r="L30" s="310"/>
      <c r="P30" s="289" t="s">
        <v>292</v>
      </c>
      <c r="Q30" s="282" t="n">
        <f aca="false">-Q26+Q27-Q28+Q29</f>
        <v>0</v>
      </c>
      <c r="R30" s="449"/>
      <c r="S30" s="326"/>
      <c r="T30" s="450" t="s">
        <v>356</v>
      </c>
      <c r="U30" s="262"/>
      <c r="V30" s="317"/>
      <c r="W30" s="451"/>
      <c r="X30" s="452" t="s">
        <v>352</v>
      </c>
      <c r="Y30" s="453"/>
      <c r="Z30" s="298" t="n">
        <f aca="false">-PGL_Supplies!AC7/1000</f>
        <v>-45.658</v>
      </c>
      <c r="AA30" s="454"/>
      <c r="AB30" s="298" t="n">
        <f aca="false">-PGL_Supplies!AC7/1000</f>
        <v>-45.658</v>
      </c>
      <c r="AC30" s="455"/>
      <c r="AD30" s="456" t="n">
        <f aca="false">-PGL_Supplies!AC7/1000</f>
        <v>-45.658</v>
      </c>
    </row>
    <row r="31" customFormat="false" ht="16.5" hidden="false" customHeight="false" outlineLevel="0" collapsed="false">
      <c r="A31" s="236" t="s">
        <v>297</v>
      </c>
      <c r="B31" s="237" t="n">
        <v>24</v>
      </c>
      <c r="C31" s="238"/>
      <c r="D31" s="239"/>
      <c r="E31" s="238"/>
      <c r="F31" s="236" t="s">
        <v>357</v>
      </c>
      <c r="G31" s="457"/>
      <c r="H31" s="385"/>
      <c r="I31" s="458"/>
      <c r="L31" s="311"/>
      <c r="P31" s="459" t="s">
        <v>0</v>
      </c>
      <c r="Q31" s="460" t="s">
        <v>358</v>
      </c>
      <c r="R31" s="460"/>
      <c r="S31" s="460"/>
      <c r="T31" s="371" t="s">
        <v>359</v>
      </c>
      <c r="U31" s="461"/>
      <c r="V31" s="328"/>
      <c r="W31" s="462"/>
      <c r="X31" s="448" t="s">
        <v>355</v>
      </c>
      <c r="Y31" s="448"/>
      <c r="Z31" s="448"/>
      <c r="AA31" s="448"/>
      <c r="AB31" s="448"/>
      <c r="AC31" s="448"/>
      <c r="AD31" s="448"/>
    </row>
    <row r="32" customFormat="false" ht="16.5" hidden="false" customHeight="false" outlineLevel="0" collapsed="false">
      <c r="A32" s="236" t="s">
        <v>283</v>
      </c>
      <c r="B32" s="463" t="n">
        <f aca="false">PGL_Requirements!J7/1000</f>
        <v>0</v>
      </c>
      <c r="C32" s="464" t="s">
        <v>0</v>
      </c>
      <c r="D32" s="252"/>
      <c r="E32" s="465"/>
      <c r="F32" s="236" t="s">
        <v>360</v>
      </c>
      <c r="G32" s="457"/>
      <c r="H32" s="466"/>
      <c r="I32" s="458"/>
      <c r="L32" s="310"/>
      <c r="P32" s="364" t="s">
        <v>361</v>
      </c>
      <c r="Q32" s="253" t="n">
        <f aca="false">PGL_Requirements!E7/1000</f>
        <v>2.7</v>
      </c>
      <c r="R32" s="340"/>
      <c r="S32" s="253" t="s">
        <v>0</v>
      </c>
      <c r="T32" s="405" t="s">
        <v>362</v>
      </c>
      <c r="U32" s="467"/>
      <c r="V32" s="468"/>
      <c r="W32" s="406"/>
      <c r="X32" s="311" t="s">
        <v>357</v>
      </c>
      <c r="Y32" s="241"/>
      <c r="Z32" s="469"/>
      <c r="AA32" s="470" t="s">
        <v>363</v>
      </c>
      <c r="AB32" s="40"/>
      <c r="AC32" s="417"/>
      <c r="AD32" s="471"/>
    </row>
    <row r="33" customFormat="false" ht="15.75" hidden="false" customHeight="false" outlineLevel="0" collapsed="false">
      <c r="A33" s="278" t="s">
        <v>289</v>
      </c>
      <c r="B33" s="237" t="n">
        <f aca="false">PGL_Supplies!Y7/1000</f>
        <v>144.116</v>
      </c>
      <c r="C33" s="279" t="s">
        <v>0</v>
      </c>
      <c r="D33" s="280"/>
      <c r="E33" s="472"/>
      <c r="F33" s="236" t="s">
        <v>364</v>
      </c>
      <c r="G33" s="457"/>
      <c r="H33" s="466"/>
      <c r="I33" s="458"/>
      <c r="L33" s="311"/>
      <c r="P33" s="364" t="s">
        <v>365</v>
      </c>
      <c r="Q33" s="434" t="n">
        <f aca="false">PGL_Supplies!E7/1000</f>
        <v>0</v>
      </c>
      <c r="R33" s="434" t="s">
        <v>0</v>
      </c>
      <c r="S33" s="473" t="s">
        <v>0</v>
      </c>
      <c r="T33" s="40"/>
      <c r="U33" s="40"/>
      <c r="V33" s="40"/>
      <c r="W33" s="429"/>
      <c r="X33" s="474" t="s">
        <v>360</v>
      </c>
      <c r="Y33" s="280"/>
      <c r="Z33" s="306"/>
      <c r="AA33" s="475" t="s">
        <v>354</v>
      </c>
      <c r="AB33" s="271"/>
      <c r="AC33" s="317"/>
      <c r="AD33" s="263"/>
    </row>
    <row r="34" customFormat="false" ht="16.5" hidden="false" customHeight="false" outlineLevel="0" collapsed="false">
      <c r="A34" s="289" t="s">
        <v>292</v>
      </c>
      <c r="B34" s="290" t="n">
        <f aca="false">+B33-B32-B31</f>
        <v>120.116</v>
      </c>
      <c r="C34" s="291" t="s">
        <v>0</v>
      </c>
      <c r="D34" s="292"/>
      <c r="E34" s="476"/>
      <c r="F34" s="236" t="s">
        <v>366</v>
      </c>
      <c r="G34" s="457"/>
      <c r="H34" s="466"/>
      <c r="I34" s="458"/>
      <c r="L34" s="311"/>
      <c r="P34" s="236" t="s">
        <v>162</v>
      </c>
      <c r="Q34" s="434" t="n">
        <f aca="false">PGL_Supplies!AB7/1000+NSG_Supplies!N7/1000</f>
        <v>197.547</v>
      </c>
      <c r="R34" s="434" t="s">
        <v>0</v>
      </c>
      <c r="S34" s="473" t="s">
        <v>0</v>
      </c>
      <c r="T34" s="40"/>
      <c r="U34" s="40"/>
      <c r="V34" s="40"/>
      <c r="W34" s="429"/>
      <c r="X34" s="477" t="s">
        <v>364</v>
      </c>
      <c r="Y34" s="252"/>
      <c r="Z34" s="478"/>
      <c r="AA34" s="475" t="s">
        <v>367</v>
      </c>
      <c r="AB34" s="271"/>
      <c r="AC34" s="317"/>
      <c r="AD34" s="263"/>
    </row>
    <row r="35" customFormat="false" ht="16.5" hidden="false" customHeight="false" outlineLevel="0" collapsed="false">
      <c r="A35" s="301" t="s">
        <v>0</v>
      </c>
      <c r="B35" s="302" t="s">
        <v>0</v>
      </c>
      <c r="C35" s="303" t="s">
        <v>83</v>
      </c>
      <c r="D35" s="304"/>
      <c r="E35" s="479"/>
      <c r="F35" s="236" t="s">
        <v>368</v>
      </c>
      <c r="G35" s="457"/>
      <c r="H35" s="466"/>
      <c r="I35" s="480" t="s">
        <v>369</v>
      </c>
      <c r="L35" s="311"/>
      <c r="P35" s="481" t="s">
        <v>370</v>
      </c>
      <c r="Q35" s="434" t="n">
        <f aca="false">PGL_Supplies!T7/1000</f>
        <v>7</v>
      </c>
      <c r="R35" s="434" t="s">
        <v>0</v>
      </c>
      <c r="S35" s="263"/>
      <c r="T35" s="40"/>
      <c r="U35" s="40"/>
      <c r="V35" s="40"/>
      <c r="W35" s="429"/>
      <c r="X35" s="477" t="s">
        <v>366</v>
      </c>
      <c r="Y35" s="252"/>
      <c r="Z35" s="306"/>
      <c r="AA35" s="482" t="s">
        <v>371</v>
      </c>
      <c r="AB35" s="271"/>
      <c r="AC35" s="317"/>
      <c r="AD35" s="263"/>
    </row>
    <row r="36" customFormat="false" ht="16.5" hidden="false" customHeight="false" outlineLevel="0" collapsed="false">
      <c r="A36" s="236" t="s">
        <v>295</v>
      </c>
      <c r="B36" s="237" t="n">
        <f aca="false">PGL_Requirements!U7/1000</f>
        <v>40.2</v>
      </c>
      <c r="C36" s="310"/>
      <c r="D36" s="252"/>
      <c r="E36" s="465"/>
      <c r="F36" s="364" t="s">
        <v>372</v>
      </c>
      <c r="G36" s="457"/>
      <c r="H36" s="466"/>
      <c r="I36" s="483"/>
      <c r="L36" s="311"/>
      <c r="P36" s="484" t="s">
        <v>373</v>
      </c>
      <c r="Q36" s="436" t="n">
        <f aca="false">-Q32+Q33+Q34+Q35</f>
        <v>201.847</v>
      </c>
      <c r="R36" s="367"/>
      <c r="S36" s="485" t="s">
        <v>0</v>
      </c>
      <c r="T36" s="40"/>
      <c r="U36" s="40"/>
      <c r="V36" s="40"/>
      <c r="W36" s="429"/>
      <c r="X36" s="477" t="s">
        <v>368</v>
      </c>
      <c r="Y36" s="252"/>
      <c r="Z36" s="306"/>
      <c r="AA36" s="482" t="s">
        <v>48</v>
      </c>
      <c r="AB36" s="271"/>
      <c r="AC36" s="317"/>
      <c r="AD36" s="263"/>
    </row>
    <row r="37" customFormat="false" ht="15" hidden="false" customHeight="false" outlineLevel="0" collapsed="false">
      <c r="A37" s="236" t="s">
        <v>299</v>
      </c>
      <c r="B37" s="237" t="n">
        <f aca="false">PGL_Supplies!R7/1000</f>
        <v>0</v>
      </c>
      <c r="C37" s="252"/>
      <c r="D37" s="252"/>
      <c r="E37" s="465"/>
      <c r="F37" s="236" t="s">
        <v>374</v>
      </c>
      <c r="G37" s="457"/>
      <c r="H37" s="466"/>
      <c r="I37" s="458"/>
      <c r="L37" s="311"/>
      <c r="P37" s="486" t="s">
        <v>375</v>
      </c>
      <c r="Q37" s="487"/>
      <c r="R37" s="487"/>
      <c r="S37" s="488" t="s">
        <v>0</v>
      </c>
      <c r="T37" s="40"/>
      <c r="U37" s="40"/>
      <c r="V37" s="40"/>
      <c r="W37" s="40"/>
      <c r="X37" s="489" t="s">
        <v>372</v>
      </c>
      <c r="Y37" s="252"/>
      <c r="Z37" s="306"/>
      <c r="AA37" s="490" t="s">
        <v>376</v>
      </c>
      <c r="AB37" s="271"/>
      <c r="AC37" s="317"/>
      <c r="AD37" s="263"/>
    </row>
    <row r="38" customFormat="false" ht="15.75" hidden="false" customHeight="false" outlineLevel="0" collapsed="false">
      <c r="A38" s="236" t="s">
        <v>301</v>
      </c>
      <c r="B38" s="237" t="n">
        <f aca="false">PGL_Requirements!C7/1000</f>
        <v>0</v>
      </c>
      <c r="C38" s="268"/>
      <c r="D38" s="317"/>
      <c r="E38" s="263"/>
      <c r="F38" s="236" t="s">
        <v>377</v>
      </c>
      <c r="G38" s="457"/>
      <c r="H38" s="466"/>
      <c r="I38" s="458"/>
      <c r="L38" s="311"/>
      <c r="P38" s="491" t="s">
        <v>378</v>
      </c>
      <c r="Q38" s="237" t="n">
        <f aca="false">Q36-Q37-Q39</f>
        <v>201.847</v>
      </c>
      <c r="R38" s="492" t="s">
        <v>0</v>
      </c>
      <c r="S38" s="493" t="s">
        <v>0</v>
      </c>
      <c r="T38" s="40"/>
      <c r="U38" s="40"/>
      <c r="V38" s="40"/>
      <c r="W38" s="40"/>
      <c r="X38" s="494" t="s">
        <v>374</v>
      </c>
      <c r="Y38" s="252"/>
      <c r="Z38" s="306"/>
      <c r="AA38" s="310" t="s">
        <v>379</v>
      </c>
      <c r="AB38" s="40"/>
      <c r="AC38" s="495"/>
      <c r="AD38" s="496"/>
    </row>
    <row r="39" customFormat="false" ht="16.5" hidden="false" customHeight="false" outlineLevel="0" collapsed="false">
      <c r="A39" s="236" t="s">
        <v>305</v>
      </c>
      <c r="B39" s="237" t="n">
        <f aca="false">PGL_Supplies!C7/1000</f>
        <v>0</v>
      </c>
      <c r="C39" s="268"/>
      <c r="D39" s="317"/>
      <c r="E39" s="272"/>
      <c r="F39" s="497" t="s">
        <v>380</v>
      </c>
      <c r="G39" s="40"/>
      <c r="H39" s="343"/>
      <c r="I39" s="458"/>
      <c r="L39" s="311"/>
      <c r="P39" s="498" t="s">
        <v>381</v>
      </c>
      <c r="Q39" s="499" t="n">
        <f aca="false">U24</f>
        <v>0</v>
      </c>
      <c r="R39" s="268"/>
      <c r="S39" s="500" t="s">
        <v>0</v>
      </c>
      <c r="T39" s="40"/>
      <c r="U39" s="40"/>
      <c r="V39" s="40"/>
      <c r="W39" s="40"/>
      <c r="X39" s="501" t="s">
        <v>377</v>
      </c>
      <c r="Y39" s="502"/>
      <c r="Z39" s="503"/>
      <c r="AA39" s="405" t="s">
        <v>382</v>
      </c>
      <c r="AB39" s="468"/>
      <c r="AC39" s="468"/>
      <c r="AD39" s="504"/>
    </row>
    <row r="40" customFormat="false" ht="16.5" hidden="false" customHeight="false" outlineLevel="0" collapsed="false">
      <c r="A40" s="327" t="s">
        <v>308</v>
      </c>
      <c r="B40" s="237" t="n">
        <f aca="false">PGL_Supplies!Z7/1000</f>
        <v>40.2</v>
      </c>
      <c r="C40" s="40"/>
      <c r="D40" s="328"/>
      <c r="E40" s="40"/>
      <c r="F40" s="505" t="s">
        <v>354</v>
      </c>
      <c r="G40" s="457"/>
      <c r="H40" s="506"/>
      <c r="I40" s="458"/>
      <c r="L40" s="310"/>
      <c r="P40" s="507" t="s">
        <v>383</v>
      </c>
      <c r="Q40" s="508" t="n">
        <f aca="false">Q37+Q38+Q39</f>
        <v>201.847</v>
      </c>
      <c r="R40" s="509"/>
      <c r="S40" s="510" t="s">
        <v>0</v>
      </c>
      <c r="T40" s="511"/>
      <c r="U40" s="511"/>
      <c r="V40" s="511"/>
      <c r="W40" s="511"/>
      <c r="X40" s="511"/>
      <c r="Y40" s="512" t="s">
        <v>384</v>
      </c>
      <c r="Z40" s="513"/>
      <c r="AA40" s="514" t="s">
        <v>385</v>
      </c>
      <c r="AB40" s="511"/>
      <c r="AC40" s="511" t="s">
        <v>386</v>
      </c>
      <c r="AD40" s="515"/>
    </row>
    <row r="41" customFormat="false" ht="17.25" hidden="false" customHeight="false" outlineLevel="0" collapsed="false">
      <c r="A41" s="289" t="s">
        <v>292</v>
      </c>
      <c r="B41" s="283" t="n">
        <f aca="false">B40+B37-B36-B38+B39</f>
        <v>0</v>
      </c>
      <c r="C41" s="292"/>
      <c r="D41" s="292"/>
      <c r="E41" s="476"/>
      <c r="F41" s="236" t="s">
        <v>367</v>
      </c>
      <c r="G41" s="457"/>
      <c r="H41" s="427"/>
      <c r="I41" s="458"/>
      <c r="L41" s="310"/>
      <c r="P41" s="516"/>
      <c r="Q41" s="516"/>
      <c r="R41" s="516"/>
      <c r="S41" s="516"/>
      <c r="T41" s="516"/>
      <c r="U41" s="516"/>
      <c r="V41" s="516"/>
      <c r="W41" s="516"/>
      <c r="X41" s="516"/>
      <c r="Y41" s="517"/>
      <c r="Z41" s="517"/>
      <c r="AA41" s="518"/>
      <c r="AB41" s="516"/>
      <c r="AC41" s="516"/>
      <c r="AD41" s="516"/>
    </row>
    <row r="42" customFormat="false" ht="16.5" hidden="false" customHeight="false" outlineLevel="0" collapsed="false">
      <c r="A42" s="337" t="s">
        <v>0</v>
      </c>
      <c r="B42" s="413" t="s">
        <v>0</v>
      </c>
      <c r="C42" s="303" t="s">
        <v>84</v>
      </c>
      <c r="D42" s="338"/>
      <c r="E42" s="519" t="s">
        <v>0</v>
      </c>
      <c r="F42" s="236" t="s">
        <v>371</v>
      </c>
      <c r="G42" s="457"/>
      <c r="H42" s="466"/>
      <c r="I42" s="458"/>
      <c r="P42" s="520"/>
      <c r="Q42" s="40"/>
      <c r="R42" s="40"/>
      <c r="S42" s="521"/>
      <c r="X42" s="40"/>
      <c r="Y42" s="522"/>
      <c r="Z42" s="310"/>
      <c r="AA42" s="523"/>
    </row>
    <row r="43" customFormat="false" ht="15" hidden="false" customHeight="false" outlineLevel="0" collapsed="false">
      <c r="A43" s="236" t="s">
        <v>387</v>
      </c>
      <c r="B43" s="237" t="n">
        <f aca="false">NSG_Supplies!O7/1000+PGL_Supplies!AA7/1000</f>
        <v>0</v>
      </c>
      <c r="C43" s="427"/>
      <c r="D43" s="252"/>
      <c r="E43" s="524"/>
      <c r="F43" s="236" t="s">
        <v>48</v>
      </c>
      <c r="G43" s="457"/>
      <c r="H43" s="427"/>
      <c r="I43" s="458"/>
      <c r="X43" s="40"/>
      <c r="Y43" s="522"/>
      <c r="Z43" s="310"/>
      <c r="AA43" s="523"/>
    </row>
    <row r="44" customFormat="false" ht="15" hidden="false" customHeight="false" outlineLevel="0" collapsed="false">
      <c r="A44" s="525" t="s">
        <v>388</v>
      </c>
      <c r="B44" s="237" t="n">
        <v>0</v>
      </c>
      <c r="C44" s="310"/>
      <c r="D44" s="252"/>
      <c r="E44" s="524"/>
      <c r="F44" s="364" t="s">
        <v>376</v>
      </c>
      <c r="G44" s="526"/>
      <c r="H44" s="527"/>
      <c r="I44" s="458"/>
      <c r="X44" s="40"/>
      <c r="Y44" s="238"/>
      <c r="Z44" s="238"/>
      <c r="AA44" s="523"/>
    </row>
    <row r="45" customFormat="false" ht="15.75" hidden="false" customHeight="false" outlineLevel="0" collapsed="false">
      <c r="A45" s="236" t="s">
        <v>347</v>
      </c>
      <c r="B45" s="528" t="n">
        <f aca="false">PGL_Requirements!D7/1000</f>
        <v>0</v>
      </c>
      <c r="C45" s="427"/>
      <c r="D45" s="252"/>
      <c r="E45" s="524"/>
      <c r="F45" s="364" t="s">
        <v>379</v>
      </c>
      <c r="G45" s="526"/>
      <c r="H45" s="391"/>
      <c r="I45" s="458"/>
    </row>
    <row r="46" customFormat="false" ht="16.5" hidden="false" customHeight="false" outlineLevel="0" collapsed="false">
      <c r="A46" s="236" t="s">
        <v>389</v>
      </c>
      <c r="B46" s="237" t="n">
        <f aca="false">PGL_Supplies!D7/1000</f>
        <v>0</v>
      </c>
      <c r="C46" s="427"/>
      <c r="D46" s="252"/>
      <c r="E46" s="524"/>
      <c r="F46" s="405" t="s">
        <v>382</v>
      </c>
      <c r="G46" s="529"/>
      <c r="H46" s="530"/>
      <c r="I46" s="458"/>
    </row>
    <row r="47" customFormat="false" ht="16.5" hidden="false" customHeight="false" outlineLevel="0" collapsed="false">
      <c r="A47" s="289" t="s">
        <v>292</v>
      </c>
      <c r="B47" s="282" t="n">
        <f aca="false">B43+B44-B45+B46</f>
        <v>0</v>
      </c>
      <c r="C47" s="449"/>
      <c r="D47" s="292"/>
      <c r="E47" s="531"/>
      <c r="F47" s="532" t="s">
        <v>0</v>
      </c>
      <c r="G47" s="533" t="s">
        <v>390</v>
      </c>
      <c r="H47" s="534" t="s">
        <v>0</v>
      </c>
      <c r="I47" s="534"/>
    </row>
    <row r="48" customFormat="false" ht="16.5" hidden="false" customHeight="false" outlineLevel="0" collapsed="false">
      <c r="A48" s="337" t="s">
        <v>0</v>
      </c>
      <c r="B48" s="303" t="s">
        <v>0</v>
      </c>
      <c r="C48" s="303" t="s">
        <v>72</v>
      </c>
      <c r="D48" s="338"/>
      <c r="E48" s="338"/>
      <c r="F48" s="240" t="s">
        <v>279</v>
      </c>
      <c r="G48" s="535"/>
      <c r="H48" s="242" t="s">
        <v>0</v>
      </c>
      <c r="I48" s="536" t="s">
        <v>0</v>
      </c>
    </row>
    <row r="49" customFormat="false" ht="15" hidden="false" customHeight="false" outlineLevel="0" collapsed="false">
      <c r="A49" s="236" t="s">
        <v>90</v>
      </c>
      <c r="B49" s="237" t="n">
        <f aca="false">PGL_Requirements!P7/1000</f>
        <v>150</v>
      </c>
      <c r="C49" s="252"/>
      <c r="D49" s="252"/>
      <c r="E49" s="252"/>
      <c r="F49" s="339" t="s">
        <v>284</v>
      </c>
      <c r="G49" s="252"/>
      <c r="H49" s="434" t="n">
        <f aca="false">PGL_Supplies!I7/1000</f>
        <v>15</v>
      </c>
      <c r="I49" s="536" t="s">
        <v>0</v>
      </c>
    </row>
    <row r="50" customFormat="false" ht="15.75" hidden="false" customHeight="false" outlineLevel="0" collapsed="false">
      <c r="A50" s="236" t="s">
        <v>320</v>
      </c>
      <c r="B50" s="237" t="n">
        <f aca="false">PGL_Supplies!M7/1000</f>
        <v>0</v>
      </c>
      <c r="C50" s="252"/>
      <c r="D50" s="252"/>
      <c r="E50" s="252"/>
      <c r="F50" s="264" t="s">
        <v>286</v>
      </c>
      <c r="G50" s="537"/>
      <c r="H50" s="266" t="n">
        <v>0</v>
      </c>
      <c r="I50" s="538"/>
    </row>
    <row r="51" customFormat="false" ht="15.75" hidden="false" customHeight="false" outlineLevel="0" collapsed="false">
      <c r="A51" s="236" t="s">
        <v>323</v>
      </c>
      <c r="B51" s="237" t="n">
        <f aca="false">SUM(PGL_Requirements!B7/1000)</f>
        <v>0</v>
      </c>
      <c r="C51" s="252"/>
      <c r="D51" s="252"/>
      <c r="E51" s="252"/>
      <c r="F51" s="539" t="s">
        <v>290</v>
      </c>
      <c r="G51" s="292"/>
      <c r="H51" s="283" t="n">
        <f aca="false">H49+H50</f>
        <v>15</v>
      </c>
      <c r="I51" s="540" t="s">
        <v>0</v>
      </c>
    </row>
    <row r="52" customFormat="false" ht="16.5" hidden="false" customHeight="false" outlineLevel="0" collapsed="false">
      <c r="A52" s="236" t="s">
        <v>326</v>
      </c>
      <c r="B52" s="237" t="n">
        <f aca="false">PGL_Supplies!H7/1000</f>
        <v>1</v>
      </c>
      <c r="C52" s="252"/>
      <c r="D52" s="252"/>
      <c r="E52" s="252"/>
      <c r="F52" s="541" t="s">
        <v>321</v>
      </c>
      <c r="G52" s="541"/>
      <c r="H52" s="541"/>
      <c r="I52" s="541"/>
    </row>
    <row r="53" customFormat="false" ht="15" hidden="false" customHeight="false" outlineLevel="0" collapsed="false">
      <c r="A53" s="364" t="s">
        <v>329</v>
      </c>
      <c r="B53" s="237" t="n">
        <f aca="false">PGL_Requirements!R7/1000</f>
        <v>0.68</v>
      </c>
      <c r="C53" s="252"/>
      <c r="D53" s="252"/>
      <c r="E53" s="252"/>
      <c r="F53" s="350" t="s">
        <v>324</v>
      </c>
      <c r="G53" s="542"/>
      <c r="H53" s="543" t="n">
        <f aca="false">+PGL_Supplies!K7/1000</f>
        <v>0</v>
      </c>
    </row>
    <row r="54" customFormat="false" ht="16.5" hidden="false" customHeight="false" outlineLevel="0" collapsed="false">
      <c r="A54" s="236" t="s">
        <v>332</v>
      </c>
      <c r="B54" s="237" t="n">
        <f aca="false">PGL_Requirements!Q7/1000</f>
        <v>2.25</v>
      </c>
      <c r="C54" s="280"/>
      <c r="D54" s="280"/>
      <c r="E54" s="280"/>
      <c r="F54" s="541" t="s">
        <v>358</v>
      </c>
      <c r="G54" s="541"/>
      <c r="H54" s="541"/>
      <c r="I54" s="541"/>
    </row>
    <row r="55" customFormat="false" ht="16.5" hidden="false" customHeight="false" outlineLevel="0" collapsed="false">
      <c r="A55" s="289" t="s">
        <v>290</v>
      </c>
      <c r="B55" s="544" t="n">
        <f aca="false">-B49+B50+B52-B53-B51+B56+B57</f>
        <v>-149.68</v>
      </c>
      <c r="C55" s="382"/>
      <c r="D55" s="382"/>
      <c r="E55" s="476"/>
      <c r="F55" s="505" t="s">
        <v>361</v>
      </c>
      <c r="G55" s="545"/>
      <c r="H55" s="340"/>
      <c r="I55" s="546" t="n">
        <f aca="false">PGL_Requirements!E7/1000</f>
        <v>2.7</v>
      </c>
    </row>
    <row r="56" customFormat="false" ht="15" hidden="false" customHeight="false" outlineLevel="0" collapsed="false">
      <c r="A56" s="236" t="s">
        <v>337</v>
      </c>
      <c r="B56" s="237" t="n">
        <v>0</v>
      </c>
      <c r="C56" s="385"/>
      <c r="D56" s="385"/>
      <c r="E56" s="547"/>
      <c r="F56" s="364" t="s">
        <v>365</v>
      </c>
      <c r="G56" s="457"/>
      <c r="H56" s="434" t="n">
        <f aca="false">PGL_Supplies!E7/1000</f>
        <v>0</v>
      </c>
      <c r="I56" s="473" t="s">
        <v>0</v>
      </c>
    </row>
    <row r="57" customFormat="false" ht="15" hidden="false" customHeight="false" outlineLevel="0" collapsed="false">
      <c r="A57" s="236" t="s">
        <v>339</v>
      </c>
      <c r="B57" s="548" t="n">
        <v>0</v>
      </c>
      <c r="C57" s="340"/>
      <c r="D57" s="340"/>
      <c r="E57" s="549"/>
      <c r="F57" s="236" t="s">
        <v>162</v>
      </c>
      <c r="G57" s="550"/>
      <c r="H57" s="434" t="n">
        <f aca="false">PGL_Supplies!AB7/1000+NSG_Supplies!N7/1000</f>
        <v>197.547</v>
      </c>
      <c r="I57" s="473" t="s">
        <v>0</v>
      </c>
    </row>
    <row r="58" customFormat="false" ht="15.75" hidden="false" customHeight="false" outlineLevel="0" collapsed="false">
      <c r="A58" s="236" t="s">
        <v>342</v>
      </c>
      <c r="B58" s="402" t="n">
        <f aca="false">SUM(B31)</f>
        <v>24</v>
      </c>
      <c r="C58" s="310"/>
      <c r="D58" s="551"/>
      <c r="E58" s="552"/>
      <c r="F58" s="40" t="s">
        <v>370</v>
      </c>
      <c r="G58" s="40"/>
      <c r="H58" s="434" t="n">
        <f aca="false">PGL_Supplies!T7/1000</f>
        <v>7</v>
      </c>
      <c r="I58" s="263"/>
    </row>
    <row r="59" customFormat="false" ht="16.5" hidden="false" customHeight="false" outlineLevel="0" collapsed="false">
      <c r="A59" s="293" t="s">
        <v>0</v>
      </c>
      <c r="B59" s="553"/>
      <c r="C59" s="294" t="s">
        <v>40</v>
      </c>
      <c r="D59" s="295"/>
      <c r="E59" s="554"/>
      <c r="F59" s="40" t="s">
        <v>391</v>
      </c>
      <c r="G59" s="40"/>
      <c r="H59" s="345"/>
      <c r="I59" s="555" t="n">
        <f aca="false">PGL_Requirements!H7/1000</f>
        <v>0</v>
      </c>
    </row>
    <row r="60" customFormat="false" ht="16.5" hidden="false" customHeight="false" outlineLevel="0" collapsed="false">
      <c r="A60" s="236" t="s">
        <v>294</v>
      </c>
      <c r="B60" s="237" t="n">
        <f aca="false">PGL_Supplies!Q7/1000</f>
        <v>0</v>
      </c>
      <c r="C60" s="305" t="s">
        <v>0</v>
      </c>
      <c r="D60" s="252"/>
      <c r="E60" s="556"/>
      <c r="F60" s="405" t="s">
        <v>373</v>
      </c>
      <c r="G60" s="468"/>
      <c r="H60" s="468"/>
      <c r="I60" s="485" t="n">
        <f aca="false">H56+H57+H58-I55</f>
        <v>201.847</v>
      </c>
    </row>
    <row r="61" customFormat="false" ht="15" hidden="false" customHeight="false" outlineLevel="0" collapsed="false">
      <c r="A61" s="236" t="s">
        <v>296</v>
      </c>
      <c r="B61" s="253" t="n">
        <f aca="false">PGL_Requirements!F7/1000</f>
        <v>4</v>
      </c>
      <c r="C61" s="305" t="s">
        <v>0</v>
      </c>
      <c r="D61" s="252"/>
      <c r="E61" s="556"/>
      <c r="F61" s="557" t="s">
        <v>392</v>
      </c>
      <c r="G61" s="558"/>
      <c r="H61" s="487"/>
      <c r="I61" s="488" t="n">
        <v>0</v>
      </c>
    </row>
    <row r="62" customFormat="false" ht="15" hidden="false" customHeight="false" outlineLevel="0" collapsed="false">
      <c r="A62" s="236" t="s">
        <v>300</v>
      </c>
      <c r="B62" s="237" t="n">
        <f aca="false">PGL_Supplies!G7/1000</f>
        <v>0</v>
      </c>
      <c r="C62" s="237"/>
      <c r="D62" s="252"/>
      <c r="E62" s="466"/>
      <c r="F62" s="559" t="s">
        <v>393</v>
      </c>
      <c r="G62" s="310"/>
      <c r="H62" s="492" t="s">
        <v>0</v>
      </c>
      <c r="I62" s="493" t="n">
        <f aca="false">I60-I61-I63</f>
        <v>201.847</v>
      </c>
    </row>
    <row r="63" customFormat="false" ht="15.75" hidden="false" customHeight="false" outlineLevel="0" collapsed="false">
      <c r="A63" s="236" t="s">
        <v>162</v>
      </c>
      <c r="B63" s="318" t="n">
        <f aca="false">PGL_Supplies!AD7/1000</f>
        <v>4</v>
      </c>
      <c r="C63" s="319"/>
      <c r="D63" s="280"/>
      <c r="E63" s="560"/>
      <c r="F63" s="561" t="s">
        <v>394</v>
      </c>
      <c r="G63" s="357"/>
      <c r="H63" s="268"/>
      <c r="I63" s="500" t="n">
        <f aca="false">I64</f>
        <v>0</v>
      </c>
    </row>
    <row r="64" customFormat="false" ht="16.5" hidden="false" customHeight="false" outlineLevel="0" collapsed="false">
      <c r="A64" s="324" t="s">
        <v>306</v>
      </c>
      <c r="B64" s="325" t="n">
        <f aca="false">+B63+B62-B61+B60</f>
        <v>0</v>
      </c>
      <c r="C64" s="282" t="s">
        <v>0</v>
      </c>
      <c r="D64" s="292"/>
      <c r="E64" s="476"/>
      <c r="F64" s="562" t="s">
        <v>395</v>
      </c>
      <c r="G64" s="270"/>
      <c r="H64" s="317"/>
      <c r="I64" s="500" t="n">
        <f aca="false">(PGL_Requirements!H7)/1000</f>
        <v>0</v>
      </c>
    </row>
    <row r="65" customFormat="false" ht="15.75" hidden="false" customHeight="false" outlineLevel="0" collapsed="false">
      <c r="A65" s="350" t="s">
        <v>396</v>
      </c>
      <c r="B65" s="563"/>
      <c r="C65" s="564" t="s">
        <v>0</v>
      </c>
      <c r="D65" s="564" t="s">
        <v>0</v>
      </c>
      <c r="E65" s="565" t="s">
        <v>0</v>
      </c>
      <c r="F65" s="566" t="s">
        <v>383</v>
      </c>
      <c r="H65" s="317"/>
      <c r="I65" s="567" t="n">
        <f aca="false">+I61+I62+I63-I66-I64</f>
        <v>201.847</v>
      </c>
      <c r="P65" s="350"/>
      <c r="Q65" s="563"/>
      <c r="R65" s="564"/>
      <c r="S65" s="564"/>
    </row>
    <row r="66" customFormat="false" ht="15.75" hidden="false" customHeight="false" outlineLevel="0" collapsed="false">
      <c r="A66" s="364" t="s">
        <v>397</v>
      </c>
      <c r="B66" s="568"/>
      <c r="C66" s="569" t="s">
        <v>0</v>
      </c>
      <c r="D66" s="569" t="s">
        <v>0</v>
      </c>
      <c r="E66" s="570" t="s">
        <v>0</v>
      </c>
      <c r="F66" s="571" t="s">
        <v>398</v>
      </c>
      <c r="G66" s="271"/>
      <c r="H66" s="572"/>
      <c r="I66" s="500" t="n">
        <f aca="false">PGL_Requirements!K7/1000</f>
        <v>0</v>
      </c>
      <c r="P66" s="364"/>
      <c r="Q66" s="568"/>
      <c r="R66" s="569"/>
      <c r="S66" s="569"/>
    </row>
    <row r="67" customFormat="false" ht="16.5" hidden="false" customHeight="false" outlineLevel="0" collapsed="false">
      <c r="A67" s="573" t="s">
        <v>399</v>
      </c>
      <c r="B67" s="574"/>
      <c r="C67" s="575" t="s">
        <v>0</v>
      </c>
      <c r="D67" s="575" t="s">
        <v>0</v>
      </c>
      <c r="E67" s="576" t="s">
        <v>0</v>
      </c>
      <c r="F67" s="541" t="s">
        <v>400</v>
      </c>
      <c r="G67" s="541"/>
      <c r="H67" s="541"/>
      <c r="I67" s="541"/>
      <c r="P67" s="573"/>
      <c r="Q67" s="574"/>
      <c r="R67" s="575"/>
      <c r="S67" s="575"/>
    </row>
    <row r="68" customFormat="false" ht="16.5" hidden="false" customHeight="false" outlineLevel="0" collapsed="false">
      <c r="A68" s="577" t="s">
        <v>401</v>
      </c>
      <c r="B68" s="578" t="s">
        <v>0</v>
      </c>
      <c r="C68" s="579" t="s">
        <v>0</v>
      </c>
      <c r="D68" s="579" t="s">
        <v>0</v>
      </c>
      <c r="E68" s="580" t="s">
        <v>0</v>
      </c>
      <c r="F68" s="333" t="s">
        <v>312</v>
      </c>
      <c r="G68" s="535" t="s">
        <v>0</v>
      </c>
      <c r="H68" s="334" t="s">
        <v>0</v>
      </c>
      <c r="I68" s="581" t="s">
        <v>0</v>
      </c>
      <c r="P68" s="577"/>
      <c r="Q68" s="578"/>
      <c r="R68" s="579"/>
      <c r="S68" s="579"/>
    </row>
    <row r="69" customFormat="false" ht="16.5" hidden="false" customHeight="false" outlineLevel="0" collapsed="false">
      <c r="A69" s="582" t="s">
        <v>402</v>
      </c>
      <c r="B69" s="367"/>
      <c r="C69" s="40"/>
      <c r="D69" s="367"/>
      <c r="E69" s="40"/>
      <c r="F69" s="339" t="s">
        <v>315</v>
      </c>
      <c r="G69" s="252"/>
      <c r="H69" s="340"/>
      <c r="I69" s="583"/>
      <c r="P69" s="582"/>
      <c r="Q69" s="367"/>
      <c r="R69" s="40"/>
      <c r="S69" s="367"/>
    </row>
    <row r="70" customFormat="false" ht="16.5" hidden="false" customHeight="false" outlineLevel="0" collapsed="false">
      <c r="A70" s="289" t="s">
        <v>403</v>
      </c>
      <c r="B70" s="584" t="s">
        <v>0</v>
      </c>
      <c r="C70" s="585" t="s">
        <v>0</v>
      </c>
      <c r="D70" s="585" t="s">
        <v>0</v>
      </c>
      <c r="E70" s="586" t="s">
        <v>0</v>
      </c>
      <c r="F70" s="587"/>
      <c r="I70" s="588"/>
      <c r="P70" s="289"/>
      <c r="Q70" s="584"/>
      <c r="R70" s="585"/>
      <c r="S70" s="585"/>
      <c r="T70" s="587"/>
      <c r="W70" s="588"/>
    </row>
    <row r="71" customFormat="false" ht="16.5" hidden="false" customHeight="false" outlineLevel="0" collapsed="false">
      <c r="A71" s="589" t="s">
        <v>404</v>
      </c>
      <c r="B71" s="590" t="s">
        <v>0</v>
      </c>
      <c r="C71" s="591" t="s">
        <v>0</v>
      </c>
      <c r="D71" s="591" t="s">
        <v>0</v>
      </c>
      <c r="E71" s="592" t="s">
        <v>0</v>
      </c>
      <c r="F71" s="593" t="s">
        <v>405</v>
      </c>
      <c r="G71" s="511"/>
      <c r="H71" s="512" t="s">
        <v>406</v>
      </c>
      <c r="I71" s="594" t="s">
        <v>0</v>
      </c>
      <c r="P71" s="589"/>
      <c r="Q71" s="590"/>
      <c r="R71" s="591"/>
      <c r="S71" s="591"/>
      <c r="T71" s="593" t="s">
        <v>405</v>
      </c>
      <c r="U71" s="511"/>
      <c r="V71" s="512" t="s">
        <v>406</v>
      </c>
      <c r="W71" s="594" t="s">
        <v>0</v>
      </c>
    </row>
    <row r="72" customFormat="false" ht="15.75" hidden="false" customHeight="false" outlineLevel="0" collapsed="false"/>
  </sheetData>
  <mergeCells count="8">
    <mergeCell ref="V1:W1"/>
    <mergeCell ref="F30:I30"/>
    <mergeCell ref="Q31:S31"/>
    <mergeCell ref="X31:AD31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747916666666667" right="0" top="0.5" bottom="0.25" header="0.511811023622047" footer="0.25"/>
  <pageSetup paperSize="5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595" t="s">
        <v>0</v>
      </c>
      <c r="B1" s="596"/>
      <c r="C1" s="596" t="s">
        <v>0</v>
      </c>
      <c r="D1" s="597"/>
      <c r="E1" s="216" t="s">
        <v>271</v>
      </c>
      <c r="F1" s="216" t="str">
        <f aca="false">CHOOSE(WEEKDAY(G1),"SUN","MON","TUE","WED","THU","FRI","SAT")</f>
        <v>SAT</v>
      </c>
      <c r="G1" s="598" t="n">
        <f aca="false">Weather_Input!A5</f>
        <v>37037</v>
      </c>
      <c r="H1" s="216" t="s">
        <v>272</v>
      </c>
      <c r="I1" s="220"/>
    </row>
    <row r="2" customFormat="false" ht="20.25" hidden="false" customHeight="false" outlineLevel="0" collapsed="false">
      <c r="A2" s="599" t="s">
        <v>0</v>
      </c>
      <c r="B2" s="600" t="s">
        <v>407</v>
      </c>
      <c r="C2" s="601" t="n">
        <v>53.8</v>
      </c>
      <c r="D2" s="38" t="s">
        <v>275</v>
      </c>
      <c r="E2" s="602"/>
      <c r="F2" s="38" t="s">
        <v>276</v>
      </c>
      <c r="G2" s="602"/>
      <c r="H2" s="603" t="s">
        <v>408</v>
      </c>
      <c r="I2" s="604"/>
    </row>
    <row r="3" customFormat="false" ht="20.25" hidden="false" customHeight="false" outlineLevel="0" collapsed="false">
      <c r="A3" s="605" t="s">
        <v>409</v>
      </c>
      <c r="B3" s="606" t="s">
        <v>17</v>
      </c>
      <c r="C3" s="607"/>
      <c r="D3" s="608" t="s">
        <v>17</v>
      </c>
      <c r="E3" s="607" t="s">
        <v>18</v>
      </c>
      <c r="F3" s="608" t="s">
        <v>17</v>
      </c>
      <c r="G3" s="608" t="s">
        <v>18</v>
      </c>
      <c r="H3" s="606" t="s">
        <v>17</v>
      </c>
      <c r="I3" s="609" t="s">
        <v>18</v>
      </c>
    </row>
    <row r="4" customFormat="false" ht="21" hidden="false" customHeight="false" outlineLevel="0" collapsed="false">
      <c r="A4" s="610"/>
      <c r="B4" s="611" t="n">
        <f aca="false">Weather_Input!B5</f>
        <v>56</v>
      </c>
      <c r="C4" s="612" t="n">
        <f aca="false">Weather_Input!C5</f>
        <v>47</v>
      </c>
      <c r="D4" s="613"/>
      <c r="E4" s="614"/>
      <c r="F4" s="613"/>
      <c r="G4" s="614"/>
      <c r="H4" s="615"/>
      <c r="I4" s="616"/>
    </row>
    <row r="5" customFormat="false" ht="24" hidden="false" customHeight="false" outlineLevel="0" collapsed="false">
      <c r="A5" s="617" t="s">
        <v>217</v>
      </c>
      <c r="B5" s="618"/>
      <c r="C5" s="619" t="n">
        <f aca="false">NSG_Deliveries!C5/1000</f>
        <v>60</v>
      </c>
      <c r="D5" s="618"/>
      <c r="E5" s="620"/>
      <c r="F5" s="618"/>
      <c r="G5" s="620" t="s">
        <v>0</v>
      </c>
      <c r="H5" s="618"/>
      <c r="I5" s="621"/>
    </row>
    <row r="6" customFormat="false" ht="12" hidden="false" customHeight="true" outlineLevel="0" collapsed="false">
      <c r="A6" s="622" t="s">
        <v>0</v>
      </c>
      <c r="B6" s="623"/>
      <c r="C6" s="624"/>
      <c r="D6" s="625"/>
      <c r="E6" s="624"/>
      <c r="F6" s="625"/>
      <c r="G6" s="625"/>
      <c r="H6" s="623"/>
      <c r="I6" s="626"/>
    </row>
    <row r="7" customFormat="false" ht="24" hidden="false" customHeight="false" outlineLevel="0" collapsed="false">
      <c r="A7" s="627" t="s">
        <v>126</v>
      </c>
      <c r="B7" s="618"/>
      <c r="C7" s="628" t="n">
        <f aca="false">C5-C9-C11-C12</f>
        <v>36.7</v>
      </c>
      <c r="D7" s="629"/>
      <c r="E7" s="620"/>
      <c r="F7" s="629"/>
      <c r="G7" s="629" t="s">
        <v>0</v>
      </c>
      <c r="H7" s="618"/>
      <c r="I7" s="621"/>
    </row>
    <row r="8" customFormat="false" ht="12" hidden="false" customHeight="true" outlineLevel="0" collapsed="false">
      <c r="A8" s="622"/>
      <c r="B8" s="630"/>
      <c r="C8" s="624"/>
      <c r="D8" s="625"/>
      <c r="E8" s="624"/>
      <c r="F8" s="625"/>
      <c r="G8" s="625"/>
      <c r="H8" s="623"/>
      <c r="I8" s="626"/>
    </row>
    <row r="9" customFormat="false" ht="21" hidden="false" customHeight="true" outlineLevel="0" collapsed="false">
      <c r="A9" s="631" t="s">
        <v>410</v>
      </c>
      <c r="B9" s="632"/>
      <c r="C9" s="633" t="n">
        <f aca="false">B46</f>
        <v>23.3</v>
      </c>
      <c r="D9" s="634"/>
      <c r="E9" s="635"/>
      <c r="F9" s="634"/>
      <c r="G9" s="634"/>
      <c r="H9" s="632"/>
      <c r="I9" s="636"/>
    </row>
    <row r="10" customFormat="false" ht="12" hidden="false" customHeight="true" outlineLevel="0" collapsed="false">
      <c r="A10" s="637"/>
      <c r="B10" s="630"/>
      <c r="C10" s="624"/>
      <c r="D10" s="638"/>
      <c r="E10" s="639"/>
      <c r="F10" s="638"/>
      <c r="G10" s="638"/>
      <c r="H10" s="630"/>
      <c r="I10" s="640"/>
    </row>
    <row r="11" customFormat="false" ht="23.25" hidden="false" customHeight="false" outlineLevel="0" collapsed="false">
      <c r="A11" s="641" t="s">
        <v>411</v>
      </c>
      <c r="B11" s="642"/>
      <c r="C11" s="643" t="n">
        <f aca="false">B38</f>
        <v>0</v>
      </c>
      <c r="D11" s="634"/>
      <c r="E11" s="635"/>
      <c r="F11" s="634"/>
      <c r="G11" s="634" t="s">
        <v>0</v>
      </c>
      <c r="H11" s="632"/>
      <c r="I11" s="636"/>
    </row>
    <row r="12" customFormat="false" ht="23.25" hidden="false" customHeight="false" outlineLevel="0" collapsed="false">
      <c r="A12" s="644" t="s">
        <v>412</v>
      </c>
      <c r="B12" s="645"/>
      <c r="C12" s="646" t="n">
        <v>0</v>
      </c>
      <c r="D12" s="647"/>
      <c r="E12" s="648"/>
      <c r="F12" s="647"/>
      <c r="G12" s="647"/>
      <c r="H12" s="645"/>
      <c r="I12" s="649"/>
    </row>
    <row r="13" customFormat="false" ht="21" hidden="false" customHeight="false" outlineLevel="0" collapsed="false">
      <c r="A13" s="650" t="s">
        <v>147</v>
      </c>
      <c r="B13" s="651"/>
      <c r="C13" s="652"/>
      <c r="D13" s="647"/>
      <c r="E13" s="648"/>
      <c r="F13" s="647"/>
      <c r="G13" s="647"/>
      <c r="H13" s="645"/>
      <c r="I13" s="649"/>
    </row>
    <row r="14" customFormat="false" ht="21" hidden="false" customHeight="false" outlineLevel="0" collapsed="false">
      <c r="A14" s="650" t="s">
        <v>169</v>
      </c>
      <c r="B14" s="653"/>
      <c r="C14" s="654"/>
      <c r="D14" s="653"/>
      <c r="E14" s="654"/>
      <c r="F14" s="653"/>
      <c r="G14" s="653"/>
      <c r="H14" s="655"/>
      <c r="I14" s="656"/>
    </row>
    <row r="15" customFormat="false" ht="24" hidden="false" customHeight="false" outlineLevel="0" collapsed="false">
      <c r="A15" s="657" t="s">
        <v>413</v>
      </c>
      <c r="B15" s="658"/>
      <c r="C15" s="628" t="n">
        <v>0</v>
      </c>
      <c r="D15" s="659"/>
      <c r="E15" s="660"/>
      <c r="F15" s="659"/>
      <c r="G15" s="659" t="s">
        <v>0</v>
      </c>
      <c r="H15" s="658"/>
      <c r="I15" s="661"/>
    </row>
    <row r="16" customFormat="false" ht="21" hidden="false" customHeight="false" outlineLevel="0" collapsed="false">
      <c r="A16" s="662" t="s">
        <v>0</v>
      </c>
      <c r="B16" s="623"/>
      <c r="C16" s="624"/>
      <c r="D16" s="625"/>
      <c r="E16" s="624"/>
      <c r="F16" s="625"/>
      <c r="G16" s="625"/>
      <c r="H16" s="623"/>
      <c r="I16" s="626"/>
    </row>
    <row r="17" customFormat="false" ht="24" hidden="false" customHeight="false" outlineLevel="0" collapsed="false">
      <c r="A17" s="663" t="s">
        <v>414</v>
      </c>
      <c r="B17" s="664"/>
      <c r="C17" s="665" t="s">
        <v>0</v>
      </c>
      <c r="D17" s="666"/>
      <c r="E17" s="667"/>
      <c r="F17" s="666"/>
      <c r="G17" s="666"/>
      <c r="H17" s="664"/>
      <c r="I17" s="668"/>
    </row>
    <row r="18" customFormat="false" ht="21" hidden="false" customHeight="false" outlineLevel="0" collapsed="false">
      <c r="A18" s="669" t="s">
        <v>415</v>
      </c>
      <c r="B18" s="623"/>
      <c r="C18" s="624" t="s">
        <v>0</v>
      </c>
      <c r="D18" s="625"/>
      <c r="E18" s="624"/>
      <c r="F18" s="625"/>
      <c r="G18" s="375" t="s">
        <v>331</v>
      </c>
      <c r="H18" s="623"/>
      <c r="I18" s="670"/>
    </row>
    <row r="19" customFormat="false" ht="24" hidden="false" customHeight="false" outlineLevel="0" collapsed="false">
      <c r="A19" s="671" t="s">
        <v>344</v>
      </c>
      <c r="B19" s="672"/>
      <c r="C19" s="673" t="n">
        <f aca="false">C7+C12</f>
        <v>36.7</v>
      </c>
      <c r="D19" s="674"/>
      <c r="E19" s="675"/>
      <c r="F19" s="674"/>
      <c r="G19" s="674" t="s">
        <v>0</v>
      </c>
      <c r="H19" s="672"/>
      <c r="I19" s="676"/>
    </row>
    <row r="20" customFormat="false" ht="20.25" hidden="false" customHeight="false" outlineLevel="0" collapsed="false">
      <c r="A20" s="677" t="s">
        <v>416</v>
      </c>
      <c r="B20" s="678"/>
      <c r="C20" s="679" t="n">
        <f aca="false">NSG_Requirements!C7/1000</f>
        <v>0</v>
      </c>
      <c r="D20" s="680"/>
      <c r="E20" s="679" t="n">
        <f aca="false">NSG_Requirements!C7/1000</f>
        <v>0</v>
      </c>
      <c r="F20" s="680"/>
      <c r="G20" s="679" t="n">
        <f aca="false">NSG_Requirements!C7/1000</f>
        <v>0</v>
      </c>
      <c r="H20" s="678"/>
      <c r="I20" s="681" t="n">
        <f aca="false">NSG_Requirements!C7/1000</f>
        <v>0</v>
      </c>
    </row>
    <row r="21" customFormat="false" ht="20.25" hidden="false" customHeight="false" outlineLevel="0" collapsed="false">
      <c r="A21" s="682" t="s">
        <v>417</v>
      </c>
      <c r="B21" s="683"/>
      <c r="C21" s="679" t="n">
        <f aca="false">NSG_Requirements!R7/1000</f>
        <v>0</v>
      </c>
      <c r="D21" s="684"/>
      <c r="E21" s="679" t="n">
        <f aca="false">NSG_Requirements!R7/1000</f>
        <v>0</v>
      </c>
      <c r="F21" s="684"/>
      <c r="G21" s="679" t="n">
        <f aca="false">NSG_Requirements!R7/1000</f>
        <v>0</v>
      </c>
      <c r="H21" s="683"/>
      <c r="I21" s="685" t="n">
        <f aca="false">NSG_Requirements!R7/1000</f>
        <v>0</v>
      </c>
    </row>
    <row r="22" customFormat="false" ht="20.25" hidden="false" customHeight="false" outlineLevel="0" collapsed="false">
      <c r="A22" s="682" t="s">
        <v>418</v>
      </c>
      <c r="B22" s="686"/>
      <c r="C22" s="679" t="n">
        <f aca="false">NSG_Supplies!K7/1000</f>
        <v>0</v>
      </c>
      <c r="D22" s="687"/>
      <c r="E22" s="679" t="n">
        <f aca="false">NSG_Supplies!K7/1000</f>
        <v>0</v>
      </c>
      <c r="F22" s="687"/>
      <c r="G22" s="679" t="n">
        <f aca="false">NSG_Supplies!K7/1000</f>
        <v>0</v>
      </c>
      <c r="H22" s="686"/>
      <c r="I22" s="688" t="n">
        <f aca="false">NSG_Supplies!K7/1000</f>
        <v>0</v>
      </c>
    </row>
    <row r="23" customFormat="false" ht="20.25" hidden="false" customHeight="false" outlineLevel="0" collapsed="false">
      <c r="A23" s="677" t="s">
        <v>419</v>
      </c>
      <c r="B23" s="686"/>
      <c r="C23" s="689" t="n">
        <f aca="false">-(PGL_Requirements!$Y$7+PGL_Requirements!$Z$7+PGL_Requirements!$AA$7+PGL_Requirements!$AB$7)/1000+(NSG_Requirements!$Y$7+NSG_Requirements!$Z$7+NSG_Requirements!$AA$7)/1000</f>
        <v>0</v>
      </c>
      <c r="D23" s="690"/>
      <c r="E23" s="689" t="n">
        <f aca="false">-(PGL_Requirements!$Y$7+PGL_Requirements!$Z$7+PGL_Requirements!$AA$7+PGL_Requirements!$AB$7)/1000+(NSG_Requirements!$Y$7+NSG_Requirements!$Z$7+NSG_Requirements!$AA$7)/1000</f>
        <v>0</v>
      </c>
      <c r="F23" s="690"/>
      <c r="G23" s="689" t="n">
        <f aca="false">-(PGL_Requirements!$Y$7+PGL_Requirements!$Z$7+PGL_Requirements!$AA$7+PGL_Requirements!$AB$7)/1000+(NSG_Requirements!$Y$7+NSG_Requirements!$Z$7+NSG_Requirements!$AA$7)/1000</f>
        <v>0</v>
      </c>
      <c r="H23" s="683"/>
      <c r="I23" s="691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677" t="s">
        <v>348</v>
      </c>
      <c r="B24" s="686"/>
      <c r="C24" s="679" t="n">
        <f aca="false">NSG_Requirements!H7/1000</f>
        <v>0</v>
      </c>
      <c r="D24" s="687"/>
      <c r="E24" s="679" t="s">
        <v>0</v>
      </c>
      <c r="F24" s="687"/>
      <c r="G24" s="679" t="s">
        <v>0</v>
      </c>
      <c r="H24" s="686"/>
      <c r="I24" s="679" t="s">
        <v>0</v>
      </c>
    </row>
    <row r="25" customFormat="false" ht="20.25" hidden="false" customHeight="false" outlineLevel="0" collapsed="false">
      <c r="A25" s="677" t="s">
        <v>351</v>
      </c>
      <c r="B25" s="683"/>
      <c r="C25" s="679" t="n">
        <f aca="false">-NSG_Supplies!F7/1000</f>
        <v>-6.76</v>
      </c>
      <c r="D25" s="684"/>
      <c r="E25" s="679" t="s">
        <v>0</v>
      </c>
      <c r="F25" s="684"/>
      <c r="G25" s="679" t="s">
        <v>0</v>
      </c>
      <c r="H25" s="683"/>
      <c r="I25" s="679" t="s">
        <v>0</v>
      </c>
    </row>
    <row r="26" customFormat="false" ht="20.25" hidden="false" customHeight="false" outlineLevel="0" collapsed="false">
      <c r="A26" s="677" t="s">
        <v>352</v>
      </c>
      <c r="B26" s="686"/>
      <c r="C26" s="679" t="n">
        <f aca="false">-NSG_Supplies!R7/1000</f>
        <v>-29.943</v>
      </c>
      <c r="D26" s="687"/>
      <c r="E26" s="679" t="n">
        <f aca="false">-NSG_Supplies!R7/1000</f>
        <v>-29.943</v>
      </c>
      <c r="F26" s="687"/>
      <c r="G26" s="679" t="n">
        <f aca="false">-NSG_Supplies!R7/1000</f>
        <v>-29.943</v>
      </c>
      <c r="H26" s="686"/>
      <c r="I26" s="688" t="n">
        <f aca="false">-NSG_Supplies!R7/1000</f>
        <v>-29.943</v>
      </c>
    </row>
    <row r="27" customFormat="false" ht="20.25" hidden="false" customHeight="false" outlineLevel="0" collapsed="false">
      <c r="A27" s="677" t="s">
        <v>420</v>
      </c>
      <c r="B27" s="686"/>
      <c r="C27" s="679" t="n">
        <v>0</v>
      </c>
      <c r="D27" s="687"/>
      <c r="E27" s="679" t="n">
        <v>0</v>
      </c>
      <c r="F27" s="687"/>
      <c r="G27" s="679" t="n">
        <v>0</v>
      </c>
      <c r="H27" s="686"/>
      <c r="I27" s="688" t="n">
        <v>0</v>
      </c>
    </row>
    <row r="28" customFormat="false" ht="21" hidden="false" customHeight="false" outlineLevel="0" collapsed="false">
      <c r="A28" s="692" t="s">
        <v>421</v>
      </c>
      <c r="B28" s="693"/>
      <c r="C28" s="679" t="n">
        <f aca="false">-NSG_Supplies!H7/1000+NSG_Requirements!L7/1000</f>
        <v>0</v>
      </c>
      <c r="D28" s="684"/>
      <c r="E28" s="679" t="n">
        <f aca="false">-NSG_Supplies!H7/1000+NSG_Requirements!L7/1000</f>
        <v>0</v>
      </c>
      <c r="F28" s="684"/>
      <c r="G28" s="679" t="n">
        <f aca="false">-NSG_Supplies!H7/1000+NSG_Requirements!L7/1000</f>
        <v>0</v>
      </c>
      <c r="H28" s="693"/>
      <c r="I28" s="694" t="n">
        <f aca="false">-NSG_Supplies!H7/1000+NSG_Requirements!L7/1000</f>
        <v>0</v>
      </c>
    </row>
    <row r="29" customFormat="false" ht="24" hidden="false" customHeight="false" outlineLevel="0" collapsed="false">
      <c r="A29" s="695"/>
      <c r="B29" s="696"/>
      <c r="C29" s="697" t="s">
        <v>411</v>
      </c>
      <c r="D29" s="696"/>
      <c r="E29" s="698"/>
      <c r="F29" s="696"/>
      <c r="G29" s="699" t="s">
        <v>0</v>
      </c>
      <c r="H29" s="696"/>
      <c r="I29" s="700"/>
    </row>
    <row r="30" customFormat="false" ht="20.25" hidden="false" customHeight="false" outlineLevel="0" collapsed="false">
      <c r="A30" s="701" t="s">
        <v>422</v>
      </c>
      <c r="B30" s="702" t="n">
        <f aca="false">NSG_Requirements!O7/1000</f>
        <v>0</v>
      </c>
      <c r="C30" s="703" t="s">
        <v>0</v>
      </c>
      <c r="D30" s="704"/>
      <c r="E30" s="705"/>
      <c r="F30" s="706" t="s">
        <v>423</v>
      </c>
      <c r="G30" s="707"/>
      <c r="H30" s="707"/>
      <c r="I30" s="708"/>
    </row>
    <row r="31" customFormat="false" ht="20.25" hidden="false" customHeight="false" outlineLevel="0" collapsed="false">
      <c r="A31" s="709" t="s">
        <v>424</v>
      </c>
      <c r="B31" s="710" t="n">
        <f aca="false">NSG_Supplies!L7/1000+PGL_Requirements!V7/1000</f>
        <v>0</v>
      </c>
      <c r="C31" s="687"/>
      <c r="D31" s="711"/>
      <c r="E31" s="712"/>
      <c r="F31" s="690"/>
      <c r="G31" s="684"/>
      <c r="H31" s="684"/>
      <c r="I31" s="708"/>
    </row>
    <row r="32" customFormat="false" ht="20.25" hidden="false" customHeight="false" outlineLevel="0" collapsed="false">
      <c r="A32" s="709" t="s">
        <v>425</v>
      </c>
      <c r="B32" s="710" t="n">
        <f aca="false">NSG_Supplies!M7/1000</f>
        <v>0</v>
      </c>
      <c r="C32" s="684"/>
      <c r="D32" s="713"/>
      <c r="E32" s="714"/>
      <c r="F32" s="690"/>
      <c r="G32" s="684"/>
      <c r="H32" s="684"/>
      <c r="I32" s="708"/>
    </row>
    <row r="33" customFormat="false" ht="20.25" hidden="false" customHeight="false" outlineLevel="0" collapsed="false">
      <c r="A33" s="701" t="s">
        <v>426</v>
      </c>
      <c r="B33" s="715" t="n">
        <f aca="false">(NSG_Requirements!S7+NSG_Requirements!T7+NSG_Requirements!U7)/1000</f>
        <v>0</v>
      </c>
      <c r="C33" s="687"/>
      <c r="D33" s="711"/>
      <c r="E33" s="712"/>
      <c r="F33" s="690"/>
      <c r="G33" s="684"/>
      <c r="H33" s="684"/>
      <c r="I33" s="708"/>
    </row>
    <row r="34" customFormat="false" ht="20.25" hidden="false" customHeight="false" outlineLevel="0" collapsed="false">
      <c r="A34" s="701" t="s">
        <v>427</v>
      </c>
      <c r="B34" s="710" t="n">
        <f aca="false">NSG_Requirements!D7/1000</f>
        <v>0</v>
      </c>
      <c r="C34" s="687"/>
      <c r="D34" s="711"/>
      <c r="E34" s="712"/>
      <c r="F34" s="690"/>
      <c r="G34" s="684"/>
      <c r="H34" s="684"/>
      <c r="I34" s="708"/>
    </row>
    <row r="35" customFormat="false" ht="20.25" hidden="false" customHeight="false" outlineLevel="0" collapsed="false">
      <c r="A35" s="709" t="s">
        <v>428</v>
      </c>
      <c r="B35" s="715" t="n">
        <f aca="false">NSG_Requirements!B7/1000</f>
        <v>0</v>
      </c>
      <c r="C35" s="687"/>
      <c r="D35" s="711"/>
      <c r="E35" s="712"/>
      <c r="F35" s="690"/>
      <c r="G35" s="684"/>
      <c r="H35" s="684"/>
      <c r="I35" s="708"/>
    </row>
    <row r="36" customFormat="false" ht="20.25" hidden="false" customHeight="false" outlineLevel="0" collapsed="false">
      <c r="A36" s="709" t="s">
        <v>429</v>
      </c>
      <c r="B36" s="715" t="n">
        <f aca="false">NSG_Supplies!B7/1000</f>
        <v>0</v>
      </c>
      <c r="C36" s="687"/>
      <c r="D36" s="711"/>
      <c r="E36" s="712"/>
      <c r="F36" s="690"/>
      <c r="G36" s="684"/>
      <c r="H36" s="684"/>
      <c r="I36" s="708"/>
    </row>
    <row r="37" customFormat="false" ht="21" hidden="false" customHeight="false" outlineLevel="0" collapsed="false">
      <c r="A37" s="701" t="s">
        <v>162</v>
      </c>
      <c r="B37" s="710" t="n">
        <f aca="false">NSG_Supplies!P7/1000</f>
        <v>0</v>
      </c>
      <c r="C37" s="716"/>
      <c r="D37" s="717"/>
      <c r="E37" s="718"/>
      <c r="F37" s="690"/>
      <c r="G37" s="684"/>
      <c r="H37" s="684"/>
      <c r="I37" s="708"/>
    </row>
    <row r="38" customFormat="false" ht="21" hidden="false" customHeight="false" outlineLevel="0" collapsed="false">
      <c r="A38" s="719" t="s">
        <v>430</v>
      </c>
      <c r="B38" s="720" t="n">
        <f aca="false">-B30+B31+B32-B33-B34-B35+B36+B37</f>
        <v>0</v>
      </c>
      <c r="C38" s="690"/>
      <c r="D38" s="721"/>
      <c r="E38" s="722"/>
      <c r="F38" s="690"/>
      <c r="G38" s="684"/>
      <c r="H38" s="684"/>
      <c r="I38" s="708"/>
    </row>
    <row r="39" customFormat="false" ht="24" hidden="false" customHeight="false" outlineLevel="0" collapsed="false">
      <c r="A39" s="695"/>
      <c r="B39" s="696"/>
      <c r="C39" s="697" t="s">
        <v>431</v>
      </c>
      <c r="D39" s="696"/>
      <c r="E39" s="698"/>
      <c r="F39" s="690"/>
      <c r="G39" s="684"/>
      <c r="H39" s="684"/>
      <c r="I39" s="708"/>
    </row>
    <row r="40" customFormat="false" ht="20.25" hidden="false" customHeight="false" outlineLevel="0" collapsed="false">
      <c r="A40" s="677" t="s">
        <v>432</v>
      </c>
      <c r="B40" s="723" t="n">
        <v>0</v>
      </c>
      <c r="C40" s="690"/>
      <c r="D40" s="724"/>
      <c r="E40" s="725"/>
      <c r="F40" s="690"/>
      <c r="G40" s="684"/>
      <c r="H40" s="684"/>
      <c r="I40" s="708"/>
    </row>
    <row r="41" customFormat="false" ht="20.25" hidden="false" customHeight="false" outlineLevel="0" collapsed="false">
      <c r="A41" s="677" t="s">
        <v>433</v>
      </c>
      <c r="B41" s="726" t="n">
        <f aca="false">NSG_Requirements!J7/1000</f>
        <v>0</v>
      </c>
      <c r="C41" s="687"/>
      <c r="D41" s="711"/>
      <c r="E41" s="712"/>
      <c r="F41" s="690"/>
      <c r="G41" s="684"/>
      <c r="H41" s="684"/>
      <c r="I41" s="708"/>
    </row>
    <row r="42" customFormat="false" ht="20.25" hidden="false" customHeight="false" outlineLevel="0" collapsed="false">
      <c r="A42" s="677" t="s">
        <v>434</v>
      </c>
      <c r="B42" s="727" t="n">
        <f aca="false">NSG_Supplies!E7/1000</f>
        <v>3.3</v>
      </c>
      <c r="C42" s="690"/>
      <c r="D42" s="728"/>
      <c r="E42" s="729"/>
      <c r="F42" s="690"/>
      <c r="G42" s="684"/>
      <c r="H42" s="684"/>
      <c r="I42" s="708"/>
    </row>
    <row r="43" customFormat="false" ht="20.25" hidden="false" customHeight="false" outlineLevel="0" collapsed="false">
      <c r="A43" s="677" t="s">
        <v>435</v>
      </c>
      <c r="B43" s="726" t="n">
        <v>0</v>
      </c>
      <c r="C43" s="687"/>
      <c r="D43" s="711"/>
      <c r="E43" s="712"/>
      <c r="F43" s="690"/>
      <c r="G43" s="684"/>
      <c r="H43" s="684"/>
      <c r="I43" s="708"/>
    </row>
    <row r="44" customFormat="false" ht="20.25" hidden="false" customHeight="false" outlineLevel="0" collapsed="false">
      <c r="A44" s="677" t="s">
        <v>436</v>
      </c>
      <c r="B44" s="726" t="n">
        <v>0</v>
      </c>
      <c r="C44" s="687"/>
      <c r="D44" s="711"/>
      <c r="E44" s="712"/>
      <c r="F44" s="690"/>
      <c r="G44" s="684"/>
      <c r="H44" s="684"/>
      <c r="I44" s="708"/>
    </row>
    <row r="45" customFormat="false" ht="21" hidden="false" customHeight="false" outlineLevel="0" collapsed="false">
      <c r="A45" s="327" t="s">
        <v>437</v>
      </c>
      <c r="B45" s="727" t="n">
        <f aca="false">NSG_Supplies!Q7/1000</f>
        <v>20</v>
      </c>
      <c r="C45" s="690"/>
      <c r="D45" s="728"/>
      <c r="E45" s="729"/>
      <c r="F45" s="690"/>
      <c r="G45" s="684"/>
      <c r="H45" s="684"/>
      <c r="I45" s="708"/>
    </row>
    <row r="46" customFormat="false" ht="21" hidden="false" customHeight="false" outlineLevel="0" collapsed="false">
      <c r="A46" s="719" t="s">
        <v>430</v>
      </c>
      <c r="B46" s="730" t="n">
        <f aca="false">B45+B42-B41</f>
        <v>23.3</v>
      </c>
      <c r="C46" s="731"/>
      <c r="D46" s="732"/>
      <c r="E46" s="733"/>
      <c r="F46" s="690"/>
      <c r="G46" s="684"/>
      <c r="H46" s="684"/>
      <c r="I46" s="708"/>
    </row>
    <row r="47" customFormat="false" ht="24" hidden="false" customHeight="false" outlineLevel="0" collapsed="false">
      <c r="A47" s="695"/>
      <c r="B47" s="696"/>
      <c r="C47" s="697" t="s">
        <v>84</v>
      </c>
      <c r="D47" s="696"/>
      <c r="E47" s="698"/>
      <c r="F47" s="690"/>
      <c r="G47" s="684"/>
      <c r="H47" s="684"/>
      <c r="I47" s="708"/>
    </row>
    <row r="48" customFormat="false" ht="20.25" hidden="false" customHeight="false" outlineLevel="0" collapsed="false">
      <c r="A48" s="677" t="s">
        <v>438</v>
      </c>
      <c r="B48" s="734" t="n">
        <f aca="false">(NSG_Requirements!V7+NSG_Requirements!W7+NSG_Requirements!X7)/1000</f>
        <v>0</v>
      </c>
      <c r="C48" s="735"/>
      <c r="D48" s="711"/>
      <c r="E48" s="712"/>
      <c r="F48" s="690"/>
      <c r="G48" s="684"/>
      <c r="H48" s="684"/>
      <c r="I48" s="708"/>
    </row>
    <row r="49" customFormat="false" ht="20.25" hidden="false" customHeight="false" outlineLevel="0" collapsed="false">
      <c r="A49" s="677" t="s">
        <v>439</v>
      </c>
      <c r="B49" s="736" t="n">
        <f aca="false">NSG_Requirements!M7/1000</f>
        <v>0</v>
      </c>
      <c r="C49" s="737"/>
      <c r="D49" s="737"/>
      <c r="E49" s="738"/>
      <c r="F49" s="690"/>
      <c r="G49" s="684"/>
      <c r="H49" s="684"/>
      <c r="I49" s="708"/>
    </row>
    <row r="50" customFormat="false" ht="20.25" hidden="false" customHeight="false" outlineLevel="0" collapsed="false">
      <c r="A50" s="677" t="s">
        <v>427</v>
      </c>
      <c r="B50" s="736" t="n">
        <f aca="false">NSG_Requirements!E7/1000</f>
        <v>0</v>
      </c>
      <c r="C50" s="739"/>
      <c r="D50" s="728"/>
      <c r="E50" s="729"/>
      <c r="F50" s="690"/>
      <c r="G50" s="684"/>
      <c r="H50" s="684"/>
      <c r="I50" s="708"/>
    </row>
    <row r="51" customFormat="false" ht="21" hidden="false" customHeight="false" outlineLevel="0" collapsed="false">
      <c r="A51" s="677" t="s">
        <v>162</v>
      </c>
      <c r="B51" s="740" t="n">
        <f aca="false">NSG_Supplies!O7/1000</f>
        <v>0</v>
      </c>
      <c r="C51" s="735"/>
      <c r="D51" s="711"/>
      <c r="E51" s="712"/>
      <c r="F51" s="690"/>
      <c r="G51" s="684"/>
      <c r="H51" s="684"/>
      <c r="I51" s="708"/>
    </row>
    <row r="52" customFormat="false" ht="24" hidden="false" customHeight="false" outlineLevel="0" collapsed="false">
      <c r="A52" s="695"/>
      <c r="B52" s="696"/>
      <c r="C52" s="697" t="s">
        <v>440</v>
      </c>
      <c r="D52" s="696"/>
      <c r="E52" s="698"/>
      <c r="F52" s="690"/>
      <c r="G52" s="684"/>
      <c r="H52" s="684"/>
      <c r="I52" s="708"/>
    </row>
    <row r="53" customFormat="false" ht="20.25" hidden="false" customHeight="false" outlineLevel="0" collapsed="false">
      <c r="A53" s="741" t="s">
        <v>441</v>
      </c>
      <c r="B53" s="742"/>
      <c r="C53" s="690"/>
      <c r="D53" s="724"/>
      <c r="E53" s="725"/>
      <c r="F53" s="690"/>
      <c r="G53" s="684"/>
      <c r="H53" s="684"/>
      <c r="I53" s="708"/>
    </row>
    <row r="54" customFormat="false" ht="21" hidden="false" customHeight="false" outlineLevel="0" collapsed="false">
      <c r="A54" s="743" t="s">
        <v>442</v>
      </c>
      <c r="B54" s="744"/>
      <c r="C54" s="745"/>
      <c r="D54" s="746"/>
      <c r="E54" s="747"/>
      <c r="F54" s="748"/>
      <c r="G54" s="749"/>
      <c r="H54" s="750"/>
      <c r="I54" s="751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752" width="24.77"/>
    <col collapsed="false" customWidth="true" hidden="false" outlineLevel="0" max="8" min="2" style="752" width="12.77"/>
    <col collapsed="false" customWidth="true" hidden="false" outlineLevel="0" max="9" min="9" style="752" width="14.11"/>
    <col collapsed="false" customWidth="false" hidden="false" outlineLevel="0" max="11" min="10" style="752" width="8.88"/>
    <col collapsed="false" customWidth="true" hidden="false" outlineLevel="0" max="12" min="12" style="752" width="24.77"/>
    <col collapsed="false" customWidth="true" hidden="false" outlineLevel="0" max="20" min="13" style="752" width="12.77"/>
    <col collapsed="false" customWidth="false" hidden="false" outlineLevel="0" max="257" min="21" style="752" width="8.88"/>
  </cols>
  <sheetData>
    <row r="1" customFormat="false" ht="17.1" hidden="false" customHeight="true" outlineLevel="0" collapsed="false">
      <c r="A1" s="753" t="s">
        <v>0</v>
      </c>
      <c r="B1" s="754"/>
      <c r="C1" s="754"/>
      <c r="D1" s="754"/>
      <c r="E1" s="755" t="s">
        <v>271</v>
      </c>
      <c r="F1" s="756" t="n">
        <f aca="false">Weather_Input!A5</f>
        <v>37037</v>
      </c>
      <c r="G1" s="757" t="s">
        <v>0</v>
      </c>
      <c r="H1" s="754"/>
      <c r="I1" s="758"/>
    </row>
    <row r="2" customFormat="false" ht="17.1" hidden="false" customHeight="true" outlineLevel="0" collapsed="false">
      <c r="A2" s="229" t="s">
        <v>0</v>
      </c>
      <c r="B2" s="244"/>
      <c r="C2" s="244"/>
      <c r="D2" s="244" t="s">
        <v>0</v>
      </c>
      <c r="E2" s="244"/>
      <c r="F2" s="244"/>
      <c r="G2" s="244"/>
      <c r="H2" s="244" t="s">
        <v>0</v>
      </c>
      <c r="I2" s="235"/>
    </row>
    <row r="3" customFormat="false" ht="17.1" hidden="false" customHeight="true" outlineLevel="0" collapsed="false">
      <c r="A3" s="229"/>
      <c r="B3" s="759" t="s">
        <v>443</v>
      </c>
      <c r="C3" s="760" t="n">
        <v>44</v>
      </c>
      <c r="D3" s="244"/>
      <c r="E3" s="244"/>
      <c r="F3" s="760" t="s">
        <v>444</v>
      </c>
      <c r="G3" s="760"/>
      <c r="H3" s="244" t="s">
        <v>277</v>
      </c>
      <c r="I3" s="235"/>
    </row>
    <row r="4" customFormat="false" ht="17.1" hidden="false" customHeight="true" outlineLevel="0" collapsed="false">
      <c r="A4" s="288" t="s">
        <v>445</v>
      </c>
      <c r="B4" s="288" t="s">
        <v>445</v>
      </c>
      <c r="C4" s="380" t="s">
        <v>282</v>
      </c>
      <c r="D4" s="380" t="s">
        <v>17</v>
      </c>
      <c r="E4" s="380" t="s">
        <v>282</v>
      </c>
      <c r="F4" s="380" t="s">
        <v>17</v>
      </c>
      <c r="G4" s="380" t="s">
        <v>282</v>
      </c>
      <c r="H4" s="380" t="s">
        <v>17</v>
      </c>
      <c r="I4" s="259" t="s">
        <v>282</v>
      </c>
    </row>
    <row r="5" customFormat="false" ht="17.1" hidden="false" customHeight="true" outlineLevel="0" collapsed="false">
      <c r="A5" s="288" t="s">
        <v>446</v>
      </c>
      <c r="B5" s="380" t="n">
        <f aca="false">Weather_Input!B5</f>
        <v>56</v>
      </c>
      <c r="C5" s="380" t="n">
        <f aca="false">Weather_Input!C5</f>
        <v>47</v>
      </c>
      <c r="D5" s="380"/>
      <c r="E5" s="380"/>
      <c r="F5" s="380"/>
      <c r="G5" s="380"/>
      <c r="H5" s="380"/>
      <c r="I5" s="259"/>
    </row>
    <row r="6" customFormat="false" ht="17.1" hidden="false" customHeight="true" outlineLevel="0" collapsed="false">
      <c r="A6" s="288" t="s">
        <v>447</v>
      </c>
      <c r="B6" s="257"/>
      <c r="C6" s="258"/>
      <c r="D6" s="258"/>
      <c r="E6" s="258"/>
      <c r="F6" s="258"/>
      <c r="G6" s="258"/>
      <c r="H6" s="258"/>
      <c r="I6" s="259"/>
    </row>
    <row r="7" customFormat="false" ht="17.1" hidden="false" customHeight="true" outlineLevel="0" collapsed="false">
      <c r="A7" s="229" t="s">
        <v>448</v>
      </c>
      <c r="B7" s="761"/>
      <c r="C7" s="397"/>
      <c r="D7" s="244"/>
      <c r="E7" s="761"/>
      <c r="F7" s="397"/>
      <c r="G7" s="397"/>
      <c r="H7" s="397"/>
      <c r="I7" s="235"/>
    </row>
    <row r="8" customFormat="false" ht="17.1" hidden="false" customHeight="true" outlineLevel="0" collapsed="false">
      <c r="A8" s="762" t="s">
        <v>449</v>
      </c>
      <c r="B8" s="763" t="n">
        <f aca="false">PGL_Deliveries!C5/1000</f>
        <v>320</v>
      </c>
      <c r="C8" s="764" t="n">
        <f aca="false">NSG_Deliveries!C5/1000</f>
        <v>60</v>
      </c>
      <c r="D8" s="763" t="s">
        <v>0</v>
      </c>
      <c r="E8" s="765"/>
      <c r="F8" s="766"/>
      <c r="G8" s="766"/>
      <c r="H8" s="766"/>
      <c r="I8" s="758"/>
    </row>
    <row r="9" customFormat="false" ht="17.1" hidden="false" customHeight="true" outlineLevel="0" collapsed="false">
      <c r="A9" s="767"/>
      <c r="B9" s="768" t="s">
        <v>61</v>
      </c>
      <c r="C9" s="768" t="s">
        <v>122</v>
      </c>
      <c r="D9" s="769"/>
      <c r="E9" s="769"/>
      <c r="F9" s="769"/>
      <c r="G9" s="769"/>
      <c r="H9" s="769"/>
      <c r="I9" s="770"/>
    </row>
    <row r="10" customFormat="false" ht="17.1" hidden="false" customHeight="true" outlineLevel="0" collapsed="false">
      <c r="A10" s="771" t="s">
        <v>83</v>
      </c>
      <c r="B10" s="322" t="n">
        <f aca="false">B62</f>
        <v>0</v>
      </c>
      <c r="C10" s="257"/>
      <c r="D10" s="380"/>
      <c r="E10" s="257"/>
      <c r="F10" s="257"/>
      <c r="G10" s="257"/>
      <c r="H10" s="257"/>
      <c r="I10" s="259" t="s">
        <v>0</v>
      </c>
    </row>
    <row r="11" customFormat="false" ht="17.1" hidden="false" customHeight="true" outlineLevel="0" collapsed="false">
      <c r="A11" s="229" t="s">
        <v>450</v>
      </c>
      <c r="B11" s="322" t="n">
        <f aca="false">+B54</f>
        <v>163.957</v>
      </c>
      <c r="C11" s="772" t="s">
        <v>0</v>
      </c>
      <c r="D11" s="380"/>
      <c r="E11" s="772" t="str">
        <f aca="false">+C11</f>
        <v> </v>
      </c>
      <c r="F11" s="257"/>
      <c r="G11" s="772" t="str">
        <f aca="false">+C11</f>
        <v> </v>
      </c>
      <c r="H11" s="257"/>
      <c r="I11" s="316" t="str">
        <f aca="false">+C11</f>
        <v> </v>
      </c>
    </row>
    <row r="12" customFormat="false" ht="17.1" hidden="false" customHeight="true" outlineLevel="0" collapsed="false">
      <c r="A12" s="229" t="s">
        <v>451</v>
      </c>
      <c r="B12" s="322" t="n">
        <f aca="false">PGL_Supplies!K7/1000</f>
        <v>0</v>
      </c>
      <c r="C12" s="772"/>
      <c r="D12" s="380"/>
      <c r="E12" s="257"/>
      <c r="F12" s="257"/>
      <c r="G12" s="257"/>
      <c r="H12" s="257"/>
      <c r="I12" s="259"/>
    </row>
    <row r="13" customFormat="false" ht="17.1" hidden="false" customHeight="true" outlineLevel="0" collapsed="false">
      <c r="A13" s="229" t="s">
        <v>92</v>
      </c>
      <c r="B13" s="322" t="n">
        <f aca="false">PGL_Supplies!I7/1000</f>
        <v>15</v>
      </c>
      <c r="C13" s="257"/>
      <c r="D13" s="773"/>
      <c r="E13" s="257"/>
      <c r="F13" s="257"/>
      <c r="G13" s="257"/>
      <c r="H13" s="257"/>
      <c r="I13" s="259"/>
    </row>
    <row r="14" customFormat="false" ht="17.1" hidden="false" customHeight="true" outlineLevel="0" collapsed="false">
      <c r="A14" s="229" t="s">
        <v>452</v>
      </c>
      <c r="B14" s="336" t="n">
        <f aca="false">+B72</f>
        <v>-5.88399999999999</v>
      </c>
      <c r="C14" s="257"/>
      <c r="D14" s="380"/>
      <c r="E14" s="257"/>
      <c r="F14" s="257"/>
      <c r="G14" s="257"/>
      <c r="H14" s="257"/>
      <c r="I14" s="259"/>
    </row>
    <row r="15" customFormat="false" ht="17.1" hidden="false" customHeight="true" outlineLevel="0" collapsed="false">
      <c r="A15" s="229" t="s">
        <v>65</v>
      </c>
      <c r="B15" s="322" t="n">
        <f aca="false">+B46</f>
        <v>1</v>
      </c>
      <c r="C15" s="257" t="s">
        <v>0</v>
      </c>
      <c r="D15" s="380" t="s">
        <v>0</v>
      </c>
      <c r="E15" s="257"/>
      <c r="F15" s="773"/>
      <c r="G15" s="257"/>
      <c r="H15" s="257"/>
      <c r="I15" s="259"/>
    </row>
    <row r="16" customFormat="false" ht="17.1" hidden="false" customHeight="true" outlineLevel="0" collapsed="false">
      <c r="A16" s="229" t="s">
        <v>453</v>
      </c>
      <c r="B16" s="322" t="n">
        <f aca="false">PGL_Requirements!G7/1000</f>
        <v>0</v>
      </c>
      <c r="C16" s="257"/>
      <c r="D16" s="380"/>
      <c r="E16" s="257"/>
      <c r="F16" s="774" t="s">
        <v>0</v>
      </c>
      <c r="G16" s="257"/>
      <c r="H16" s="257"/>
      <c r="I16" s="259"/>
    </row>
    <row r="17" customFormat="false" ht="17.1" hidden="false" customHeight="true" outlineLevel="0" collapsed="false">
      <c r="A17" s="229" t="s">
        <v>454</v>
      </c>
      <c r="B17" s="322" t="n">
        <f aca="false">PGL_Supplies!B7/1000</f>
        <v>5</v>
      </c>
      <c r="C17" s="257"/>
      <c r="D17" s="244"/>
      <c r="E17" s="257"/>
      <c r="F17" s="257"/>
      <c r="G17" s="257"/>
      <c r="H17" s="257"/>
      <c r="I17" s="775"/>
    </row>
    <row r="18" customFormat="false" ht="17.1" hidden="false" customHeight="true" outlineLevel="0" collapsed="false">
      <c r="A18" s="776" t="s">
        <v>455</v>
      </c>
      <c r="B18" s="777" t="n">
        <f aca="false">-B10-B11-B12-B13-B14-B15+B16-B17</f>
        <v>-179.073</v>
      </c>
      <c r="C18" s="778" t="n">
        <f aca="false">-I63</f>
        <v>-0</v>
      </c>
      <c r="D18" s="779" t="s">
        <v>0</v>
      </c>
      <c r="E18" s="778" t="n">
        <f aca="false">-I63</f>
        <v>-0</v>
      </c>
      <c r="F18" s="779" t="s">
        <v>0</v>
      </c>
      <c r="G18" s="778" t="n">
        <f aca="false">-I63</f>
        <v>-0</v>
      </c>
      <c r="H18" s="779" t="s">
        <v>0</v>
      </c>
      <c r="I18" s="780"/>
    </row>
    <row r="19" customFormat="false" ht="17.1" hidden="false" customHeight="true" outlineLevel="0" collapsed="false">
      <c r="A19" s="323" t="s">
        <v>73</v>
      </c>
      <c r="B19" s="312" t="n">
        <f aca="false">-PGL_Supplies!J7/1000</f>
        <v>-0</v>
      </c>
      <c r="C19" s="781" t="n">
        <f aca="false">-NSG_Supplies!U7/1000</f>
        <v>-0</v>
      </c>
      <c r="D19" s="754"/>
      <c r="E19" s="765"/>
      <c r="F19" s="754"/>
      <c r="G19" s="765"/>
      <c r="H19" s="766"/>
      <c r="I19" s="259"/>
    </row>
    <row r="20" customFormat="false" ht="17.1" hidden="false" customHeight="true" outlineLevel="0" collapsed="false">
      <c r="A20" s="323" t="s">
        <v>456</v>
      </c>
      <c r="B20" s="322" t="n">
        <f aca="false">B8+B18+B19</f>
        <v>140.927</v>
      </c>
      <c r="C20" s="782" t="n">
        <f aca="false">C8+C18+C19</f>
        <v>60</v>
      </c>
      <c r="D20" s="380"/>
      <c r="E20" s="257"/>
      <c r="F20" s="380"/>
      <c r="G20" s="257"/>
      <c r="H20" s="258"/>
      <c r="I20" s="235"/>
    </row>
    <row r="21" customFormat="false" ht="17.1" hidden="false" customHeight="true" outlineLevel="0" collapsed="false">
      <c r="A21" s="323" t="s">
        <v>457</v>
      </c>
      <c r="B21" s="322" t="n">
        <v>0</v>
      </c>
      <c r="C21" s="257"/>
      <c r="D21" s="380"/>
      <c r="E21" s="257"/>
      <c r="F21" s="380"/>
      <c r="G21" s="257"/>
      <c r="H21" s="258"/>
      <c r="I21" s="277"/>
    </row>
    <row r="22" customFormat="false" ht="17.1" hidden="false" customHeight="true" outlineLevel="0" collapsed="false">
      <c r="A22" s="323" t="s">
        <v>458</v>
      </c>
      <c r="B22" s="322" t="n">
        <f aca="false">+B44</f>
        <v>2.25</v>
      </c>
      <c r="C22" s="257"/>
      <c r="D22" s="380"/>
      <c r="E22" s="257"/>
      <c r="F22" s="388" t="s">
        <v>0</v>
      </c>
      <c r="G22" s="774"/>
      <c r="H22" s="783" t="s">
        <v>0</v>
      </c>
      <c r="I22" s="235"/>
    </row>
    <row r="23" customFormat="false" ht="17.1" hidden="false" customHeight="true" outlineLevel="0" collapsed="false">
      <c r="A23" s="784" t="s">
        <v>459</v>
      </c>
      <c r="B23" s="785" t="n">
        <f aca="false">B20+B21+B22</f>
        <v>143.177</v>
      </c>
      <c r="C23" s="786" t="n">
        <f aca="false">C20</f>
        <v>60</v>
      </c>
      <c r="D23" s="380"/>
      <c r="E23" s="257"/>
      <c r="F23" s="276"/>
      <c r="G23" s="257"/>
      <c r="H23" s="787" t="s">
        <v>0</v>
      </c>
      <c r="I23" s="788" t="s">
        <v>0</v>
      </c>
    </row>
    <row r="24" customFormat="false" ht="17.1" hidden="false" customHeight="true" outlineLevel="0" collapsed="false">
      <c r="A24" s="789" t="s">
        <v>460</v>
      </c>
      <c r="B24" s="774" t="n">
        <f aca="false">-NSG_Requirements!$L$7/1000</f>
        <v>-0</v>
      </c>
      <c r="C24" s="774" t="n">
        <f aca="false">NSG_Requirements!$L$7/1000</f>
        <v>0</v>
      </c>
      <c r="D24" s="354" t="n">
        <f aca="false">B24</f>
        <v>-0</v>
      </c>
      <c r="E24" s="774" t="n">
        <f aca="false">C24</f>
        <v>0</v>
      </c>
      <c r="F24" s="354" t="n">
        <f aca="false">B24</f>
        <v>-0</v>
      </c>
      <c r="G24" s="774" t="n">
        <f aca="false">C24</f>
        <v>0</v>
      </c>
      <c r="H24" s="790" t="n">
        <f aca="false">B24</f>
        <v>-0</v>
      </c>
      <c r="I24" s="791" t="n">
        <f aca="false">C24</f>
        <v>0</v>
      </c>
    </row>
    <row r="25" customFormat="false" ht="17.1" hidden="false" customHeight="true" outlineLevel="0" collapsed="false">
      <c r="A25" s="767"/>
      <c r="B25" s="769"/>
      <c r="C25" s="769" t="s">
        <v>0</v>
      </c>
      <c r="D25" s="769"/>
      <c r="E25" s="769"/>
      <c r="F25" s="769"/>
      <c r="G25" s="769"/>
      <c r="H25" s="769"/>
      <c r="I25" s="770"/>
    </row>
    <row r="26" customFormat="false" ht="17.25" hidden="false" customHeight="true" outlineLevel="0" collapsed="false">
      <c r="A26" s="792" t="s">
        <v>461</v>
      </c>
      <c r="B26" s="793" t="n">
        <f aca="false">PGL_Requirements!L7/1000</f>
        <v>0</v>
      </c>
      <c r="C26" s="793" t="n">
        <f aca="false">NSG_Requirements!C7/1000</f>
        <v>0</v>
      </c>
      <c r="D26" s="793" t="n">
        <f aca="false">B26</f>
        <v>0</v>
      </c>
      <c r="E26" s="793" t="n">
        <f aca="false">+C26</f>
        <v>0</v>
      </c>
      <c r="F26" s="793" t="n">
        <f aca="false">B26</f>
        <v>0</v>
      </c>
      <c r="G26" s="793" t="n">
        <f aca="false">+C26</f>
        <v>0</v>
      </c>
      <c r="H26" s="794" t="n">
        <f aca="false">B26</f>
        <v>0</v>
      </c>
      <c r="I26" s="795" t="n">
        <f aca="false">+C26</f>
        <v>0</v>
      </c>
    </row>
    <row r="27" customFormat="false" ht="17.25" hidden="false" customHeight="true" outlineLevel="0" collapsed="false">
      <c r="A27" s="792" t="s">
        <v>462</v>
      </c>
      <c r="B27" s="793" t="n">
        <f aca="false">PGL_Requirements!R7/1000</f>
        <v>0.68</v>
      </c>
      <c r="C27" s="793" t="n">
        <f aca="false">NSG_Requirements!P7/1000</f>
        <v>0</v>
      </c>
      <c r="D27" s="793" t="n">
        <f aca="false">PGL_Requirements!R7/1000</f>
        <v>0.68</v>
      </c>
      <c r="E27" s="793" t="n">
        <f aca="false">NSG_Requirements!P7/1000</f>
        <v>0</v>
      </c>
      <c r="F27" s="793" t="n">
        <f aca="false">PGL_Requirements!R7/1000</f>
        <v>0.68</v>
      </c>
      <c r="G27" s="793" t="n">
        <f aca="false">NSG_Requirements!P7/1000</f>
        <v>0</v>
      </c>
      <c r="H27" s="794" t="n">
        <f aca="false">+B27</f>
        <v>0.68</v>
      </c>
      <c r="I27" s="795" t="n">
        <f aca="false">+C27</f>
        <v>0</v>
      </c>
    </row>
    <row r="28" customFormat="false" ht="17.1" hidden="false" customHeight="true" outlineLevel="0" collapsed="false">
      <c r="A28" s="796" t="s">
        <v>463</v>
      </c>
      <c r="B28" s="464" t="n">
        <v>0</v>
      </c>
      <c r="C28" s="464" t="n">
        <v>0</v>
      </c>
      <c r="D28" s="464" t="n">
        <v>0</v>
      </c>
      <c r="E28" s="464" t="n">
        <v>0</v>
      </c>
      <c r="F28" s="464" t="n">
        <v>0</v>
      </c>
      <c r="G28" s="464" t="n">
        <f aca="false">C28</f>
        <v>0</v>
      </c>
      <c r="H28" s="797" t="n">
        <f aca="false">B28</f>
        <v>0</v>
      </c>
      <c r="I28" s="798" t="n">
        <f aca="false">C28</f>
        <v>0</v>
      </c>
    </row>
    <row r="29" customFormat="false" ht="17.1" hidden="false" customHeight="true" outlineLevel="0" collapsed="false">
      <c r="A29" s="796" t="s">
        <v>464</v>
      </c>
      <c r="B29" s="799" t="n">
        <f aca="false">-PGL_Supplies!N7/1000</f>
        <v>-0</v>
      </c>
      <c r="C29" s="799" t="n">
        <f aca="false">-NSG_Supplies!I7/1000</f>
        <v>-0</v>
      </c>
      <c r="D29" s="464" t="n">
        <f aca="false">-PGL_Supplies!N7/1000</f>
        <v>-0</v>
      </c>
      <c r="E29" s="464" t="n">
        <f aca="false">-NSG_Supplies!I7/1000</f>
        <v>-0</v>
      </c>
      <c r="F29" s="464" t="n">
        <f aca="false">-PGL_Supplies!N7/1000</f>
        <v>-0</v>
      </c>
      <c r="G29" s="464" t="n">
        <f aca="false">-NSG_Supplies!I7/1000</f>
        <v>-0</v>
      </c>
      <c r="H29" s="797" t="n">
        <f aca="false">-PGL_Supplies!N7/1000</f>
        <v>-0</v>
      </c>
      <c r="I29" s="798" t="n">
        <f aca="false">-NSG_Supplies!I7/1000</f>
        <v>-0</v>
      </c>
    </row>
    <row r="30" customFormat="false" ht="17.1" hidden="false" customHeight="true" outlineLevel="0" collapsed="false">
      <c r="A30" s="796" t="s">
        <v>465</v>
      </c>
      <c r="B30" s="464" t="n">
        <f aca="false">-PGL_Supplies!O7/1000</f>
        <v>-0</v>
      </c>
      <c r="C30" s="464" t="n">
        <f aca="false">-NSG_Supplies!J7/1000</f>
        <v>-0</v>
      </c>
      <c r="D30" s="464" t="n">
        <f aca="false">-PGL_Supplies!O7/1000</f>
        <v>-0</v>
      </c>
      <c r="E30" s="464" t="n">
        <f aca="false">-NSG_Supplies!J7/1000</f>
        <v>-0</v>
      </c>
      <c r="F30" s="464" t="n">
        <f aca="false">-PGL_Supplies!O7/1000</f>
        <v>-0</v>
      </c>
      <c r="G30" s="464" t="n">
        <f aca="false">-NSG_Supplies!J7/1000</f>
        <v>-0</v>
      </c>
      <c r="H30" s="797" t="n">
        <f aca="false">-PGL_Supplies!O7/1000</f>
        <v>-0</v>
      </c>
      <c r="I30" s="798" t="n">
        <f aca="false">-NSG_Supplies!J7/1000</f>
        <v>-0</v>
      </c>
    </row>
    <row r="31" customFormat="false" ht="17.1" hidden="false" customHeight="true" outlineLevel="0" collapsed="false">
      <c r="A31" s="800" t="s">
        <v>466</v>
      </c>
      <c r="B31" s="801" t="n">
        <f aca="false">(PGL_Requirements!$Y$7+PGL_Requirements!$Z$7+PGL_Requirements!$AA$7)/1000+(NSG_Requirements!$Y$7+NSG_Requirements!$Z$7+NSG_Requirements!$AA$7)/1000</f>
        <v>0</v>
      </c>
      <c r="C31" s="801" t="n">
        <f aca="false">-(PGL_Requirements!$Y$7+PGL_Requirements!$Z$7+PGL_Requirements!$AA$7)/1000+(NSG_Requirements!$Y$7+NSG_Requirements!$Z$7+NSG_Requirements!$AA$7)/1000</f>
        <v>0</v>
      </c>
      <c r="D31" s="793" t="n">
        <f aca="false">+B31</f>
        <v>0</v>
      </c>
      <c r="E31" s="464" t="n">
        <f aca="false">+C31</f>
        <v>0</v>
      </c>
      <c r="F31" s="793" t="n">
        <f aca="false">+B31</f>
        <v>0</v>
      </c>
      <c r="G31" s="464" t="n">
        <f aca="false">+E31</f>
        <v>0</v>
      </c>
      <c r="H31" s="794" t="n">
        <f aca="false">+B31</f>
        <v>0</v>
      </c>
      <c r="I31" s="795" t="n">
        <f aca="false">+C31</f>
        <v>0</v>
      </c>
    </row>
    <row r="32" customFormat="false" ht="17.1" hidden="false" customHeight="true" outlineLevel="0" collapsed="false">
      <c r="A32" s="796" t="s">
        <v>352</v>
      </c>
      <c r="B32" s="464" t="n">
        <f aca="false">-PGL_Supplies!AC7/1000</f>
        <v>-45.658</v>
      </c>
      <c r="C32" s="464" t="n">
        <f aca="false">-NSG_Supplies!R7/1000</f>
        <v>-29.943</v>
      </c>
      <c r="D32" s="464" t="n">
        <f aca="false">B32</f>
        <v>-45.658</v>
      </c>
      <c r="E32" s="464" t="n">
        <f aca="false">C32</f>
        <v>-29.943</v>
      </c>
      <c r="F32" s="464" t="n">
        <f aca="false">B32</f>
        <v>-45.658</v>
      </c>
      <c r="G32" s="464" t="n">
        <f aca="false">C32</f>
        <v>-29.943</v>
      </c>
      <c r="H32" s="797" t="n">
        <f aca="false">B32</f>
        <v>-45.658</v>
      </c>
      <c r="I32" s="798" t="n">
        <f aca="false">C32</f>
        <v>-29.943</v>
      </c>
    </row>
    <row r="33" customFormat="false" ht="17.1" hidden="false" customHeight="true" outlineLevel="0" collapsed="false">
      <c r="A33" s="796" t="s">
        <v>467</v>
      </c>
      <c r="B33" s="464" t="n">
        <f aca="false">-PGL_Supplies!X7/1000</f>
        <v>-0.3</v>
      </c>
      <c r="C33" s="464" t="n">
        <f aca="false">-NSG_Supplies!S7/1000</f>
        <v>-18.998</v>
      </c>
      <c r="D33" s="464" t="n">
        <f aca="false">B33</f>
        <v>-0.3</v>
      </c>
      <c r="E33" s="464" t="n">
        <f aca="false">C33</f>
        <v>-18.998</v>
      </c>
      <c r="F33" s="464" t="n">
        <f aca="false">B33</f>
        <v>-0.3</v>
      </c>
      <c r="G33" s="464" t="n">
        <f aca="false">C33</f>
        <v>-18.998</v>
      </c>
      <c r="H33" s="797" t="n">
        <f aca="false">B33</f>
        <v>-0.3</v>
      </c>
      <c r="I33" s="798" t="n">
        <f aca="false">C33</f>
        <v>-18.998</v>
      </c>
    </row>
    <row r="34" customFormat="false" ht="17.1" hidden="false" customHeight="true" outlineLevel="0" collapsed="false">
      <c r="A34" s="792" t="s">
        <v>468</v>
      </c>
      <c r="B34" s="793" t="n">
        <f aca="false">PGL_Requirements!S7/1000</f>
        <v>0</v>
      </c>
      <c r="C34" s="793" t="s">
        <v>0</v>
      </c>
      <c r="D34" s="793" t="n">
        <f aca="false">+B34</f>
        <v>0</v>
      </c>
      <c r="E34" s="252"/>
      <c r="F34" s="793" t="n">
        <f aca="false">+D34</f>
        <v>0</v>
      </c>
      <c r="G34" s="252"/>
      <c r="H34" s="794" t="n">
        <f aca="false">+B34</f>
        <v>0</v>
      </c>
      <c r="I34" s="795" t="str">
        <f aca="false">+C34</f>
        <v> </v>
      </c>
    </row>
    <row r="35" customFormat="false" ht="17.1" hidden="false" customHeight="true" outlineLevel="0" collapsed="false">
      <c r="A35" s="802" t="s">
        <v>469</v>
      </c>
      <c r="B35" s="793" t="n">
        <f aca="false">PGL_Requirements!O7/1000</f>
        <v>0</v>
      </c>
      <c r="C35" s="793" t="n">
        <f aca="false">NSG_Requirements!H7/1000</f>
        <v>0</v>
      </c>
      <c r="D35" s="252"/>
      <c r="E35" s="252"/>
      <c r="F35" s="252"/>
      <c r="G35" s="252"/>
      <c r="H35" s="466"/>
      <c r="I35" s="803"/>
    </row>
    <row r="36" customFormat="false" ht="17.1" hidden="false" customHeight="true" outlineLevel="0" collapsed="false">
      <c r="A36" s="802" t="s">
        <v>470</v>
      </c>
      <c r="B36" s="464" t="n">
        <f aca="false">-PGL_Supplies!L7/1000</f>
        <v>-60.01</v>
      </c>
      <c r="C36" s="464" t="n">
        <f aca="false">-NSG_Supplies!F7/1000</f>
        <v>-6.76</v>
      </c>
      <c r="D36" s="252"/>
      <c r="E36" s="252"/>
      <c r="F36" s="252"/>
      <c r="G36" s="252"/>
      <c r="H36" s="466"/>
      <c r="I36" s="803"/>
    </row>
    <row r="37" customFormat="false" ht="17.1" hidden="false" customHeight="true" outlineLevel="0" collapsed="false">
      <c r="A37" s="796" t="s">
        <v>471</v>
      </c>
      <c r="B37" s="793" t="n">
        <f aca="false">PGL_Requirements!M7/1000</f>
        <v>0</v>
      </c>
      <c r="C37" s="804" t="s">
        <v>0</v>
      </c>
      <c r="D37" s="793" t="n">
        <f aca="false">PGL_Requirements!M7/1000</f>
        <v>0</v>
      </c>
      <c r="E37" s="252"/>
      <c r="F37" s="793" t="n">
        <f aca="false">PGL_Requirements!M7/1000</f>
        <v>0</v>
      </c>
      <c r="G37" s="793" t="s">
        <v>0</v>
      </c>
      <c r="H37" s="466"/>
      <c r="I37" s="465"/>
    </row>
    <row r="38" customFormat="false" ht="17.1" hidden="false" customHeight="true" outlineLevel="0" collapsed="false">
      <c r="A38" s="805" t="s">
        <v>472</v>
      </c>
      <c r="B38" s="793" t="e">
        <f aca="false">#REF!/1000</f>
        <v>#REF!</v>
      </c>
      <c r="C38" s="464" t="n">
        <f aca="false">NSG_Supplies!K7/1000</f>
        <v>0</v>
      </c>
      <c r="D38" s="252"/>
      <c r="E38" s="252"/>
      <c r="F38" s="252"/>
      <c r="G38" s="252"/>
      <c r="H38" s="237" t="e">
        <f aca="false">B38</f>
        <v>#REF!</v>
      </c>
      <c r="I38" s="465"/>
    </row>
    <row r="39" customFormat="false" ht="17.1" hidden="false" customHeight="true" outlineLevel="0" collapsed="false">
      <c r="A39" s="301" t="s">
        <v>0</v>
      </c>
      <c r="B39" s="444" t="s">
        <v>473</v>
      </c>
      <c r="C39" s="806"/>
      <c r="D39" s="446"/>
      <c r="E39" s="447"/>
      <c r="F39" s="448" t="s">
        <v>355</v>
      </c>
      <c r="G39" s="448"/>
      <c r="H39" s="448"/>
      <c r="I39" s="448"/>
    </row>
    <row r="40" customFormat="false" ht="17.1" hidden="false" customHeight="true" outlineLevel="0" collapsed="false">
      <c r="A40" s="236" t="s">
        <v>97</v>
      </c>
      <c r="B40" s="464" t="n">
        <f aca="false">PGL_Requirements!P7/1000</f>
        <v>150</v>
      </c>
      <c r="C40" s="464" t="s">
        <v>0</v>
      </c>
      <c r="D40" s="807"/>
      <c r="E40" s="465"/>
      <c r="F40" s="808" t="s">
        <v>474</v>
      </c>
      <c r="G40" s="252"/>
      <c r="H40" s="809"/>
      <c r="I40" s="458"/>
    </row>
    <row r="41" customFormat="false" ht="17.1" hidden="false" customHeight="true" outlineLevel="0" collapsed="false">
      <c r="A41" s="236" t="s">
        <v>475</v>
      </c>
      <c r="B41" s="237" t="n">
        <f aca="false">PGL_Supplies!M7/1000</f>
        <v>0</v>
      </c>
      <c r="C41" s="464" t="s">
        <v>0</v>
      </c>
      <c r="D41" s="252"/>
      <c r="E41" s="465"/>
      <c r="F41" s="810" t="s">
        <v>476</v>
      </c>
      <c r="G41" s="252"/>
      <c r="H41" s="466"/>
      <c r="I41" s="458"/>
    </row>
    <row r="42" customFormat="false" ht="17.1" hidden="false" customHeight="true" outlineLevel="0" collapsed="false">
      <c r="A42" s="236" t="s">
        <v>477</v>
      </c>
      <c r="B42" s="464" t="n">
        <f aca="false">PGL_Requirements!B7/1000</f>
        <v>0</v>
      </c>
      <c r="C42" s="464" t="s">
        <v>0</v>
      </c>
      <c r="D42" s="252"/>
      <c r="E42" s="465"/>
      <c r="F42" s="810" t="s">
        <v>478</v>
      </c>
      <c r="G42" s="252"/>
      <c r="H42" s="466"/>
      <c r="I42" s="458"/>
    </row>
    <row r="43" customFormat="false" ht="17.1" hidden="false" customHeight="true" outlineLevel="0" collapsed="false">
      <c r="A43" s="236" t="s">
        <v>479</v>
      </c>
      <c r="B43" s="464" t="n">
        <f aca="false">PGL_Supplies!H7/1000</f>
        <v>1</v>
      </c>
      <c r="C43" s="252"/>
      <c r="D43" s="252"/>
      <c r="E43" s="465"/>
      <c r="F43" s="810" t="s">
        <v>480</v>
      </c>
      <c r="G43" s="252"/>
      <c r="H43" s="466"/>
      <c r="I43" s="458"/>
    </row>
    <row r="44" customFormat="false" ht="17.1" hidden="false" customHeight="true" outlineLevel="0" collapsed="false">
      <c r="A44" s="236" t="s">
        <v>458</v>
      </c>
      <c r="B44" s="811" t="n">
        <f aca="false">+B48+B47+B45</f>
        <v>2.25</v>
      </c>
      <c r="C44" s="812"/>
      <c r="D44" s="252"/>
      <c r="E44" s="465"/>
      <c r="F44" s="810" t="s">
        <v>481</v>
      </c>
      <c r="G44" s="252"/>
      <c r="H44" s="466"/>
      <c r="I44" s="458"/>
    </row>
    <row r="45" customFormat="false" ht="17.1" hidden="false" customHeight="true" outlineLevel="0" collapsed="false">
      <c r="A45" s="236" t="s">
        <v>99</v>
      </c>
      <c r="B45" s="464" t="n">
        <f aca="false">PGL_Requirements!Q7/1000</f>
        <v>2.25</v>
      </c>
      <c r="C45" s="252"/>
      <c r="D45" s="252"/>
      <c r="E45" s="465"/>
      <c r="F45" s="813" t="s">
        <v>482</v>
      </c>
      <c r="G45" s="252"/>
      <c r="H45" s="466"/>
      <c r="I45" s="458"/>
    </row>
    <row r="46" customFormat="false" ht="17.1" hidden="false" customHeight="true" outlineLevel="0" collapsed="false">
      <c r="A46" s="796" t="s">
        <v>483</v>
      </c>
      <c r="B46" s="464" t="n">
        <f aca="false">+B47+B43+B41</f>
        <v>1</v>
      </c>
      <c r="C46" s="252"/>
      <c r="D46" s="252"/>
      <c r="E46" s="465"/>
      <c r="F46" s="810" t="s">
        <v>484</v>
      </c>
      <c r="G46" s="252"/>
      <c r="H46" s="466"/>
      <c r="I46" s="458"/>
    </row>
    <row r="47" customFormat="false" ht="17.1" hidden="false" customHeight="true" outlineLevel="0" collapsed="false">
      <c r="A47" s="236" t="s">
        <v>339</v>
      </c>
      <c r="B47" s="814" t="n">
        <v>0</v>
      </c>
      <c r="C47" s="252"/>
      <c r="D47" s="252"/>
      <c r="E47" s="465"/>
      <c r="F47" s="810" t="s">
        <v>485</v>
      </c>
      <c r="G47" s="252"/>
      <c r="H47" s="466"/>
      <c r="I47" s="458"/>
    </row>
    <row r="48" customFormat="false" ht="17.1" hidden="false" customHeight="true" outlineLevel="0" collapsed="false">
      <c r="A48" s="236" t="s">
        <v>337</v>
      </c>
      <c r="B48" s="815" t="n">
        <v>0</v>
      </c>
      <c r="C48" s="816"/>
      <c r="D48" s="816"/>
      <c r="E48" s="817"/>
      <c r="F48" s="810" t="s">
        <v>486</v>
      </c>
      <c r="G48" s="252"/>
      <c r="H48" s="466"/>
      <c r="I48" s="458"/>
    </row>
    <row r="49" customFormat="false" ht="17.1" hidden="false" customHeight="true" outlineLevel="0" collapsed="false">
      <c r="A49" s="818" t="s">
        <v>0</v>
      </c>
      <c r="B49" s="819" t="s">
        <v>487</v>
      </c>
      <c r="C49" s="819"/>
      <c r="D49" s="819"/>
      <c r="E49" s="820" t="s">
        <v>0</v>
      </c>
      <c r="F49" s="821" t="s">
        <v>488</v>
      </c>
      <c r="G49" s="280"/>
      <c r="H49" s="506"/>
      <c r="I49" s="458"/>
    </row>
    <row r="50" customFormat="false" ht="17.1" hidden="false" customHeight="true" outlineLevel="0" collapsed="false">
      <c r="A50" s="236" t="s">
        <v>489</v>
      </c>
      <c r="B50" s="237" t="n">
        <f aca="false">PGL_Supplies!V7/1000+PGL_Supplies!D7/1000</f>
        <v>163.957</v>
      </c>
      <c r="C50" s="252"/>
      <c r="D50" s="252"/>
      <c r="E50" s="252"/>
      <c r="F50" s="796" t="s">
        <v>490</v>
      </c>
      <c r="G50" s="524"/>
      <c r="H50" s="427"/>
      <c r="I50" s="458"/>
    </row>
    <row r="51" customFormat="false" ht="17.1" hidden="false" customHeight="true" outlineLevel="0" collapsed="false">
      <c r="A51" s="236" t="s">
        <v>491</v>
      </c>
      <c r="B51" s="237" t="n">
        <f aca="false">PGL_Supplies!AA7/1000</f>
        <v>0</v>
      </c>
      <c r="C51" s="812"/>
      <c r="D51" s="252"/>
      <c r="E51" s="252"/>
      <c r="F51" s="822" t="s">
        <v>492</v>
      </c>
      <c r="G51" s="524"/>
      <c r="H51" s="466"/>
      <c r="I51" s="458"/>
    </row>
    <row r="52" customFormat="false" ht="17.1" hidden="false" customHeight="true" outlineLevel="0" collapsed="false">
      <c r="A52" s="236" t="s">
        <v>493</v>
      </c>
      <c r="B52" s="237" t="n">
        <f aca="false">NSG_Supplies!O7/1000+PGL_Supplies!Q7/1000</f>
        <v>0</v>
      </c>
      <c r="C52" s="252"/>
      <c r="D52" s="252"/>
      <c r="E52" s="252"/>
      <c r="F52" s="823" t="s">
        <v>494</v>
      </c>
      <c r="G52" s="537"/>
      <c r="H52" s="824"/>
      <c r="I52" s="458"/>
    </row>
    <row r="53" customFormat="false" ht="17.1" hidden="false" customHeight="true" outlineLevel="0" collapsed="false">
      <c r="A53" s="364" t="s">
        <v>495</v>
      </c>
      <c r="B53" s="237" t="n">
        <f aca="false">PGL_Requirements!J7/1000+NSG_Requirements!E7/1000</f>
        <v>0</v>
      </c>
      <c r="C53" s="252"/>
      <c r="D53" s="252"/>
      <c r="E53" s="252"/>
      <c r="F53" s="821" t="s">
        <v>382</v>
      </c>
      <c r="G53" s="825"/>
      <c r="H53" s="812"/>
      <c r="I53" s="458"/>
    </row>
    <row r="54" customFormat="false" ht="17.1" hidden="false" customHeight="true" outlineLevel="0" collapsed="false">
      <c r="A54" s="796" t="s">
        <v>496</v>
      </c>
      <c r="B54" s="826" t="n">
        <f aca="false">SUM(B50+B51+B52-B53)</f>
        <v>163.957</v>
      </c>
      <c r="C54" s="237"/>
      <c r="D54" s="252"/>
      <c r="E54" s="252"/>
      <c r="F54" s="541" t="s">
        <v>497</v>
      </c>
      <c r="G54" s="541"/>
      <c r="H54" s="541"/>
      <c r="I54" s="541"/>
    </row>
    <row r="55" customFormat="false" ht="17.1" hidden="false" customHeight="true" outlineLevel="0" collapsed="false">
      <c r="A55" s="818" t="s">
        <v>0</v>
      </c>
      <c r="B55" s="445" t="s">
        <v>83</v>
      </c>
      <c r="C55" s="445"/>
      <c r="D55" s="445"/>
      <c r="E55" s="445"/>
      <c r="F55" s="339" t="s">
        <v>498</v>
      </c>
      <c r="G55" s="252"/>
      <c r="H55" s="827"/>
      <c r="I55" s="798" t="n">
        <f aca="false">NSG_Supplies!P7/1000</f>
        <v>0</v>
      </c>
    </row>
    <row r="56" customFormat="false" ht="17.1" hidden="false" customHeight="true" outlineLevel="0" collapsed="false">
      <c r="A56" s="236" t="s">
        <v>467</v>
      </c>
      <c r="B56" s="237" t="n">
        <f aca="false">PGL_Supplies!U7/1000</f>
        <v>0</v>
      </c>
      <c r="C56" s="252"/>
      <c r="D56" s="252"/>
      <c r="E56" s="252"/>
      <c r="F56" s="339" t="s">
        <v>499</v>
      </c>
      <c r="G56" s="252"/>
      <c r="H56" s="828" t="n">
        <f aca="false">NSG_Requirements!B7/1000</f>
        <v>0</v>
      </c>
      <c r="I56" s="798" t="n">
        <f aca="false">NSG_Supplies!B7/1000</f>
        <v>0</v>
      </c>
    </row>
    <row r="57" customFormat="false" ht="17.1" hidden="false" customHeight="true" outlineLevel="0" collapsed="false">
      <c r="A57" s="236" t="s">
        <v>500</v>
      </c>
      <c r="B57" s="237" t="n">
        <f aca="false">PGL_Supplies!Z7/1000+PGL_Supplies!C7/1000-PGL_Requirements!C7/1000</f>
        <v>40.2</v>
      </c>
      <c r="C57" s="252"/>
      <c r="D57" s="252"/>
      <c r="E57" s="252"/>
      <c r="F57" s="339" t="s">
        <v>501</v>
      </c>
      <c r="G57" s="252"/>
      <c r="H57" s="828" t="n">
        <f aca="false">NSG_Requirements!S7/1000</f>
        <v>0</v>
      </c>
      <c r="I57" s="829"/>
    </row>
    <row r="58" customFormat="false" ht="17.1" hidden="false" customHeight="true" outlineLevel="0" collapsed="false">
      <c r="A58" s="236" t="s">
        <v>502</v>
      </c>
      <c r="B58" s="237" t="n">
        <f aca="false">PGL_Requirements!U7/1000</f>
        <v>40.2</v>
      </c>
      <c r="C58" s="252"/>
      <c r="D58" s="252"/>
      <c r="E58" s="252"/>
      <c r="F58" s="339" t="s">
        <v>503</v>
      </c>
      <c r="G58" s="252"/>
      <c r="H58" s="830"/>
      <c r="I58" s="536" t="n">
        <f aca="false">PGL_Requirements!V7/1000</f>
        <v>0</v>
      </c>
    </row>
    <row r="59" customFormat="false" ht="17.1" hidden="false" customHeight="true" outlineLevel="0" collapsed="false">
      <c r="A59" s="236" t="s">
        <v>504</v>
      </c>
      <c r="B59" s="237" t="n">
        <f aca="false">PGL_Supplies!R7/1000</f>
        <v>0</v>
      </c>
      <c r="C59" s="252"/>
      <c r="D59" s="252"/>
      <c r="E59" s="252"/>
      <c r="F59" s="831" t="s">
        <v>495</v>
      </c>
      <c r="G59" s="252"/>
      <c r="H59" s="832" t="n">
        <f aca="false">NSG_Requirements!D7/1000</f>
        <v>0</v>
      </c>
      <c r="I59" s="833"/>
    </row>
    <row r="60" customFormat="false" ht="17.1" hidden="false" customHeight="true" outlineLevel="0" collapsed="false">
      <c r="A60" s="364" t="s">
        <v>495</v>
      </c>
      <c r="B60" s="237" t="n">
        <f aca="false">PGL_Requirements!I7/1000</f>
        <v>0</v>
      </c>
      <c r="C60" s="252"/>
      <c r="D60" s="252"/>
      <c r="E60" s="252"/>
      <c r="F60" s="834" t="s">
        <v>505</v>
      </c>
      <c r="G60" s="524"/>
      <c r="H60" s="832" t="n">
        <f aca="false">NSG_Requirements!O7/1000</f>
        <v>0</v>
      </c>
      <c r="I60" s="798" t="n">
        <f aca="false">+NSG_Supplies!L7/1000</f>
        <v>0</v>
      </c>
    </row>
    <row r="61" customFormat="false" ht="17.1" hidden="false" customHeight="true" outlineLevel="0" collapsed="false">
      <c r="A61" s="236" t="s">
        <v>506</v>
      </c>
      <c r="B61" s="835" t="n">
        <f aca="false">(NSG_Requirements!$S$7+NSG_Requirements!$T$7+NSG_Requirements!$U$7+NSG_Requirements!$N$7)/1000</f>
        <v>0</v>
      </c>
      <c r="C61" s="252"/>
      <c r="D61" s="252"/>
      <c r="E61" s="252"/>
      <c r="F61" s="836" t="s">
        <v>507</v>
      </c>
      <c r="G61" s="816"/>
      <c r="H61" s="837"/>
      <c r="I61" s="838" t="n">
        <f aca="false">NSG_Supplies!M7/1000</f>
        <v>0</v>
      </c>
    </row>
    <row r="62" customFormat="false" ht="17.1" hidden="false" customHeight="true" outlineLevel="0" collapsed="false">
      <c r="A62" s="796" t="s">
        <v>496</v>
      </c>
      <c r="B62" s="826" t="n">
        <f aca="false">B56+B57-B58+B59-B60+B61</f>
        <v>0</v>
      </c>
      <c r="C62" s="839"/>
      <c r="D62" s="839"/>
      <c r="E62" s="839"/>
      <c r="F62" s="840" t="s">
        <v>508</v>
      </c>
      <c r="G62" s="252"/>
      <c r="H62" s="830"/>
      <c r="I62" s="841" t="n">
        <v>0</v>
      </c>
    </row>
    <row r="63" customFormat="false" ht="17.1" hidden="false" customHeight="true" outlineLevel="0" collapsed="false">
      <c r="A63" s="818" t="s">
        <v>0</v>
      </c>
      <c r="B63" s="819"/>
      <c r="C63" s="819" t="s">
        <v>509</v>
      </c>
      <c r="D63" s="819"/>
      <c r="E63" s="842" t="s">
        <v>0</v>
      </c>
      <c r="F63" s="821" t="s">
        <v>510</v>
      </c>
      <c r="G63" s="252"/>
      <c r="H63" s="830"/>
      <c r="I63" s="795" t="n">
        <f aca="false">I58+I60+I56-H56</f>
        <v>0</v>
      </c>
    </row>
    <row r="64" customFormat="false" ht="17.1" hidden="false" customHeight="true" outlineLevel="0" collapsed="false">
      <c r="A64" s="236" t="s">
        <v>467</v>
      </c>
      <c r="B64" s="237" t="n">
        <f aca="false">PGL_Supplies!Y7/1000</f>
        <v>144.116</v>
      </c>
      <c r="C64" s="252"/>
      <c r="D64" s="252"/>
      <c r="E64" s="843"/>
      <c r="F64" s="541" t="s">
        <v>511</v>
      </c>
      <c r="G64" s="541"/>
      <c r="H64" s="541"/>
      <c r="I64" s="541"/>
    </row>
    <row r="65" customFormat="false" ht="17.1" hidden="false" customHeight="true" outlineLevel="0" collapsed="false">
      <c r="A65" s="236" t="s">
        <v>512</v>
      </c>
      <c r="B65" s="237" t="n">
        <f aca="false">PGL_Supplies!AD7/1000+PGL_Supplies!G7/1000-PGL_Requirements!F7/1000</f>
        <v>0</v>
      </c>
      <c r="C65" s="305" t="s">
        <v>0</v>
      </c>
      <c r="D65" s="252"/>
      <c r="E65" s="556"/>
      <c r="F65" s="844" t="s">
        <v>513</v>
      </c>
      <c r="G65" s="845"/>
      <c r="H65" s="846"/>
      <c r="I65" s="847" t="n">
        <f aca="false">NSG_Supplies!O7/1000</f>
        <v>0</v>
      </c>
    </row>
    <row r="66" customFormat="false" ht="17.1" hidden="false" customHeight="true" outlineLevel="0" collapsed="false">
      <c r="A66" s="236" t="s">
        <v>514</v>
      </c>
      <c r="B66" s="237" t="n">
        <f aca="false">PGL_Supplies!AE7/1000</f>
        <v>0</v>
      </c>
      <c r="C66" s="305" t="s">
        <v>0</v>
      </c>
      <c r="D66" s="252"/>
      <c r="E66" s="556"/>
      <c r="F66" s="845" t="s">
        <v>515</v>
      </c>
      <c r="G66" s="845"/>
      <c r="H66" s="848" t="n">
        <f aca="false">NSG_Requirements!M7/1000</f>
        <v>0</v>
      </c>
      <c r="I66" s="829"/>
    </row>
    <row r="67" customFormat="false" ht="17.1" hidden="false" customHeight="true" outlineLevel="0" collapsed="false">
      <c r="A67" s="236" t="s">
        <v>516</v>
      </c>
      <c r="B67" s="253" t="n">
        <f aca="false">PGL_Requirements!T7/1000</f>
        <v>0</v>
      </c>
      <c r="C67" s="849" t="s">
        <v>0</v>
      </c>
      <c r="D67" s="252"/>
      <c r="E67" s="556"/>
      <c r="F67" s="845" t="s">
        <v>517</v>
      </c>
      <c r="G67" s="845"/>
      <c r="H67" s="835" t="n">
        <f aca="false">(NSG_Requirements!$Y$7+NSG_Requirements!$Z$7+NSG_Requirements!$AA$7)/1000</f>
        <v>0</v>
      </c>
      <c r="I67" s="850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36" t="s">
        <v>518</v>
      </c>
      <c r="B68" s="237" t="n">
        <f aca="false">PGL_Supplies!P7/1000</f>
        <v>0</v>
      </c>
      <c r="C68" s="305" t="s">
        <v>0</v>
      </c>
      <c r="D68" s="252"/>
      <c r="E68" s="556"/>
      <c r="F68" s="851"/>
      <c r="G68" s="851"/>
      <c r="H68" s="852"/>
      <c r="I68" s="552"/>
    </row>
    <row r="69" customFormat="false" ht="17.1" hidden="false" customHeight="true" outlineLevel="0" collapsed="false">
      <c r="A69" s="364" t="s">
        <v>495</v>
      </c>
      <c r="B69" s="253" t="n">
        <f aca="false">PGL_Requirements!N7/1000</f>
        <v>0</v>
      </c>
      <c r="C69" s="849" t="s">
        <v>0</v>
      </c>
      <c r="D69" s="252"/>
      <c r="E69" s="853"/>
      <c r="F69" s="854" t="s">
        <v>519</v>
      </c>
      <c r="G69" s="846" t="s">
        <v>0</v>
      </c>
      <c r="H69" s="807" t="s">
        <v>520</v>
      </c>
      <c r="I69" s="556"/>
    </row>
    <row r="70" customFormat="false" ht="17.1" hidden="false" customHeight="true" outlineLevel="0" collapsed="false">
      <c r="A70" s="236" t="s">
        <v>521</v>
      </c>
      <c r="B70" s="253" t="n">
        <f aca="false">PGL_Requirements!P7/1000</f>
        <v>150</v>
      </c>
      <c r="C70" s="849" t="s">
        <v>0</v>
      </c>
      <c r="D70" s="252"/>
      <c r="E70" s="556"/>
      <c r="F70" s="854" t="s">
        <v>522</v>
      </c>
      <c r="G70" s="846" t="s">
        <v>0</v>
      </c>
      <c r="H70" s="855" t="s">
        <v>523</v>
      </c>
      <c r="I70" s="856"/>
    </row>
    <row r="71" customFormat="false" ht="17.1" hidden="false" customHeight="true" outlineLevel="0" collapsed="false">
      <c r="A71" s="236" t="s">
        <v>524</v>
      </c>
      <c r="B71" s="253" t="n">
        <f aca="false">PGL_Requirements!F7/1000</f>
        <v>4</v>
      </c>
      <c r="C71" s="305" t="s">
        <v>0</v>
      </c>
      <c r="D71" s="252"/>
      <c r="E71" s="556"/>
      <c r="F71" s="845" t="s">
        <v>525</v>
      </c>
      <c r="G71" s="846" t="s">
        <v>0</v>
      </c>
      <c r="H71" s="857"/>
      <c r="I71" s="556" t="s">
        <v>0</v>
      </c>
    </row>
    <row r="72" customFormat="false" ht="17.1" hidden="false" customHeight="true" outlineLevel="0" collapsed="false">
      <c r="A72" s="858" t="s">
        <v>496</v>
      </c>
      <c r="B72" s="859" t="n">
        <f aca="false">+B65+B64+B66+B68-B67-B69-B70</f>
        <v>-5.88399999999999</v>
      </c>
      <c r="C72" s="859" t="s">
        <v>0</v>
      </c>
      <c r="D72" s="502"/>
      <c r="E72" s="860"/>
      <c r="F72" s="861"/>
      <c r="G72" s="862"/>
      <c r="H72" s="863"/>
      <c r="I72" s="594"/>
    </row>
    <row r="73" customFormat="false" ht="17.1" hidden="false" customHeight="true" outlineLevel="0" collapsed="false">
      <c r="A73" s="541" t="s">
        <v>526</v>
      </c>
      <c r="B73" s="541"/>
      <c r="C73" s="541"/>
      <c r="D73" s="812"/>
      <c r="E73" s="812"/>
      <c r="F73" s="864" t="s">
        <v>527</v>
      </c>
      <c r="G73" s="865" t="str">
        <f aca="false">CHOOSE(WEEKDAY(H73),"SUN","MON","TUE","WED","THU","FRI","SAT")</f>
        <v>SAT</v>
      </c>
      <c r="H73" s="866" t="n">
        <f aca="false">Weather_Input!A5</f>
        <v>37037</v>
      </c>
      <c r="I73" s="538"/>
    </row>
    <row r="74" customFormat="false" ht="17.1" hidden="false" customHeight="true" outlineLevel="0" collapsed="false">
      <c r="A74" s="844" t="s">
        <v>528</v>
      </c>
      <c r="B74" s="252" t="s">
        <v>0</v>
      </c>
      <c r="C74" s="465"/>
      <c r="D74" s="867"/>
      <c r="E74" s="812"/>
      <c r="F74" s="812"/>
      <c r="G74" s="812"/>
      <c r="H74" s="812"/>
      <c r="I74" s="538"/>
    </row>
    <row r="75" customFormat="false" ht="17.1" hidden="false" customHeight="true" outlineLevel="0" collapsed="false">
      <c r="A75" s="339" t="s">
        <v>529</v>
      </c>
      <c r="B75" s="252"/>
      <c r="C75" s="465"/>
      <c r="D75" s="868"/>
      <c r="E75" s="845"/>
      <c r="F75" s="845"/>
      <c r="G75" s="845"/>
      <c r="H75" s="812"/>
      <c r="I75" s="538"/>
    </row>
    <row r="76" customFormat="false" ht="17.1" hidden="false" customHeight="true" outlineLevel="0" collapsed="false">
      <c r="A76" s="869" t="s">
        <v>530</v>
      </c>
      <c r="B76" s="816"/>
      <c r="C76" s="817"/>
      <c r="D76" s="870" t="s">
        <v>531</v>
      </c>
      <c r="E76" s="871"/>
      <c r="F76" s="872" t="s">
        <v>532</v>
      </c>
      <c r="G76" s="873"/>
      <c r="H76" s="874" t="s">
        <v>272</v>
      </c>
      <c r="I76" s="875" t="s">
        <v>272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8"/>
      <c r="G78" s="238"/>
      <c r="I78" s="0"/>
    </row>
    <row r="79" customFormat="false" ht="15" hidden="false" customHeight="false" outlineLevel="0" collapsed="false">
      <c r="B79" s="0"/>
      <c r="C79" s="0"/>
      <c r="D79" s="0"/>
      <c r="E79" s="0"/>
      <c r="F79" s="238"/>
      <c r="G79" s="238"/>
    </row>
    <row r="80" customFormat="false" ht="15" hidden="false" customHeight="false" outlineLevel="0" collapsed="false">
      <c r="B80" s="0"/>
      <c r="C80" s="0"/>
      <c r="D80" s="0"/>
      <c r="E80" s="0"/>
      <c r="F80" s="238"/>
      <c r="G80" s="238"/>
      <c r="J80" s="0"/>
    </row>
    <row r="81" customFormat="false" ht="12" hidden="false" customHeight="false" outlineLevel="0" collapsed="false">
      <c r="B81" s="238"/>
      <c r="C81" s="238"/>
      <c r="D81" s="238"/>
      <c r="E81" s="238"/>
      <c r="F81" s="238"/>
      <c r="G81" s="238"/>
    </row>
    <row r="82" customFormat="false" ht="12" hidden="false" customHeight="false" outlineLevel="0" collapsed="false">
      <c r="B82" s="238"/>
      <c r="C82" s="238"/>
      <c r="D82" s="238"/>
      <c r="E82" s="238"/>
      <c r="F82" s="238"/>
      <c r="G82" s="238"/>
    </row>
    <row r="83" customFormat="false" ht="12" hidden="false" customHeight="false" outlineLevel="0" collapsed="false">
      <c r="B83" s="238"/>
      <c r="C83" s="238"/>
      <c r="D83" s="238"/>
      <c r="E83" s="238"/>
      <c r="F83" s="238"/>
      <c r="G83" s="238"/>
    </row>
    <row r="84" customFormat="false" ht="12" hidden="false" customHeight="false" outlineLevel="0" collapsed="false">
      <c r="B84" s="238"/>
      <c r="C84" s="238"/>
      <c r="D84" s="238"/>
      <c r="E84" s="238"/>
      <c r="F84" s="238"/>
      <c r="G84" s="238"/>
    </row>
    <row r="85" customFormat="false" ht="12" hidden="false" customHeight="false" outlineLevel="0" collapsed="false">
      <c r="B85" s="238"/>
      <c r="C85" s="238"/>
      <c r="D85" s="238"/>
      <c r="E85" s="238"/>
      <c r="F85" s="238"/>
      <c r="G85" s="238"/>
    </row>
    <row r="86" customFormat="false" ht="12" hidden="false" customHeight="false" outlineLevel="0" collapsed="false">
      <c r="B86" s="238"/>
      <c r="C86" s="238"/>
      <c r="D86" s="238"/>
      <c r="E86" s="238"/>
      <c r="F86" s="238"/>
      <c r="G86" s="238"/>
    </row>
    <row r="87" customFormat="false" ht="12" hidden="false" customHeight="false" outlineLevel="0" collapsed="false">
      <c r="B87" s="238"/>
      <c r="C87" s="238"/>
      <c r="D87" s="238"/>
      <c r="E87" s="238"/>
      <c r="F87" s="238"/>
      <c r="G87" s="238"/>
    </row>
    <row r="88" customFormat="false" ht="12" hidden="false" customHeight="false" outlineLevel="0" collapsed="false">
      <c r="B88" s="238"/>
      <c r="C88" s="238"/>
      <c r="D88" s="238"/>
      <c r="E88" s="238"/>
      <c r="F88" s="238"/>
      <c r="G88" s="238"/>
    </row>
    <row r="89" customFormat="false" ht="12.75" hidden="false" customHeight="false" outlineLevel="0" collapsed="false">
      <c r="B89" s="238"/>
      <c r="C89" s="238"/>
      <c r="D89" s="238"/>
      <c r="E89" s="238"/>
      <c r="F89" s="238"/>
      <c r="G89" s="238"/>
    </row>
    <row r="90" customFormat="false" ht="16.5" hidden="false" customHeight="false" outlineLevel="0" collapsed="false">
      <c r="A90" s="214" t="s">
        <v>533</v>
      </c>
      <c r="B90" s="215"/>
      <c r="C90" s="215"/>
      <c r="D90" s="215"/>
      <c r="E90" s="216" t="s">
        <v>271</v>
      </c>
      <c r="F90" s="217" t="n">
        <f aca="false">Weather_Input!L5</f>
        <v>1</v>
      </c>
      <c r="G90" s="876" t="s">
        <v>0</v>
      </c>
      <c r="H90" s="219"/>
      <c r="I90" s="220"/>
    </row>
    <row r="91" customFormat="false" ht="15.75" hidden="false" customHeight="false" outlineLevel="0" collapsed="false">
      <c r="A91" s="229"/>
      <c r="B91" s="230" t="s">
        <v>534</v>
      </c>
      <c r="C91" s="258" t="s">
        <v>0</v>
      </c>
      <c r="D91" s="232" t="s">
        <v>535</v>
      </c>
      <c r="E91" s="233"/>
      <c r="F91" s="234" t="s">
        <v>536</v>
      </c>
      <c r="G91" s="233"/>
      <c r="H91" s="234" t="s">
        <v>277</v>
      </c>
      <c r="I91" s="235"/>
    </row>
    <row r="92" customFormat="false" ht="15" hidden="false" customHeight="false" outlineLevel="0" collapsed="false">
      <c r="A92" s="323" t="s">
        <v>537</v>
      </c>
      <c r="B92" s="232" t="s">
        <v>281</v>
      </c>
      <c r="C92" s="244" t="s">
        <v>282</v>
      </c>
      <c r="D92" s="232" t="s">
        <v>17</v>
      </c>
      <c r="E92" s="244" t="s">
        <v>282</v>
      </c>
      <c r="F92" s="232" t="s">
        <v>17</v>
      </c>
      <c r="G92" s="244" t="s">
        <v>282</v>
      </c>
      <c r="H92" s="232" t="s">
        <v>17</v>
      </c>
      <c r="I92" s="235" t="s">
        <v>282</v>
      </c>
    </row>
    <row r="93" customFormat="false" ht="15.75" hidden="false" customHeight="false" outlineLevel="0" collapsed="false">
      <c r="A93" s="229" t="s">
        <v>0</v>
      </c>
      <c r="B93" s="257"/>
      <c r="C93" s="380"/>
      <c r="D93" s="260"/>
      <c r="E93" s="260"/>
      <c r="F93" s="257"/>
      <c r="G93" s="258"/>
      <c r="H93" s="258"/>
      <c r="I93" s="259"/>
    </row>
    <row r="94" customFormat="false" ht="16.5" hidden="false" customHeight="false" outlineLevel="0" collapsed="false">
      <c r="A94" s="229" t="s">
        <v>291</v>
      </c>
      <c r="B94" s="877" t="s">
        <v>0</v>
      </c>
      <c r="C94" s="878" t="s">
        <v>0</v>
      </c>
      <c r="D94" s="879" t="s">
        <v>0</v>
      </c>
      <c r="E94" s="880"/>
      <c r="F94" s="881"/>
      <c r="G94" s="397"/>
      <c r="H94" s="881"/>
      <c r="I94" s="235"/>
    </row>
    <row r="95" customFormat="false" ht="16.5" hidden="false" customHeight="false" outlineLevel="0" collapsed="false">
      <c r="A95" s="309"/>
      <c r="B95" s="294" t="s">
        <v>0</v>
      </c>
      <c r="C95" s="294" t="s">
        <v>0</v>
      </c>
      <c r="D95" s="307"/>
      <c r="E95" s="307"/>
      <c r="F95" s="307"/>
      <c r="G95" s="307"/>
      <c r="H95" s="307"/>
      <c r="I95" s="308"/>
    </row>
    <row r="96" customFormat="false" ht="15" hidden="false" customHeight="false" outlineLevel="0" collapsed="false">
      <c r="A96" s="323" t="s">
        <v>451</v>
      </c>
      <c r="B96" s="312" t="s">
        <v>0</v>
      </c>
      <c r="C96" s="882" t="e">
        <f aca="false">I150</f>
        <v>#REF!</v>
      </c>
      <c r="D96" s="314"/>
      <c r="E96" s="258"/>
      <c r="F96" s="314"/>
      <c r="G96" s="258"/>
      <c r="H96" s="314"/>
      <c r="I96" s="259" t="s">
        <v>0</v>
      </c>
    </row>
    <row r="97" customFormat="false" ht="15" hidden="false" customHeight="false" outlineLevel="0" collapsed="false">
      <c r="A97" s="323" t="s">
        <v>83</v>
      </c>
      <c r="B97" s="322" t="s">
        <v>0</v>
      </c>
      <c r="C97" s="882" t="n">
        <f aca="false">B133</f>
        <v>0</v>
      </c>
      <c r="D97" s="260"/>
      <c r="E97" s="313" t="n">
        <f aca="false">+C97</f>
        <v>0</v>
      </c>
      <c r="F97" s="260"/>
      <c r="G97" s="313" t="n">
        <f aca="false">+C97</f>
        <v>0</v>
      </c>
      <c r="H97" s="260"/>
      <c r="I97" s="316" t="n">
        <f aca="false">+C97</f>
        <v>0</v>
      </c>
    </row>
    <row r="98" customFormat="false" ht="15" hidden="false" customHeight="false" outlineLevel="0" collapsed="false">
      <c r="A98" s="323" t="s">
        <v>72</v>
      </c>
      <c r="B98" s="322" t="s">
        <v>0</v>
      </c>
      <c r="C98" s="882" t="n">
        <f aca="false">B149</f>
        <v>1</v>
      </c>
      <c r="D98" s="260"/>
      <c r="E98" s="258"/>
      <c r="F98" s="260"/>
      <c r="G98" s="258"/>
      <c r="H98" s="260"/>
      <c r="I98" s="259"/>
    </row>
    <row r="99" customFormat="false" ht="15" hidden="false" customHeight="false" outlineLevel="0" collapsed="false">
      <c r="A99" s="323" t="s">
        <v>84</v>
      </c>
      <c r="B99" s="322" t="s">
        <v>0</v>
      </c>
      <c r="C99" s="882" t="n">
        <f aca="false">B141</f>
        <v>163.957</v>
      </c>
      <c r="D99" s="275"/>
      <c r="E99" s="258"/>
      <c r="F99" s="260"/>
      <c r="G99" s="258"/>
      <c r="H99" s="260"/>
      <c r="I99" s="259"/>
    </row>
    <row r="100" customFormat="false" ht="15" hidden="false" customHeight="false" outlineLevel="0" collapsed="false">
      <c r="A100" s="323" t="s">
        <v>358</v>
      </c>
      <c r="B100" s="336" t="s">
        <v>0</v>
      </c>
      <c r="C100" s="882" t="n">
        <f aca="false">I157+I158</f>
        <v>0</v>
      </c>
      <c r="D100" s="260"/>
      <c r="E100" s="258"/>
      <c r="F100" s="260"/>
      <c r="G100" s="258"/>
      <c r="H100" s="260"/>
      <c r="I100" s="259"/>
    </row>
    <row r="101" customFormat="false" ht="15" hidden="false" customHeight="false" outlineLevel="0" collapsed="false">
      <c r="A101" s="323" t="s">
        <v>316</v>
      </c>
      <c r="B101" s="322" t="s">
        <v>0</v>
      </c>
      <c r="C101" s="882" t="e">
        <f aca="false">I146</f>
        <v>#REF!</v>
      </c>
      <c r="D101" s="260" t="s">
        <v>0</v>
      </c>
      <c r="E101" s="258"/>
      <c r="F101" s="260"/>
      <c r="G101" s="258"/>
      <c r="H101" s="260"/>
      <c r="I101" s="259"/>
    </row>
    <row r="102" customFormat="false" ht="15" hidden="false" customHeight="false" outlineLevel="0" collapsed="false">
      <c r="A102" s="323" t="s">
        <v>40</v>
      </c>
      <c r="B102" s="322" t="s">
        <v>2</v>
      </c>
      <c r="C102" s="882" t="n">
        <f aca="false">B162</f>
        <v>144.116</v>
      </c>
      <c r="D102" s="260"/>
      <c r="E102" s="258"/>
      <c r="F102" s="260"/>
      <c r="G102" s="258"/>
      <c r="H102" s="260"/>
      <c r="I102" s="259"/>
    </row>
    <row r="103" customFormat="false" ht="15" hidden="false" customHeight="false" outlineLevel="0" collapsed="false">
      <c r="A103" s="323" t="s">
        <v>147</v>
      </c>
      <c r="B103" s="322" t="s">
        <v>0</v>
      </c>
      <c r="C103" s="882" t="n">
        <f aca="false">PGL_Requirements!G7/1000</f>
        <v>0</v>
      </c>
      <c r="D103" s="275"/>
      <c r="E103" s="258"/>
      <c r="F103" s="260"/>
      <c r="G103" s="258"/>
      <c r="H103" s="260"/>
      <c r="I103" s="259"/>
    </row>
    <row r="104" customFormat="false" ht="15.75" hidden="false" customHeight="false" outlineLevel="0" collapsed="false">
      <c r="A104" s="323" t="s">
        <v>169</v>
      </c>
      <c r="B104" s="355" t="s">
        <v>0</v>
      </c>
      <c r="C104" s="882" t="n">
        <f aca="false">PGL_Supplies!B7/1000</f>
        <v>5</v>
      </c>
      <c r="D104" s="232"/>
      <c r="E104" s="258"/>
      <c r="F104" s="260"/>
      <c r="G104" s="258"/>
      <c r="H104" s="260"/>
      <c r="I104" s="259"/>
    </row>
    <row r="105" customFormat="false" ht="16.5" hidden="false" customHeight="false" outlineLevel="0" collapsed="false">
      <c r="A105" s="358" t="s">
        <v>538</v>
      </c>
      <c r="B105" s="359" t="s">
        <v>0</v>
      </c>
      <c r="C105" s="360" t="s">
        <v>0</v>
      </c>
      <c r="D105" s="361" t="s">
        <v>0</v>
      </c>
      <c r="E105" s="362" t="s">
        <v>0</v>
      </c>
      <c r="F105" s="361" t="s">
        <v>0</v>
      </c>
      <c r="G105" s="362" t="s">
        <v>0</v>
      </c>
      <c r="H105" s="361" t="s">
        <v>0</v>
      </c>
      <c r="I105" s="363"/>
    </row>
    <row r="106" customFormat="false" ht="16.5" hidden="false" customHeight="false" outlineLevel="0" collapsed="false">
      <c r="A106" s="329" t="s">
        <v>41</v>
      </c>
      <c r="B106" s="373" t="n">
        <f aca="false">-PGL_Supplies!U7/1000</f>
        <v>-0</v>
      </c>
      <c r="C106" s="883" t="n">
        <f aca="false">-NSG_Supplies!AF7/1000</f>
        <v>-0</v>
      </c>
      <c r="D106" s="375"/>
      <c r="E106" s="884"/>
      <c r="F106" s="375"/>
      <c r="G106" s="884"/>
      <c r="H106" s="376"/>
      <c r="I106" s="885"/>
    </row>
    <row r="107" customFormat="false" ht="15" hidden="false" customHeight="false" outlineLevel="0" collapsed="false">
      <c r="A107" s="323" t="s">
        <v>539</v>
      </c>
      <c r="B107" s="322" t="e">
        <f aca="false">B94+B105+B106</f>
        <v>#VALUE!</v>
      </c>
      <c r="C107" s="782" t="e">
        <f aca="false">C94+C105+C106</f>
        <v>#VALUE!</v>
      </c>
      <c r="D107" s="380"/>
      <c r="E107" s="257"/>
      <c r="F107" s="380"/>
      <c r="G107" s="257"/>
      <c r="H107" s="258"/>
      <c r="I107" s="235"/>
    </row>
    <row r="108" customFormat="false" ht="15" hidden="false" customHeight="false" outlineLevel="0" collapsed="false">
      <c r="A108" s="323" t="s">
        <v>336</v>
      </c>
      <c r="B108" s="322" t="n">
        <v>0</v>
      </c>
      <c r="C108" s="257"/>
      <c r="D108" s="380"/>
      <c r="E108" s="257"/>
      <c r="F108" s="380"/>
      <c r="G108" s="257"/>
      <c r="H108" s="258"/>
      <c r="I108" s="277"/>
    </row>
    <row r="109" customFormat="false" ht="15" hidden="false" customHeight="false" outlineLevel="0" collapsed="false">
      <c r="A109" s="323" t="s">
        <v>279</v>
      </c>
      <c r="B109" s="322" t="n">
        <f aca="false">+B129</f>
        <v>0</v>
      </c>
      <c r="C109" s="257"/>
      <c r="D109" s="380"/>
      <c r="E109" s="257"/>
      <c r="F109" s="388" t="s">
        <v>0</v>
      </c>
      <c r="G109" s="774"/>
      <c r="H109" s="783" t="s">
        <v>0</v>
      </c>
      <c r="I109" s="235"/>
    </row>
    <row r="110" customFormat="false" ht="15.75" hidden="false" customHeight="false" outlineLevel="0" collapsed="false">
      <c r="A110" s="886" t="s">
        <v>341</v>
      </c>
      <c r="B110" s="785" t="e">
        <f aca="false">B107+B108+B109</f>
        <v>#VALUE!</v>
      </c>
      <c r="C110" s="786" t="e">
        <f aca="false">C107</f>
        <v>#VALUE!</v>
      </c>
      <c r="D110" s="380"/>
      <c r="E110" s="257"/>
      <c r="F110" s="276"/>
      <c r="G110" s="257"/>
      <c r="H110" s="787" t="s">
        <v>0</v>
      </c>
      <c r="I110" s="788" t="s">
        <v>0</v>
      </c>
    </row>
    <row r="111" customFormat="false" ht="16.5" hidden="false" customHeight="false" outlineLevel="0" collapsed="false">
      <c r="A111" s="887" t="s">
        <v>344</v>
      </c>
      <c r="B111" s="774" t="n">
        <f aca="false">-NSG_Requirements!$L$7/1000</f>
        <v>-0</v>
      </c>
      <c r="C111" s="774" t="n">
        <f aca="false">NSG_Requirements!$L$7/1000</f>
        <v>0</v>
      </c>
      <c r="D111" s="354" t="n">
        <f aca="false">B111</f>
        <v>-0</v>
      </c>
      <c r="E111" s="774" t="n">
        <f aca="false">C111</f>
        <v>0</v>
      </c>
      <c r="F111" s="354" t="n">
        <f aca="false">B111</f>
        <v>-0</v>
      </c>
      <c r="G111" s="774" t="n">
        <f aca="false">C111</f>
        <v>0</v>
      </c>
      <c r="H111" s="790" t="n">
        <f aca="false">B111</f>
        <v>-0</v>
      </c>
      <c r="I111" s="791" t="n">
        <f aca="false">C111</f>
        <v>0</v>
      </c>
    </row>
    <row r="112" customFormat="false" ht="15" hidden="false" customHeight="false" outlineLevel="0" collapsed="false">
      <c r="A112" s="323" t="s">
        <v>540</v>
      </c>
      <c r="B112" s="774"/>
      <c r="C112" s="774"/>
      <c r="D112" s="354"/>
      <c r="E112" s="774"/>
      <c r="F112" s="354"/>
      <c r="G112" s="774"/>
      <c r="H112" s="425"/>
      <c r="I112" s="888"/>
    </row>
    <row r="113" customFormat="false" ht="15.75" hidden="false" customHeight="false" outlineLevel="0" collapsed="false">
      <c r="A113" s="236" t="s">
        <v>416</v>
      </c>
      <c r="B113" s="793" t="n">
        <f aca="false">PGL_Requirements!V7/1000</f>
        <v>0</v>
      </c>
      <c r="C113" s="793" t="n">
        <f aca="false">NSG_Requirements!Q7/1000</f>
        <v>0</v>
      </c>
      <c r="D113" s="793" t="n">
        <f aca="false">B113</f>
        <v>0</v>
      </c>
      <c r="E113" s="793" t="n">
        <f aca="false">+C113</f>
        <v>0</v>
      </c>
      <c r="F113" s="793" t="n">
        <f aca="false">B113</f>
        <v>0</v>
      </c>
      <c r="G113" s="793" t="n">
        <f aca="false">+C113</f>
        <v>0</v>
      </c>
      <c r="H113" s="794" t="n">
        <f aca="false">B113</f>
        <v>0</v>
      </c>
      <c r="I113" s="795" t="n">
        <f aca="false">+C113</f>
        <v>0</v>
      </c>
    </row>
    <row r="114" customFormat="false" ht="15.75" hidden="false" customHeight="false" outlineLevel="0" collapsed="false">
      <c r="A114" s="236" t="s">
        <v>541</v>
      </c>
      <c r="B114" s="793" t="n">
        <f aca="false">PGL_Requirements!AC7/1000</f>
        <v>0</v>
      </c>
      <c r="C114" s="793" t="n">
        <f aca="false">NSG_Requirements!AA7/1000</f>
        <v>0</v>
      </c>
      <c r="D114" s="793" t="n">
        <f aca="false">PGL_Requirements!AC7/1000</f>
        <v>0</v>
      </c>
      <c r="E114" s="793" t="n">
        <f aca="false">NSG_Requirements!AA7/1000</f>
        <v>0</v>
      </c>
      <c r="F114" s="793" t="n">
        <f aca="false">PGL_Requirements!AC7/1000</f>
        <v>0</v>
      </c>
      <c r="G114" s="793" t="n">
        <f aca="false">NSG_Requirements!AA7/1000</f>
        <v>0</v>
      </c>
      <c r="H114" s="794" t="n">
        <f aca="false">+B114</f>
        <v>0</v>
      </c>
      <c r="I114" s="795" t="n">
        <f aca="false">+C114</f>
        <v>0</v>
      </c>
    </row>
    <row r="115" customFormat="false" ht="15" hidden="false" customHeight="false" outlineLevel="0" collapsed="false">
      <c r="A115" s="236" t="s">
        <v>542</v>
      </c>
      <c r="B115" s="464" t="n">
        <v>0</v>
      </c>
      <c r="C115" s="464" t="n">
        <v>0</v>
      </c>
      <c r="D115" s="464" t="n">
        <v>0</v>
      </c>
      <c r="E115" s="464" t="n">
        <v>0</v>
      </c>
      <c r="F115" s="464" t="n">
        <v>0</v>
      </c>
      <c r="G115" s="464" t="n">
        <f aca="false">C115</f>
        <v>0</v>
      </c>
      <c r="H115" s="797" t="n">
        <f aca="false">B115</f>
        <v>0</v>
      </c>
      <c r="I115" s="798" t="n">
        <f aca="false">C115</f>
        <v>0</v>
      </c>
    </row>
    <row r="116" customFormat="false" ht="15" hidden="false" customHeight="false" outlineLevel="0" collapsed="false">
      <c r="A116" s="236" t="s">
        <v>417</v>
      </c>
      <c r="B116" s="799" t="n">
        <f aca="false">-PGL_Supplies!Z7/1000</f>
        <v>-40.2</v>
      </c>
      <c r="C116" s="799" t="n">
        <f aca="false">-NSG_Supplies!W7/1000</f>
        <v>-0</v>
      </c>
      <c r="D116" s="464" t="n">
        <f aca="false">-PGL_Supplies!Z7/1000</f>
        <v>-40.2</v>
      </c>
      <c r="E116" s="464" t="n">
        <f aca="false">-NSG_Supplies!W7/1000</f>
        <v>-0</v>
      </c>
      <c r="F116" s="464" t="n">
        <f aca="false">-PGL_Supplies!Z7/1000</f>
        <v>-40.2</v>
      </c>
      <c r="G116" s="464" t="n">
        <f aca="false">-NSG_Supplies!W7/1000</f>
        <v>-0</v>
      </c>
      <c r="H116" s="797" t="n">
        <f aca="false">-PGL_Supplies!Z7/1000</f>
        <v>-40.2</v>
      </c>
      <c r="I116" s="798" t="n">
        <f aca="false">-NSG_Supplies!W7/1000</f>
        <v>-0</v>
      </c>
    </row>
    <row r="117" customFormat="false" ht="15" hidden="false" customHeight="false" outlineLevel="0" collapsed="false">
      <c r="A117" s="236" t="s">
        <v>419</v>
      </c>
      <c r="B117" s="464" t="n">
        <f aca="false">-PGL_Supplies!AA7/1000</f>
        <v>-0</v>
      </c>
      <c r="C117" s="464" t="n">
        <f aca="false">-NSG_Supplies!X7/1000</f>
        <v>-0</v>
      </c>
      <c r="D117" s="464" t="n">
        <f aca="false">-PGL_Supplies!AA7/1000</f>
        <v>-0</v>
      </c>
      <c r="E117" s="464" t="n">
        <f aca="false">-NSG_Supplies!X7/1000</f>
        <v>-0</v>
      </c>
      <c r="F117" s="464" t="n">
        <f aca="false">-PGL_Supplies!AA7/1000</f>
        <v>-0</v>
      </c>
      <c r="G117" s="464" t="n">
        <f aca="false">-NSG_Supplies!X7/1000</f>
        <v>-0</v>
      </c>
      <c r="H117" s="797" t="n">
        <f aca="false">-PGL_Supplies!AA7/1000</f>
        <v>-0</v>
      </c>
      <c r="I117" s="798" t="n">
        <f aca="false">-NSG_Supplies!X7/1000</f>
        <v>-0</v>
      </c>
    </row>
    <row r="118" customFormat="false" ht="15.75" hidden="false" customHeight="false" outlineLevel="0" collapsed="false">
      <c r="A118" s="236" t="s">
        <v>348</v>
      </c>
      <c r="B118" s="801" t="n">
        <f aca="false">(PGL_Requirements!$Y$7+PGL_Requirements!$Z$7+PGL_Requirements!$AA$7)/1000+(NSG_Requirements!$V$7+NSG_Requirements!$W$7+NSG_Requirements!$X$7)/1000</f>
        <v>0</v>
      </c>
      <c r="C118" s="801" t="n">
        <f aca="false">-(PGL_Requirements!$Y$7+PGL_Requirements!$Z$7+PGL_Requirements!$AA$7)/1000+(NSG_Requirements!$V$7+NSG_Requirements!$W$7+NSG_Requirements!$X$7)/1000</f>
        <v>0</v>
      </c>
      <c r="D118" s="793" t="n">
        <f aca="false">+B118</f>
        <v>0</v>
      </c>
      <c r="E118" s="464" t="n">
        <f aca="false">+C118</f>
        <v>0</v>
      </c>
      <c r="F118" s="793" t="n">
        <f aca="false">+B118</f>
        <v>0</v>
      </c>
      <c r="G118" s="464" t="n">
        <f aca="false">+E118</f>
        <v>0</v>
      </c>
      <c r="H118" s="794" t="n">
        <f aca="false">+B118</f>
        <v>0</v>
      </c>
      <c r="I118" s="795" t="n">
        <f aca="false">+C118</f>
        <v>0</v>
      </c>
    </row>
    <row r="119" customFormat="false" ht="15" hidden="false" customHeight="false" outlineLevel="0" collapsed="false">
      <c r="A119" s="236" t="s">
        <v>351</v>
      </c>
      <c r="B119" s="464" t="n">
        <f aca="false">-PGL_Supplies!AN7/1000</f>
        <v>-0</v>
      </c>
      <c r="C119" s="464" t="n">
        <f aca="false">-NSG_Supplies!AD7/1000</f>
        <v>-0</v>
      </c>
      <c r="D119" s="464" t="n">
        <f aca="false">B119</f>
        <v>-0</v>
      </c>
      <c r="E119" s="464" t="n">
        <f aca="false">C119</f>
        <v>-0</v>
      </c>
      <c r="F119" s="464" t="n">
        <f aca="false">B119</f>
        <v>-0</v>
      </c>
      <c r="G119" s="464" t="n">
        <f aca="false">C119</f>
        <v>-0</v>
      </c>
      <c r="H119" s="797" t="n">
        <f aca="false">B119</f>
        <v>-0</v>
      </c>
      <c r="I119" s="798" t="n">
        <f aca="false">C119</f>
        <v>-0</v>
      </c>
    </row>
    <row r="120" customFormat="false" ht="15" hidden="false" customHeight="false" outlineLevel="0" collapsed="false">
      <c r="A120" s="236" t="s">
        <v>352</v>
      </c>
      <c r="B120" s="464" t="n">
        <f aca="false">-PGL_Supplies!AJ7/1000</f>
        <v>-0</v>
      </c>
      <c r="C120" s="464" t="n">
        <f aca="false">-NSG_Supplies!AE7/1000</f>
        <v>-0</v>
      </c>
      <c r="D120" s="464" t="n">
        <f aca="false">B120</f>
        <v>-0</v>
      </c>
      <c r="E120" s="464" t="n">
        <f aca="false">C120</f>
        <v>-0</v>
      </c>
      <c r="F120" s="464" t="n">
        <f aca="false">B120</f>
        <v>-0</v>
      </c>
      <c r="G120" s="464" t="n">
        <f aca="false">C120</f>
        <v>-0</v>
      </c>
      <c r="H120" s="797" t="n">
        <f aca="false">B120</f>
        <v>-0</v>
      </c>
      <c r="I120" s="798" t="n">
        <f aca="false">C120</f>
        <v>-0</v>
      </c>
    </row>
    <row r="121" customFormat="false" ht="15.75" hidden="false" customHeight="false" outlineLevel="0" collapsed="false">
      <c r="A121" s="236" t="s">
        <v>420</v>
      </c>
      <c r="B121" s="793" t="n">
        <f aca="false">PGL_Requirements!AD7/1000</f>
        <v>0</v>
      </c>
      <c r="C121" s="793" t="s">
        <v>0</v>
      </c>
      <c r="D121" s="793" t="n">
        <f aca="false">+B121</f>
        <v>0</v>
      </c>
      <c r="E121" s="252"/>
      <c r="F121" s="793" t="n">
        <f aca="false">+D121</f>
        <v>0</v>
      </c>
      <c r="G121" s="252"/>
      <c r="H121" s="794" t="n">
        <f aca="false">+B121</f>
        <v>0</v>
      </c>
      <c r="I121" s="795" t="str">
        <f aca="false">+C121</f>
        <v> </v>
      </c>
    </row>
    <row r="122" customFormat="false" ht="15.75" hidden="false" customHeight="false" outlineLevel="0" collapsed="false">
      <c r="A122" s="236" t="s">
        <v>543</v>
      </c>
      <c r="B122" s="793" t="n">
        <f aca="false">PGL_Requirements!Y7/1000</f>
        <v>0</v>
      </c>
      <c r="C122" s="793" t="n">
        <f aca="false">NSG_Requirements!U7/1000</f>
        <v>0</v>
      </c>
      <c r="D122" s="252"/>
      <c r="E122" s="252"/>
      <c r="F122" s="252"/>
      <c r="G122" s="252"/>
      <c r="H122" s="466"/>
      <c r="I122" s="803"/>
    </row>
    <row r="123" customFormat="false" ht="15" hidden="false" customHeight="false" outlineLevel="0" collapsed="false">
      <c r="A123" s="236" t="s">
        <v>544</v>
      </c>
      <c r="B123" s="464" t="n">
        <f aca="false">-PGL_Supplies!X7/1000</f>
        <v>-0.3</v>
      </c>
      <c r="C123" s="464" t="n">
        <f aca="false">-NSG_Supplies!S7/1000</f>
        <v>-18.998</v>
      </c>
      <c r="D123" s="252"/>
      <c r="E123" s="252"/>
      <c r="F123" s="252"/>
      <c r="G123" s="252"/>
      <c r="H123" s="466"/>
      <c r="I123" s="803"/>
    </row>
    <row r="124" customFormat="false" ht="16.5" hidden="false" customHeight="false" outlineLevel="0" collapsed="false">
      <c r="A124" s="301" t="s">
        <v>0</v>
      </c>
      <c r="B124" s="444" t="s">
        <v>0</v>
      </c>
      <c r="C124" s="445" t="s">
        <v>83</v>
      </c>
      <c r="D124" s="446"/>
      <c r="E124" s="447"/>
      <c r="F124" s="448" t="s">
        <v>355</v>
      </c>
      <c r="G124" s="448"/>
      <c r="H124" s="448"/>
      <c r="I124" s="448"/>
    </row>
    <row r="125" customFormat="false" ht="15" hidden="false" customHeight="false" outlineLevel="0" collapsed="false">
      <c r="A125" s="236" t="s">
        <v>422</v>
      </c>
      <c r="B125" s="464" t="n">
        <f aca="false">PGL_Requirements!U7/1000</f>
        <v>40.2</v>
      </c>
      <c r="F125" s="350" t="s">
        <v>0</v>
      </c>
      <c r="G125" s="542"/>
      <c r="H125" s="889"/>
      <c r="I125" s="458"/>
    </row>
    <row r="126" customFormat="false" ht="15" hidden="false" customHeight="false" outlineLevel="0" collapsed="false">
      <c r="A126" s="236" t="s">
        <v>545</v>
      </c>
      <c r="B126" s="237" t="n">
        <f aca="false">PGL_Supplies!R7/1000</f>
        <v>0</v>
      </c>
      <c r="C126" s="464" t="s">
        <v>0</v>
      </c>
      <c r="D126" s="252"/>
      <c r="E126" s="465"/>
      <c r="F126" s="236" t="s">
        <v>357</v>
      </c>
      <c r="G126" s="457"/>
      <c r="H126" s="343"/>
      <c r="I126" s="458"/>
    </row>
    <row r="127" customFormat="false" ht="15" hidden="false" customHeight="false" outlineLevel="0" collapsed="false">
      <c r="A127" s="236" t="s">
        <v>546</v>
      </c>
      <c r="B127" s="464" t="n">
        <f aca="false">PGL_Requirements!O7/1000</f>
        <v>0</v>
      </c>
      <c r="C127" s="464" t="s">
        <v>0</v>
      </c>
      <c r="D127" s="252"/>
      <c r="E127" s="465"/>
      <c r="F127" s="236" t="s">
        <v>360</v>
      </c>
      <c r="G127" s="457"/>
      <c r="H127" s="466"/>
      <c r="I127" s="458"/>
    </row>
    <row r="128" customFormat="false" ht="15" hidden="false" customHeight="false" outlineLevel="0" collapsed="false">
      <c r="A128" s="236" t="s">
        <v>416</v>
      </c>
      <c r="B128" s="464" t="n">
        <f aca="false">PGL_Requirements!I7/1000</f>
        <v>0</v>
      </c>
      <c r="C128" s="464" t="s">
        <v>0</v>
      </c>
      <c r="D128" s="252"/>
      <c r="E128" s="465"/>
      <c r="F128" s="236" t="s">
        <v>364</v>
      </c>
      <c r="G128" s="457"/>
      <c r="H128" s="466"/>
      <c r="I128" s="458"/>
    </row>
    <row r="129" customFormat="false" ht="15" hidden="false" customHeight="false" outlineLevel="0" collapsed="false">
      <c r="A129" s="236" t="s">
        <v>301</v>
      </c>
      <c r="B129" s="464" t="n">
        <f aca="false">PGL_Requirements!C7/1000</f>
        <v>0</v>
      </c>
      <c r="C129" s="252"/>
      <c r="D129" s="252"/>
      <c r="E129" s="465"/>
      <c r="F129" s="236" t="s">
        <v>366</v>
      </c>
      <c r="G129" s="457"/>
      <c r="H129" s="466"/>
      <c r="I129" s="458"/>
    </row>
    <row r="130" customFormat="false" ht="15" hidden="false" customHeight="false" outlineLevel="0" collapsed="false">
      <c r="A130" s="236" t="s">
        <v>305</v>
      </c>
      <c r="B130" s="464" t="n">
        <f aca="false">PGL_Requirements!AA7/1000</f>
        <v>0</v>
      </c>
      <c r="C130" s="310"/>
      <c r="D130" s="252"/>
      <c r="E130" s="465"/>
      <c r="F130" s="236" t="s">
        <v>368</v>
      </c>
      <c r="G130" s="457"/>
      <c r="H130" s="466"/>
      <c r="I130" s="458"/>
    </row>
    <row r="131" customFormat="false" ht="15" hidden="false" customHeight="false" outlineLevel="0" collapsed="false">
      <c r="A131" s="8" t="s">
        <v>162</v>
      </c>
      <c r="B131" s="237" t="n">
        <f aca="false">PGL_Supplies!Z7/1000</f>
        <v>40.2</v>
      </c>
      <c r="C131" s="252"/>
      <c r="D131" s="252"/>
      <c r="E131" s="465"/>
      <c r="F131" s="364" t="s">
        <v>372</v>
      </c>
      <c r="G131" s="457"/>
      <c r="H131" s="466"/>
      <c r="I131" s="458"/>
    </row>
    <row r="132" customFormat="false" ht="15.75" hidden="false" customHeight="false" outlineLevel="0" collapsed="false">
      <c r="A132" s="236" t="s">
        <v>467</v>
      </c>
      <c r="B132" s="237" t="n">
        <f aca="false">PGL_Supplies!U7/1000</f>
        <v>0</v>
      </c>
      <c r="C132" s="280"/>
      <c r="D132" s="280"/>
      <c r="E132" s="472"/>
      <c r="F132" s="236" t="s">
        <v>374</v>
      </c>
      <c r="G132" s="457"/>
      <c r="H132" s="466"/>
      <c r="I132" s="458"/>
    </row>
    <row r="133" customFormat="false" ht="16.5" hidden="false" customHeight="false" outlineLevel="0" collapsed="false">
      <c r="A133" s="289" t="s">
        <v>292</v>
      </c>
      <c r="B133" s="283" t="n">
        <f aca="false">B126+B127+B130+B131+B132-B125-B128-B129</f>
        <v>0</v>
      </c>
      <c r="C133" s="292"/>
      <c r="D133" s="292"/>
      <c r="E133" s="476"/>
      <c r="F133" s="236" t="s">
        <v>377</v>
      </c>
      <c r="G133" s="457"/>
      <c r="H133" s="466"/>
      <c r="I133" s="458"/>
    </row>
    <row r="134" customFormat="false" ht="15.75" hidden="false" customHeight="false" outlineLevel="0" collapsed="false">
      <c r="A134" s="337" t="s">
        <v>0</v>
      </c>
      <c r="B134" s="413" t="s">
        <v>0</v>
      </c>
      <c r="C134" s="890" t="s">
        <v>84</v>
      </c>
      <c r="D134" s="338"/>
      <c r="E134" s="338" t="s">
        <v>0</v>
      </c>
      <c r="F134" s="891" t="s">
        <v>380</v>
      </c>
      <c r="G134" s="545"/>
      <c r="H134" s="466"/>
      <c r="I134" s="458"/>
    </row>
    <row r="135" customFormat="false" ht="15" hidden="false" customHeight="false" outlineLevel="0" collapsed="false">
      <c r="A135" s="236" t="s">
        <v>416</v>
      </c>
      <c r="B135" s="892" t="n">
        <f aca="false">PGL_Requirements!J7</f>
        <v>0</v>
      </c>
      <c r="C135" s="238"/>
      <c r="D135" s="238"/>
      <c r="E135" s="238"/>
      <c r="F135" s="505" t="s">
        <v>354</v>
      </c>
      <c r="G135" s="545"/>
      <c r="H135" s="506"/>
      <c r="I135" s="458"/>
    </row>
    <row r="136" customFormat="false" ht="15" hidden="false" customHeight="false" outlineLevel="0" collapsed="false">
      <c r="A136" s="236" t="s">
        <v>547</v>
      </c>
      <c r="B136" s="237" t="n">
        <f aca="false">NSG_Supplies!O7/1011</f>
        <v>0</v>
      </c>
      <c r="C136" s="252"/>
      <c r="D136" s="252"/>
      <c r="E136" s="252"/>
      <c r="F136" s="236" t="s">
        <v>367</v>
      </c>
      <c r="G136" s="457"/>
      <c r="H136" s="427"/>
      <c r="I136" s="458"/>
    </row>
    <row r="137" customFormat="false" ht="15" hidden="false" customHeight="false" outlineLevel="0" collapsed="false">
      <c r="A137" s="236" t="s">
        <v>548</v>
      </c>
      <c r="B137" s="237" t="n">
        <f aca="false">PGL_Supplies!AA7/1000</f>
        <v>0</v>
      </c>
      <c r="C137" s="310"/>
      <c r="D137" s="252"/>
      <c r="E137" s="252"/>
      <c r="F137" s="236" t="s">
        <v>371</v>
      </c>
      <c r="G137" s="457"/>
      <c r="H137" s="466"/>
      <c r="I137" s="458"/>
    </row>
    <row r="138" customFormat="false" ht="15" hidden="false" customHeight="false" outlineLevel="0" collapsed="false">
      <c r="A138" s="236" t="s">
        <v>347</v>
      </c>
      <c r="B138" s="892" t="n">
        <f aca="false">PGL_Requirements!D7</f>
        <v>0</v>
      </c>
      <c r="C138" s="252"/>
      <c r="D138" s="252"/>
      <c r="E138" s="252"/>
      <c r="F138" s="236" t="s">
        <v>48</v>
      </c>
      <c r="G138" s="457"/>
      <c r="H138" s="427"/>
      <c r="I138" s="458"/>
    </row>
    <row r="139" customFormat="false" ht="15" hidden="false" customHeight="false" outlineLevel="0" collapsed="false">
      <c r="A139" s="236" t="s">
        <v>389</v>
      </c>
      <c r="B139" s="237" t="n">
        <f aca="false">PGL_Supplies!D7/1000</f>
        <v>0</v>
      </c>
      <c r="C139" s="252"/>
      <c r="D139" s="252"/>
      <c r="E139" s="252"/>
      <c r="F139" s="364" t="s">
        <v>376</v>
      </c>
      <c r="G139" s="526"/>
      <c r="H139" s="527"/>
      <c r="I139" s="458"/>
    </row>
    <row r="140" customFormat="false" ht="15.75" hidden="false" customHeight="false" outlineLevel="0" collapsed="false">
      <c r="A140" s="236" t="s">
        <v>467</v>
      </c>
      <c r="B140" s="237" t="n">
        <f aca="false">PGL_Supplies!V7/1000</f>
        <v>163.957</v>
      </c>
      <c r="C140" s="280"/>
      <c r="D140" s="280"/>
      <c r="E140" s="280"/>
      <c r="F140" s="364" t="s">
        <v>379</v>
      </c>
      <c r="G140" s="526"/>
      <c r="H140" s="391"/>
      <c r="I140" s="458"/>
    </row>
    <row r="141" customFormat="false" ht="16.5" hidden="false" customHeight="false" outlineLevel="0" collapsed="false">
      <c r="A141" s="289" t="s">
        <v>292</v>
      </c>
      <c r="B141" s="893" t="n">
        <f aca="false">-B135+B136+B137-B138+B139+B140</f>
        <v>163.957</v>
      </c>
      <c r="C141" s="351"/>
      <c r="D141" s="292"/>
      <c r="E141" s="326"/>
      <c r="F141" s="405" t="s">
        <v>382</v>
      </c>
      <c r="G141" s="529"/>
      <c r="H141" s="530"/>
      <c r="I141" s="458"/>
    </row>
    <row r="142" customFormat="false" ht="16.5" hidden="false" customHeight="false" outlineLevel="0" collapsed="false">
      <c r="A142" s="337" t="s">
        <v>0</v>
      </c>
      <c r="B142" s="303" t="s">
        <v>0</v>
      </c>
      <c r="C142" s="890" t="s">
        <v>72</v>
      </c>
      <c r="D142" s="338"/>
      <c r="E142" s="338"/>
      <c r="F142" s="532" t="s">
        <v>0</v>
      </c>
      <c r="G142" s="533" t="s">
        <v>390</v>
      </c>
      <c r="H142" s="534" t="s">
        <v>0</v>
      </c>
      <c r="I142" s="534"/>
    </row>
    <row r="143" customFormat="false" ht="15" hidden="false" customHeight="false" outlineLevel="0" collapsed="false">
      <c r="A143" s="236" t="s">
        <v>90</v>
      </c>
      <c r="B143" s="237" t="n">
        <f aca="false">PGL_Requirements!P7/1000</f>
        <v>150</v>
      </c>
      <c r="C143" s="252"/>
      <c r="D143" s="252"/>
      <c r="E143" s="252"/>
      <c r="F143" s="240" t="s">
        <v>279</v>
      </c>
      <c r="G143" s="535"/>
      <c r="H143" s="242" t="s">
        <v>0</v>
      </c>
      <c r="I143" s="536" t="n">
        <f aca="false">NSG_Supplies!AC7/1000</f>
        <v>0</v>
      </c>
    </row>
    <row r="144" customFormat="false" ht="15" hidden="false" customHeight="false" outlineLevel="0" collapsed="false">
      <c r="A144" s="236" t="s">
        <v>320</v>
      </c>
      <c r="B144" s="237" t="n">
        <f aca="false">PGL_Supplies!M7/1000</f>
        <v>0</v>
      </c>
      <c r="C144" s="252"/>
      <c r="D144" s="252"/>
      <c r="E144" s="252"/>
      <c r="F144" s="339" t="s">
        <v>284</v>
      </c>
      <c r="G144" s="252"/>
      <c r="H144" s="253" t="s">
        <v>0</v>
      </c>
      <c r="I144" s="536" t="n">
        <f aca="false">NSG_Supplies!O7/1000</f>
        <v>0</v>
      </c>
    </row>
    <row r="145" customFormat="false" ht="15.75" hidden="false" customHeight="false" outlineLevel="0" collapsed="false">
      <c r="A145" s="236" t="s">
        <v>323</v>
      </c>
      <c r="B145" s="237" t="n">
        <f aca="false">PGL_Requirements!B7/1000</f>
        <v>0</v>
      </c>
      <c r="C145" s="252"/>
      <c r="D145" s="252"/>
      <c r="E145" s="252"/>
      <c r="F145" s="264" t="s">
        <v>286</v>
      </c>
      <c r="G145" s="537"/>
      <c r="H145" s="266" t="s">
        <v>0</v>
      </c>
      <c r="I145" s="538"/>
    </row>
    <row r="146" customFormat="false" ht="15.75" hidden="false" customHeight="false" outlineLevel="0" collapsed="false">
      <c r="A146" s="236" t="s">
        <v>326</v>
      </c>
      <c r="B146" s="237" t="n">
        <f aca="false">PGL_Supplies!H7/1000</f>
        <v>1</v>
      </c>
      <c r="C146" s="252"/>
      <c r="D146" s="252"/>
      <c r="E146" s="252"/>
      <c r="F146" s="539" t="s">
        <v>290</v>
      </c>
      <c r="G146" s="292"/>
      <c r="H146" s="283" t="s">
        <v>0</v>
      </c>
      <c r="I146" s="894" t="e">
        <f aca="false">#REF!/1000</f>
        <v>#REF!</v>
      </c>
    </row>
    <row r="147" customFormat="false" ht="16.5" hidden="false" customHeight="false" outlineLevel="0" collapsed="false">
      <c r="A147" s="364" t="s">
        <v>341</v>
      </c>
      <c r="B147" s="237" t="s">
        <v>0</v>
      </c>
      <c r="C147" s="252"/>
      <c r="D147" s="252"/>
      <c r="E147" s="252"/>
      <c r="F147" s="541" t="s">
        <v>321</v>
      </c>
      <c r="G147" s="541"/>
      <c r="H147" s="541"/>
      <c r="I147" s="541"/>
    </row>
    <row r="148" customFormat="false" ht="15.75" hidden="false" customHeight="false" outlineLevel="0" collapsed="false">
      <c r="A148" s="236" t="s">
        <v>549</v>
      </c>
      <c r="B148" s="237" t="n">
        <f aca="false">PGL_Requirements!Q7/1000</f>
        <v>2.25</v>
      </c>
      <c r="C148" s="280"/>
      <c r="D148" s="280"/>
      <c r="E148" s="280"/>
      <c r="F148" s="350" t="s">
        <v>324</v>
      </c>
      <c r="G148" s="542"/>
      <c r="H148" s="895" t="s">
        <v>0</v>
      </c>
      <c r="I148" s="543" t="n">
        <f aca="false">+NSG_Supplies!Z7/1000</f>
        <v>0</v>
      </c>
    </row>
    <row r="149" customFormat="false" ht="16.5" hidden="false" customHeight="false" outlineLevel="0" collapsed="false">
      <c r="A149" s="289" t="s">
        <v>290</v>
      </c>
      <c r="B149" s="544" t="n">
        <f aca="false">B144+B146</f>
        <v>1</v>
      </c>
      <c r="C149" s="382"/>
      <c r="D149" s="382"/>
      <c r="E149" s="476"/>
      <c r="F149" s="236" t="s">
        <v>0</v>
      </c>
      <c r="G149" s="457"/>
      <c r="H149" s="896" t="s">
        <v>0</v>
      </c>
      <c r="I149" s="897" t="n">
        <f aca="false">NSG_Supplies!AA7/1000</f>
        <v>0</v>
      </c>
    </row>
    <row r="150" customFormat="false" ht="15.75" hidden="false" customHeight="false" outlineLevel="0" collapsed="false">
      <c r="A150" s="236" t="s">
        <v>337</v>
      </c>
      <c r="B150" s="898" t="n">
        <f aca="false">PGL_Deliveries!AE5</f>
        <v>0</v>
      </c>
      <c r="C150" s="385"/>
      <c r="D150" s="385"/>
      <c r="E150" s="547"/>
      <c r="F150" s="539" t="s">
        <v>290</v>
      </c>
      <c r="G150" s="292"/>
      <c r="H150" s="283" t="s">
        <v>0</v>
      </c>
      <c r="I150" s="894" t="e">
        <f aca="false">#REF!/1000</f>
        <v>#REF!</v>
      </c>
    </row>
    <row r="151" customFormat="false" ht="16.5" hidden="false" customHeight="false" outlineLevel="0" collapsed="false">
      <c r="A151" s="236" t="s">
        <v>339</v>
      </c>
      <c r="B151" s="898" t="n">
        <f aca="false">PGL_Deliveries!AG5</f>
        <v>0</v>
      </c>
      <c r="C151" s="839"/>
      <c r="D151" s="839"/>
      <c r="E151" s="839"/>
      <c r="F151" s="541" t="s">
        <v>358</v>
      </c>
      <c r="G151" s="541"/>
      <c r="H151" s="541"/>
      <c r="I151" s="541"/>
    </row>
    <row r="152" customFormat="false" ht="15.75" hidden="false" customHeight="false" outlineLevel="0" collapsed="false">
      <c r="A152" s="818" t="s">
        <v>0</v>
      </c>
      <c r="B152" s="819"/>
      <c r="C152" s="899" t="s">
        <v>40</v>
      </c>
      <c r="D152" s="820"/>
      <c r="E152" s="842" t="s">
        <v>0</v>
      </c>
      <c r="F152" s="350" t="s">
        <v>550</v>
      </c>
      <c r="G152" s="542"/>
      <c r="H152" s="334"/>
      <c r="I152" s="253" t="n">
        <f aca="false">PGL_Requirements!T7/1000</f>
        <v>0</v>
      </c>
    </row>
    <row r="153" customFormat="false" ht="15" hidden="false" customHeight="false" outlineLevel="0" collapsed="false">
      <c r="A153" s="236" t="s">
        <v>551</v>
      </c>
      <c r="B153" s="253" t="n">
        <f aca="false">PGL_Requirements!N7/1000</f>
        <v>0</v>
      </c>
      <c r="C153" s="252"/>
      <c r="D153" s="252"/>
      <c r="E153" s="843"/>
      <c r="F153" s="900" t="s">
        <v>361</v>
      </c>
      <c r="G153" s="545"/>
      <c r="H153" s="340"/>
      <c r="I153" s="253" t="n">
        <f aca="false">PGL_Requirements!T7/1000</f>
        <v>0</v>
      </c>
    </row>
    <row r="154" customFormat="false" ht="15" hidden="false" customHeight="false" outlineLevel="0" collapsed="false">
      <c r="A154" s="236" t="s">
        <v>294</v>
      </c>
      <c r="B154" s="237" t="n">
        <f aca="false">PGL_Supplies!AE7/1000</f>
        <v>0</v>
      </c>
      <c r="C154" s="305" t="s">
        <v>0</v>
      </c>
      <c r="D154" s="252"/>
      <c r="E154" s="556"/>
      <c r="F154" s="264" t="s">
        <v>365</v>
      </c>
      <c r="G154" s="457"/>
      <c r="H154" s="340"/>
      <c r="I154" s="237" t="n">
        <f aca="false">PGL_Supplies!AL7/1000</f>
        <v>0</v>
      </c>
    </row>
    <row r="155" customFormat="false" ht="15" hidden="false" customHeight="false" outlineLevel="0" collapsed="false">
      <c r="A155" s="236" t="s">
        <v>296</v>
      </c>
      <c r="B155" s="253" t="n">
        <f aca="false">PGL_Requirements!F7/1000</f>
        <v>4</v>
      </c>
      <c r="C155" s="305" t="s">
        <v>0</v>
      </c>
      <c r="D155" s="252"/>
      <c r="E155" s="556"/>
      <c r="F155" s="236" t="s">
        <v>162</v>
      </c>
      <c r="G155" s="550"/>
      <c r="H155" s="340"/>
      <c r="I155" s="237" t="n">
        <f aca="false">PGL_Supplies!AL8/1000</f>
        <v>0</v>
      </c>
    </row>
    <row r="156" customFormat="false" ht="15.75" hidden="false" customHeight="false" outlineLevel="0" collapsed="false">
      <c r="A156" s="236" t="s">
        <v>300</v>
      </c>
      <c r="B156" s="237" t="n">
        <f aca="false">PGL_Supplies!G7/1000</f>
        <v>0</v>
      </c>
      <c r="C156" s="849" t="s">
        <v>0</v>
      </c>
      <c r="D156" s="252"/>
      <c r="E156" s="556"/>
      <c r="F156" s="364" t="s">
        <v>467</v>
      </c>
      <c r="G156" s="550"/>
      <c r="H156" s="391"/>
      <c r="I156" s="237" t="n">
        <f aca="false">PGL_Supplies!AL9/1000</f>
        <v>0</v>
      </c>
    </row>
    <row r="157" customFormat="false" ht="15.75" hidden="false" customHeight="false" outlineLevel="0" collapsed="false">
      <c r="A157" s="236" t="s">
        <v>552</v>
      </c>
      <c r="B157" s="253" t="n">
        <f aca="false">PGL_Requirements!T7/1000</f>
        <v>0</v>
      </c>
      <c r="C157" s="305" t="s">
        <v>0</v>
      </c>
      <c r="D157" s="252"/>
      <c r="E157" s="556"/>
      <c r="F157" s="901" t="s">
        <v>553</v>
      </c>
      <c r="G157" s="902"/>
      <c r="H157" s="334"/>
      <c r="I157" s="903" t="n">
        <v>0</v>
      </c>
    </row>
    <row r="158" customFormat="false" ht="15.75" hidden="false" customHeight="false" outlineLevel="0" collapsed="false">
      <c r="A158" s="236" t="s">
        <v>554</v>
      </c>
      <c r="B158" s="237" t="n">
        <f aca="false">PGL_Supplies!P7/1000</f>
        <v>0</v>
      </c>
      <c r="C158" s="849" t="s">
        <v>0</v>
      </c>
      <c r="D158" s="252"/>
      <c r="E158" s="853"/>
      <c r="F158" s="904" t="s">
        <v>555</v>
      </c>
      <c r="G158" s="851"/>
      <c r="H158" s="905"/>
      <c r="I158" s="906" t="n">
        <v>0</v>
      </c>
    </row>
    <row r="159" customFormat="false" ht="16.5" hidden="false" customHeight="false" outlineLevel="0" collapsed="false">
      <c r="A159" s="236" t="s">
        <v>162</v>
      </c>
      <c r="B159" s="237" t="n">
        <f aca="false">PGL_Supplies!AD7/1000</f>
        <v>4</v>
      </c>
      <c r="C159" s="849" t="s">
        <v>0</v>
      </c>
      <c r="D159" s="252"/>
      <c r="E159" s="556"/>
      <c r="F159" s="907" t="s">
        <v>526</v>
      </c>
      <c r="G159" s="907"/>
      <c r="H159" s="907"/>
      <c r="I159" s="907"/>
    </row>
    <row r="160" customFormat="false" ht="15.75" hidden="false" customHeight="false" outlineLevel="0" collapsed="false">
      <c r="A160" s="236" t="s">
        <v>467</v>
      </c>
      <c r="B160" s="908" t="n">
        <f aca="false">PGL_Supplies!Y7/1000</f>
        <v>144.116</v>
      </c>
      <c r="C160" s="319" t="s">
        <v>0</v>
      </c>
      <c r="D160" s="280"/>
      <c r="E160" s="560"/>
      <c r="F160" s="333" t="s">
        <v>312</v>
      </c>
      <c r="G160" s="535" t="s">
        <v>0</v>
      </c>
      <c r="H160" s="385"/>
      <c r="I160" s="581"/>
    </row>
    <row r="161" customFormat="false" ht="16.5" hidden="false" customHeight="false" outlineLevel="0" collapsed="false">
      <c r="A161" s="909" t="s">
        <v>556</v>
      </c>
      <c r="B161" s="239"/>
      <c r="C161" s="910" t="s">
        <v>0</v>
      </c>
      <c r="D161" s="911"/>
      <c r="E161" s="469"/>
      <c r="F161" s="912" t="s">
        <v>315</v>
      </c>
      <c r="G161" s="280"/>
      <c r="H161" s="913"/>
      <c r="I161" s="914" t="s">
        <v>0</v>
      </c>
    </row>
    <row r="162" customFormat="false" ht="16.5" hidden="false" customHeight="false" outlineLevel="0" collapsed="false">
      <c r="A162" s="858" t="s">
        <v>290</v>
      </c>
      <c r="B162" s="915" t="n">
        <f aca="false">B154+B156+B158+B159+B160-B153-B155-B157-B161</f>
        <v>144.116</v>
      </c>
      <c r="C162" s="859"/>
      <c r="D162" s="502"/>
      <c r="E162" s="503"/>
      <c r="F162" s="916" t="s">
        <v>530</v>
      </c>
      <c r="G162" s="292"/>
      <c r="H162" s="382"/>
      <c r="I162" s="917"/>
    </row>
    <row r="163" customFormat="false" ht="12.75" hidden="false" customHeight="false" outlineLevel="0" collapsed="false">
      <c r="A163" s="918"/>
      <c r="B163" s="919" t="s">
        <v>405</v>
      </c>
      <c r="C163" s="919"/>
      <c r="D163" s="919" t="s">
        <v>406</v>
      </c>
      <c r="E163" s="919"/>
      <c r="F163" s="919"/>
      <c r="G163" s="919"/>
      <c r="H163" s="920" t="s">
        <v>272</v>
      </c>
      <c r="I163" s="921"/>
    </row>
    <row r="164" customFormat="false" ht="12.75" hidden="false" customHeight="false" outlineLevel="0" collapsed="false"/>
    <row r="167" customFormat="false" ht="12" hidden="false" customHeight="false" outlineLevel="0" collapsed="false">
      <c r="B167" s="238"/>
    </row>
    <row r="168" customFormat="false" ht="12" hidden="false" customHeight="false" outlineLevel="0" collapsed="false">
      <c r="B168" s="238"/>
      <c r="C168" s="238"/>
      <c r="D168" s="238"/>
      <c r="E168" s="238"/>
      <c r="F168" s="238"/>
      <c r="G168" s="238"/>
    </row>
    <row r="169" customFormat="false" ht="12" hidden="false" customHeight="false" outlineLevel="0" collapsed="false">
      <c r="B169" s="238"/>
      <c r="C169" s="238"/>
      <c r="D169" s="238"/>
      <c r="E169" s="238"/>
      <c r="F169" s="238"/>
      <c r="G169" s="238"/>
    </row>
    <row r="170" customFormat="false" ht="12" hidden="false" customHeight="false" outlineLevel="0" collapsed="false">
      <c r="B170" s="238"/>
      <c r="C170" s="238"/>
      <c r="D170" s="238"/>
      <c r="E170" s="238"/>
      <c r="F170" s="238"/>
      <c r="G170" s="238"/>
    </row>
    <row r="171" customFormat="false" ht="12" hidden="false" customHeight="false" outlineLevel="0" collapsed="false">
      <c r="B171" s="238"/>
      <c r="C171" s="238"/>
      <c r="D171" s="238"/>
      <c r="E171" s="238"/>
      <c r="F171" s="238"/>
      <c r="G171" s="238"/>
    </row>
    <row r="172" customFormat="false" ht="12" hidden="false" customHeight="false" outlineLevel="0" collapsed="false">
      <c r="B172" s="238"/>
      <c r="C172" s="238"/>
      <c r="D172" s="238"/>
      <c r="E172" s="238"/>
      <c r="F172" s="238"/>
      <c r="G172" s="238"/>
    </row>
    <row r="173" customFormat="false" ht="12" hidden="false" customHeight="false" outlineLevel="0" collapsed="false">
      <c r="B173" s="238"/>
      <c r="C173" s="238"/>
      <c r="D173" s="238"/>
      <c r="E173" s="238"/>
      <c r="F173" s="238"/>
      <c r="G173" s="238"/>
    </row>
    <row r="174" customFormat="false" ht="12" hidden="false" customHeight="false" outlineLevel="0" collapsed="false">
      <c r="B174" s="238"/>
      <c r="C174" s="238"/>
      <c r="D174" s="238"/>
      <c r="E174" s="238"/>
      <c r="F174" s="238"/>
      <c r="G174" s="238"/>
    </row>
    <row r="175" customFormat="false" ht="12" hidden="false" customHeight="false" outlineLevel="0" collapsed="false">
      <c r="B175" s="238"/>
      <c r="C175" s="238"/>
      <c r="D175" s="238"/>
      <c r="E175" s="238"/>
      <c r="F175" s="238"/>
      <c r="G175" s="238"/>
    </row>
    <row r="176" customFormat="false" ht="12" hidden="false" customHeight="false" outlineLevel="0" collapsed="false">
      <c r="B176" s="238"/>
      <c r="C176" s="238"/>
      <c r="D176" s="238"/>
      <c r="E176" s="238"/>
      <c r="F176" s="238"/>
      <c r="G176" s="238"/>
    </row>
    <row r="177" customFormat="false" ht="12" hidden="false" customHeight="false" outlineLevel="0" collapsed="false">
      <c r="B177" s="238"/>
      <c r="C177" s="238"/>
      <c r="D177" s="238"/>
      <c r="E177" s="238"/>
      <c r="F177" s="238"/>
      <c r="G177" s="238"/>
    </row>
    <row r="178" customFormat="false" ht="12" hidden="false" customHeight="false" outlineLevel="0" collapsed="false">
      <c r="B178" s="238"/>
      <c r="C178" s="238"/>
      <c r="D178" s="238"/>
      <c r="E178" s="238"/>
      <c r="F178" s="238"/>
      <c r="G178" s="238"/>
    </row>
    <row r="179" customFormat="false" ht="12" hidden="false" customHeight="false" outlineLevel="0" collapsed="false">
      <c r="B179" s="238"/>
      <c r="C179" s="238"/>
      <c r="D179" s="238"/>
      <c r="E179" s="238"/>
      <c r="F179" s="238"/>
      <c r="G179" s="238"/>
    </row>
    <row r="180" customFormat="false" ht="12" hidden="false" customHeight="false" outlineLevel="0" collapsed="false">
      <c r="B180" s="238"/>
      <c r="C180" s="238"/>
      <c r="D180" s="238"/>
      <c r="E180" s="238"/>
      <c r="G180" s="238"/>
    </row>
    <row r="181" customFormat="false" ht="12" hidden="false" customHeight="false" outlineLevel="0" collapsed="false">
      <c r="B181" s="238"/>
      <c r="C181" s="238"/>
      <c r="D181" s="238"/>
      <c r="E181" s="238"/>
      <c r="G181" s="238"/>
    </row>
    <row r="182" customFormat="false" ht="12" hidden="false" customHeight="false" outlineLevel="0" collapsed="false">
      <c r="B182" s="238"/>
      <c r="C182" s="238"/>
      <c r="D182" s="238"/>
      <c r="E182" s="238"/>
    </row>
    <row r="183" customFormat="false" ht="12" hidden="false" customHeight="false" outlineLevel="0" collapsed="false">
      <c r="B183" s="238"/>
      <c r="C183" s="238"/>
      <c r="D183" s="238"/>
      <c r="E183" s="238"/>
    </row>
    <row r="184" customFormat="false" ht="12" hidden="false" customHeight="false" outlineLevel="0" collapsed="false">
      <c r="B184" s="238"/>
      <c r="C184" s="238"/>
      <c r="D184" s="238"/>
      <c r="E184" s="238"/>
    </row>
    <row r="185" customFormat="false" ht="12" hidden="false" customHeight="false" outlineLevel="0" collapsed="false">
      <c r="B185" s="238"/>
      <c r="C185" s="238"/>
      <c r="D185" s="238"/>
      <c r="E185" s="238"/>
    </row>
    <row r="186" customFormat="false" ht="12" hidden="false" customHeight="false" outlineLevel="0" collapsed="false">
      <c r="B186" s="238"/>
      <c r="C186" s="238"/>
      <c r="D186" s="238"/>
      <c r="E186" s="238"/>
    </row>
    <row r="187" customFormat="false" ht="12" hidden="false" customHeight="false" outlineLevel="0" collapsed="false">
      <c r="B187" s="238"/>
      <c r="C187" s="238"/>
      <c r="D187" s="238"/>
      <c r="E187" s="238"/>
    </row>
    <row r="188" customFormat="false" ht="12" hidden="false" customHeight="false" outlineLevel="0" collapsed="false">
      <c r="B188" s="238"/>
      <c r="C188" s="238"/>
      <c r="D188" s="238"/>
      <c r="E188" s="238"/>
    </row>
    <row r="189" customFormat="false" ht="12" hidden="false" customHeight="false" outlineLevel="0" collapsed="false">
      <c r="B189" s="238"/>
      <c r="C189" s="238"/>
      <c r="D189" s="238"/>
      <c r="E189" s="238"/>
    </row>
    <row r="190" customFormat="false" ht="12" hidden="false" customHeight="false" outlineLevel="0" collapsed="false">
      <c r="B190" s="238"/>
      <c r="C190" s="238"/>
      <c r="D190" s="238"/>
      <c r="E190" s="238"/>
    </row>
    <row r="191" customFormat="false" ht="12" hidden="false" customHeight="false" outlineLevel="0" collapsed="false">
      <c r="B191" s="238"/>
      <c r="C191" s="238"/>
      <c r="D191" s="238"/>
      <c r="E191" s="238"/>
    </row>
    <row r="192" customFormat="false" ht="12" hidden="false" customHeight="false" outlineLevel="0" collapsed="false">
      <c r="B192" s="238"/>
      <c r="C192" s="238"/>
      <c r="D192" s="238"/>
      <c r="E192" s="238"/>
    </row>
    <row r="193" customFormat="false" ht="12" hidden="false" customHeight="false" outlineLevel="0" collapsed="false">
      <c r="B193" s="238"/>
      <c r="C193" s="238"/>
      <c r="D193" s="238"/>
      <c r="E193" s="238"/>
    </row>
    <row r="194" customFormat="false" ht="12" hidden="false" customHeight="false" outlineLevel="0" collapsed="false">
      <c r="B194" s="238"/>
      <c r="C194" s="238"/>
      <c r="D194" s="238"/>
      <c r="E194" s="238"/>
    </row>
    <row r="195" customFormat="false" ht="12" hidden="false" customHeight="false" outlineLevel="0" collapsed="false">
      <c r="B195" s="238"/>
      <c r="C195" s="238"/>
      <c r="D195" s="238"/>
      <c r="E195" s="238"/>
    </row>
    <row r="196" customFormat="false" ht="12" hidden="false" customHeight="false" outlineLevel="0" collapsed="false">
      <c r="B196" s="238"/>
      <c r="C196" s="238"/>
      <c r="D196" s="238"/>
      <c r="E196" s="238"/>
    </row>
    <row r="197" customFormat="false" ht="12" hidden="false" customHeight="false" outlineLevel="0" collapsed="false">
      <c r="B197" s="238"/>
      <c r="C197" s="238"/>
      <c r="D197" s="238"/>
      <c r="E197" s="238"/>
    </row>
    <row r="198" customFormat="false" ht="12" hidden="false" customHeight="false" outlineLevel="0" collapsed="false">
      <c r="B198" s="238"/>
      <c r="C198" s="238"/>
      <c r="D198" s="238"/>
      <c r="E198" s="238"/>
    </row>
    <row r="199" customFormat="false" ht="12" hidden="false" customHeight="false" outlineLevel="0" collapsed="false">
      <c r="B199" s="238"/>
      <c r="C199" s="238"/>
      <c r="D199" s="238"/>
      <c r="E199" s="238"/>
    </row>
    <row r="200" customFormat="false" ht="12" hidden="false" customHeight="false" outlineLevel="0" collapsed="false">
      <c r="B200" s="238"/>
      <c r="C200" s="238"/>
      <c r="D200" s="238"/>
      <c r="E200" s="238"/>
    </row>
    <row r="201" customFormat="false" ht="12" hidden="false" customHeight="false" outlineLevel="0" collapsed="false">
      <c r="B201" s="238"/>
      <c r="C201" s="238"/>
      <c r="D201" s="238"/>
      <c r="E201" s="238"/>
    </row>
    <row r="202" customFormat="false" ht="12" hidden="false" customHeight="false" outlineLevel="0" collapsed="false">
      <c r="B202" s="238"/>
      <c r="C202" s="238"/>
      <c r="D202" s="238"/>
      <c r="E202" s="238"/>
    </row>
    <row r="203" customFormat="false" ht="12" hidden="false" customHeight="false" outlineLevel="0" collapsed="false">
      <c r="B203" s="238"/>
      <c r="C203" s="238"/>
      <c r="D203" s="238"/>
      <c r="E203" s="238"/>
    </row>
    <row r="204" customFormat="false" ht="12" hidden="false" customHeight="false" outlineLevel="0" collapsed="false">
      <c r="B204" s="238"/>
      <c r="C204" s="238"/>
      <c r="D204" s="238"/>
      <c r="E204" s="238"/>
    </row>
    <row r="205" customFormat="false" ht="12" hidden="false" customHeight="false" outlineLevel="0" collapsed="false">
      <c r="B205" s="238"/>
      <c r="C205" s="238"/>
      <c r="D205" s="238"/>
      <c r="E205" s="238"/>
    </row>
    <row r="206" customFormat="false" ht="12" hidden="false" customHeight="false" outlineLevel="0" collapsed="false">
      <c r="B206" s="238"/>
      <c r="C206" s="238"/>
      <c r="D206" s="238"/>
      <c r="E206" s="238"/>
    </row>
    <row r="207" customFormat="false" ht="12" hidden="false" customHeight="false" outlineLevel="0" collapsed="false">
      <c r="B207" s="238"/>
      <c r="C207" s="238"/>
      <c r="D207" s="238"/>
      <c r="E207" s="238"/>
    </row>
    <row r="208" customFormat="false" ht="12" hidden="false" customHeight="false" outlineLevel="0" collapsed="false">
      <c r="B208" s="238"/>
      <c r="C208" s="238"/>
      <c r="D208" s="238"/>
      <c r="E208" s="238"/>
    </row>
    <row r="209" customFormat="false" ht="12" hidden="false" customHeight="false" outlineLevel="0" collapsed="false">
      <c r="B209" s="238"/>
      <c r="C209" s="238"/>
      <c r="D209" s="238"/>
      <c r="E209" s="238"/>
    </row>
    <row r="210" customFormat="false" ht="12" hidden="false" customHeight="false" outlineLevel="0" collapsed="false">
      <c r="B210" s="238"/>
      <c r="C210" s="238"/>
      <c r="D210" s="238"/>
      <c r="E210" s="238"/>
    </row>
    <row r="211" customFormat="false" ht="12" hidden="false" customHeight="false" outlineLevel="0" collapsed="false">
      <c r="B211" s="238"/>
      <c r="C211" s="238"/>
      <c r="D211" s="238"/>
      <c r="E211" s="238"/>
    </row>
    <row r="212" customFormat="false" ht="12" hidden="false" customHeight="false" outlineLevel="0" collapsed="false">
      <c r="B212" s="238"/>
      <c r="C212" s="238"/>
      <c r="D212" s="238"/>
      <c r="E212" s="238"/>
    </row>
    <row r="213" customFormat="false" ht="12" hidden="false" customHeight="false" outlineLevel="0" collapsed="false">
      <c r="B213" s="238"/>
      <c r="C213" s="238"/>
      <c r="D213" s="238"/>
      <c r="E213" s="238"/>
    </row>
    <row r="214" customFormat="false" ht="12" hidden="false" customHeight="false" outlineLevel="0" collapsed="false">
      <c r="B214" s="238"/>
      <c r="C214" s="238"/>
      <c r="D214" s="238"/>
      <c r="E214" s="238"/>
    </row>
    <row r="215" customFormat="false" ht="12" hidden="false" customHeight="false" outlineLevel="0" collapsed="false">
      <c r="B215" s="238"/>
      <c r="C215" s="238"/>
      <c r="D215" s="238"/>
      <c r="E215" s="238"/>
    </row>
    <row r="216" customFormat="false" ht="12" hidden="false" customHeight="false" outlineLevel="0" collapsed="false">
      <c r="B216" s="238"/>
      <c r="C216" s="238"/>
      <c r="D216" s="238"/>
      <c r="E216" s="238"/>
    </row>
    <row r="217" customFormat="false" ht="12" hidden="false" customHeight="false" outlineLevel="0" collapsed="false">
      <c r="B217" s="238"/>
      <c r="C217" s="238"/>
      <c r="D217" s="238"/>
      <c r="E217" s="238"/>
    </row>
    <row r="218" customFormat="false" ht="12" hidden="false" customHeight="false" outlineLevel="0" collapsed="false">
      <c r="B218" s="238"/>
      <c r="C218" s="238"/>
      <c r="D218" s="238"/>
      <c r="E218" s="238"/>
    </row>
    <row r="219" customFormat="false" ht="12" hidden="false" customHeight="false" outlineLevel="0" collapsed="false">
      <c r="B219" s="238"/>
      <c r="C219" s="238"/>
      <c r="D219" s="238"/>
      <c r="E219" s="238"/>
    </row>
    <row r="220" customFormat="false" ht="12" hidden="false" customHeight="false" outlineLevel="0" collapsed="false">
      <c r="B220" s="238"/>
      <c r="C220" s="238"/>
      <c r="D220" s="238"/>
      <c r="E220" s="238"/>
    </row>
    <row r="221" customFormat="false" ht="12" hidden="false" customHeight="false" outlineLevel="0" collapsed="false">
      <c r="B221" s="238"/>
      <c r="C221" s="238"/>
      <c r="D221" s="238"/>
      <c r="E221" s="238"/>
    </row>
    <row r="222" customFormat="false" ht="12" hidden="false" customHeight="false" outlineLevel="0" collapsed="false">
      <c r="B222" s="238"/>
      <c r="C222" s="238"/>
      <c r="D222" s="238"/>
      <c r="E222" s="238"/>
    </row>
    <row r="223" customFormat="false" ht="12" hidden="false" customHeight="false" outlineLevel="0" collapsed="false">
      <c r="B223" s="238"/>
      <c r="C223" s="238"/>
      <c r="D223" s="238"/>
      <c r="E223" s="238"/>
    </row>
    <row r="224" customFormat="false" ht="12" hidden="false" customHeight="false" outlineLevel="0" collapsed="false">
      <c r="B224" s="238"/>
      <c r="C224" s="238"/>
      <c r="D224" s="238"/>
      <c r="E224" s="238"/>
    </row>
    <row r="225" customFormat="false" ht="12" hidden="false" customHeight="false" outlineLevel="0" collapsed="false">
      <c r="B225" s="238"/>
      <c r="C225" s="238"/>
      <c r="D225" s="238"/>
      <c r="E225" s="238"/>
    </row>
    <row r="226" customFormat="false" ht="12" hidden="false" customHeight="false" outlineLevel="0" collapsed="false">
      <c r="B226" s="238"/>
      <c r="C226" s="238"/>
      <c r="D226" s="238"/>
      <c r="E226" s="238"/>
    </row>
    <row r="227" customFormat="false" ht="12" hidden="false" customHeight="false" outlineLevel="0" collapsed="false">
      <c r="B227" s="238"/>
      <c r="C227" s="238"/>
      <c r="D227" s="238"/>
      <c r="E227" s="238"/>
    </row>
    <row r="228" customFormat="false" ht="12" hidden="false" customHeight="false" outlineLevel="0" collapsed="false">
      <c r="B228" s="238"/>
      <c r="C228" s="238"/>
      <c r="D228" s="238"/>
      <c r="E228" s="238"/>
    </row>
    <row r="229" customFormat="false" ht="12" hidden="false" customHeight="false" outlineLevel="0" collapsed="false">
      <c r="B229" s="238"/>
      <c r="C229" s="238"/>
      <c r="D229" s="238"/>
      <c r="E229" s="238"/>
    </row>
    <row r="230" customFormat="false" ht="12" hidden="false" customHeight="false" outlineLevel="0" collapsed="false">
      <c r="B230" s="238"/>
      <c r="C230" s="238"/>
      <c r="D230" s="238"/>
      <c r="E230" s="238"/>
    </row>
    <row r="231" customFormat="false" ht="12" hidden="false" customHeight="false" outlineLevel="0" collapsed="false">
      <c r="B231" s="238"/>
      <c r="C231" s="238"/>
      <c r="D231" s="238"/>
      <c r="E231" s="238"/>
    </row>
    <row r="232" customFormat="false" ht="12" hidden="false" customHeight="false" outlineLevel="0" collapsed="false">
      <c r="B232" s="238"/>
      <c r="C232" s="238"/>
      <c r="D232" s="238"/>
      <c r="E232" s="238"/>
    </row>
    <row r="233" customFormat="false" ht="12" hidden="false" customHeight="false" outlineLevel="0" collapsed="false">
      <c r="B233" s="238"/>
      <c r="C233" s="238"/>
      <c r="D233" s="238"/>
      <c r="E233" s="238"/>
    </row>
    <row r="234" customFormat="false" ht="12" hidden="false" customHeight="false" outlineLevel="0" collapsed="false">
      <c r="B234" s="238"/>
      <c r="C234" s="238"/>
      <c r="D234" s="238"/>
      <c r="E234" s="238"/>
    </row>
    <row r="235" customFormat="false" ht="12" hidden="false" customHeight="false" outlineLevel="0" collapsed="false">
      <c r="B235" s="238"/>
      <c r="C235" s="238"/>
      <c r="D235" s="238"/>
      <c r="E235" s="238"/>
    </row>
    <row r="236" customFormat="false" ht="12" hidden="false" customHeight="false" outlineLevel="0" collapsed="false">
      <c r="B236" s="238"/>
      <c r="C236" s="238"/>
      <c r="D236" s="238"/>
      <c r="E236" s="238"/>
    </row>
    <row r="237" customFormat="false" ht="12" hidden="false" customHeight="false" outlineLevel="0" collapsed="false">
      <c r="B237" s="238"/>
      <c r="C237" s="238"/>
      <c r="D237" s="238"/>
      <c r="E237" s="238"/>
    </row>
    <row r="238" customFormat="false" ht="12" hidden="false" customHeight="false" outlineLevel="0" collapsed="false">
      <c r="C238" s="238"/>
      <c r="D238" s="238"/>
      <c r="E238" s="238"/>
    </row>
    <row r="239" customFormat="false" ht="12" hidden="false" customHeight="false" outlineLevel="0" collapsed="false">
      <c r="C239" s="238"/>
      <c r="D239" s="238"/>
      <c r="E239" s="238"/>
    </row>
    <row r="240" customFormat="false" ht="12" hidden="false" customHeight="false" outlineLevel="0" collapsed="false">
      <c r="C240" s="238"/>
      <c r="D240" s="238"/>
      <c r="E240" s="238"/>
    </row>
    <row r="241" customFormat="false" ht="12" hidden="false" customHeight="false" outlineLevel="0" collapsed="false">
      <c r="C241" s="238"/>
      <c r="D241" s="238"/>
      <c r="E241" s="238"/>
    </row>
    <row r="242" customFormat="false" ht="12" hidden="false" customHeight="false" outlineLevel="0" collapsed="false">
      <c r="C242" s="238"/>
      <c r="D242" s="238"/>
      <c r="E242" s="238"/>
    </row>
    <row r="243" customFormat="false" ht="12" hidden="false" customHeight="false" outlineLevel="0" collapsed="false">
      <c r="C243" s="238"/>
      <c r="D243" s="238"/>
      <c r="E243" s="238"/>
    </row>
    <row r="244" customFormat="false" ht="12" hidden="false" customHeight="false" outlineLevel="0" collapsed="false">
      <c r="C244" s="238"/>
      <c r="D244" s="238"/>
      <c r="E244" s="238"/>
    </row>
    <row r="245" customFormat="false" ht="12" hidden="false" customHeight="false" outlineLevel="0" collapsed="false">
      <c r="C245" s="238"/>
      <c r="D245" s="238"/>
      <c r="E245" s="238"/>
    </row>
    <row r="246" customFormat="false" ht="12" hidden="false" customHeight="false" outlineLevel="0" collapsed="false">
      <c r="C246" s="238"/>
      <c r="D246" s="238"/>
      <c r="E246" s="238"/>
    </row>
    <row r="247" customFormat="false" ht="12" hidden="false" customHeight="false" outlineLevel="0" collapsed="false">
      <c r="C247" s="238"/>
      <c r="D247" s="238"/>
      <c r="E247" s="238"/>
    </row>
    <row r="248" customFormat="false" ht="12" hidden="false" customHeight="false" outlineLevel="0" collapsed="false">
      <c r="C248" s="238"/>
      <c r="D248" s="238"/>
      <c r="E248" s="238"/>
    </row>
    <row r="249" customFormat="false" ht="12" hidden="false" customHeight="false" outlineLevel="0" collapsed="false">
      <c r="C249" s="238"/>
      <c r="D249" s="238"/>
      <c r="E249" s="238"/>
    </row>
    <row r="250" customFormat="false" ht="12" hidden="false" customHeight="false" outlineLevel="0" collapsed="false">
      <c r="C250" s="238"/>
      <c r="D250" s="238"/>
      <c r="E250" s="238"/>
    </row>
    <row r="251" customFormat="false" ht="12" hidden="false" customHeight="false" outlineLevel="0" collapsed="false">
      <c r="C251" s="238"/>
      <c r="D251" s="238"/>
      <c r="E251" s="238"/>
    </row>
    <row r="252" customFormat="false" ht="12" hidden="false" customHeight="false" outlineLevel="0" collapsed="false">
      <c r="C252" s="238"/>
      <c r="D252" s="238"/>
      <c r="E252" s="238"/>
    </row>
    <row r="253" customFormat="false" ht="12" hidden="false" customHeight="false" outlineLevel="0" collapsed="false">
      <c r="C253" s="238"/>
      <c r="D253" s="238"/>
      <c r="E253" s="238"/>
    </row>
    <row r="254" customFormat="false" ht="12" hidden="false" customHeight="false" outlineLevel="0" collapsed="false">
      <c r="C254" s="238"/>
      <c r="D254" s="238"/>
      <c r="E254" s="238"/>
    </row>
    <row r="255" customFormat="false" ht="12" hidden="false" customHeight="false" outlineLevel="0" collapsed="false">
      <c r="C255" s="238"/>
      <c r="D255" s="238"/>
      <c r="E255" s="238"/>
    </row>
    <row r="256" customFormat="false" ht="12" hidden="false" customHeight="false" outlineLevel="0" collapsed="false">
      <c r="C256" s="238"/>
      <c r="D256" s="238"/>
      <c r="E256" s="238"/>
    </row>
    <row r="257" customFormat="false" ht="12" hidden="false" customHeight="false" outlineLevel="0" collapsed="false">
      <c r="C257" s="238"/>
      <c r="D257" s="238"/>
      <c r="E257" s="238"/>
    </row>
    <row r="258" customFormat="false" ht="12" hidden="false" customHeight="false" outlineLevel="0" collapsed="false">
      <c r="C258" s="238"/>
      <c r="D258" s="238"/>
      <c r="E258" s="238"/>
    </row>
    <row r="259" customFormat="false" ht="12" hidden="false" customHeight="false" outlineLevel="0" collapsed="false">
      <c r="C259" s="238"/>
      <c r="D259" s="238"/>
      <c r="E259" s="238"/>
    </row>
    <row r="260" customFormat="false" ht="12" hidden="false" customHeight="false" outlineLevel="0" collapsed="false">
      <c r="C260" s="238"/>
      <c r="D260" s="238"/>
      <c r="E260" s="238"/>
    </row>
    <row r="261" customFormat="false" ht="12" hidden="false" customHeight="false" outlineLevel="0" collapsed="false">
      <c r="C261" s="238"/>
      <c r="D261" s="238"/>
      <c r="E261" s="238"/>
    </row>
    <row r="262" customFormat="false" ht="12" hidden="false" customHeight="false" outlineLevel="0" collapsed="false">
      <c r="C262" s="238"/>
      <c r="D262" s="238"/>
      <c r="E262" s="238"/>
    </row>
    <row r="263" customFormat="false" ht="12" hidden="false" customHeight="false" outlineLevel="0" collapsed="false">
      <c r="C263" s="238"/>
      <c r="D263" s="238"/>
      <c r="E263" s="238"/>
    </row>
    <row r="264" customFormat="false" ht="12" hidden="false" customHeight="false" outlineLevel="0" collapsed="false">
      <c r="C264" s="238"/>
      <c r="D264" s="238"/>
      <c r="E264" s="238"/>
    </row>
    <row r="265" customFormat="false" ht="12" hidden="false" customHeight="false" outlineLevel="0" collapsed="false">
      <c r="C265" s="238"/>
      <c r="D265" s="238"/>
      <c r="E265" s="238"/>
    </row>
    <row r="266" customFormat="false" ht="12" hidden="false" customHeight="false" outlineLevel="0" collapsed="false">
      <c r="C266" s="238"/>
      <c r="D266" s="238"/>
      <c r="E266" s="238"/>
    </row>
    <row r="267" customFormat="false" ht="12" hidden="false" customHeight="false" outlineLevel="0" collapsed="false">
      <c r="C267" s="238"/>
      <c r="D267" s="238"/>
      <c r="E267" s="238"/>
    </row>
    <row r="268" customFormat="false" ht="12" hidden="false" customHeight="false" outlineLevel="0" collapsed="false">
      <c r="C268" s="238"/>
      <c r="D268" s="238"/>
      <c r="E268" s="238"/>
    </row>
    <row r="269" customFormat="false" ht="12" hidden="false" customHeight="false" outlineLevel="0" collapsed="false">
      <c r="C269" s="238"/>
      <c r="D269" s="238"/>
      <c r="E269" s="238"/>
    </row>
    <row r="270" customFormat="false" ht="12" hidden="false" customHeight="false" outlineLevel="0" collapsed="false">
      <c r="C270" s="238"/>
      <c r="D270" s="238"/>
      <c r="E270" s="238"/>
    </row>
    <row r="271" customFormat="false" ht="12" hidden="false" customHeight="false" outlineLevel="0" collapsed="false">
      <c r="C271" s="238"/>
      <c r="D271" s="238"/>
      <c r="E271" s="238"/>
    </row>
    <row r="272" customFormat="false" ht="12" hidden="false" customHeight="false" outlineLevel="0" collapsed="false">
      <c r="C272" s="238"/>
      <c r="D272" s="238"/>
      <c r="E272" s="238"/>
    </row>
    <row r="273" customFormat="false" ht="12" hidden="false" customHeight="false" outlineLevel="0" collapsed="false">
      <c r="C273" s="238"/>
      <c r="D273" s="238"/>
      <c r="E273" s="238"/>
    </row>
    <row r="274" customFormat="false" ht="12" hidden="false" customHeight="false" outlineLevel="0" collapsed="false">
      <c r="C274" s="238"/>
      <c r="D274" s="238"/>
      <c r="E274" s="238"/>
    </row>
    <row r="275" customFormat="false" ht="12" hidden="false" customHeight="false" outlineLevel="0" collapsed="false">
      <c r="C275" s="238"/>
      <c r="D275" s="238"/>
      <c r="E275" s="238"/>
    </row>
    <row r="276" customFormat="false" ht="12" hidden="false" customHeight="false" outlineLevel="0" collapsed="false">
      <c r="C276" s="238"/>
      <c r="D276" s="238"/>
      <c r="E276" s="238"/>
    </row>
    <row r="277" customFormat="false" ht="12" hidden="false" customHeight="false" outlineLevel="0" collapsed="false">
      <c r="C277" s="238"/>
      <c r="D277" s="238"/>
      <c r="E277" s="238"/>
    </row>
    <row r="278" customFormat="false" ht="12" hidden="false" customHeight="false" outlineLevel="0" collapsed="false">
      <c r="C278" s="238"/>
      <c r="D278" s="238"/>
      <c r="E278" s="238"/>
    </row>
    <row r="279" customFormat="false" ht="12" hidden="false" customHeight="false" outlineLevel="0" collapsed="false">
      <c r="C279" s="238"/>
      <c r="D279" s="238"/>
      <c r="E279" s="238"/>
    </row>
    <row r="280" customFormat="false" ht="12" hidden="false" customHeight="false" outlineLevel="0" collapsed="false">
      <c r="C280" s="238"/>
      <c r="D280" s="238"/>
      <c r="E280" s="238"/>
    </row>
    <row r="281" customFormat="false" ht="12" hidden="false" customHeight="false" outlineLevel="0" collapsed="false">
      <c r="C281" s="238"/>
      <c r="D281" s="238"/>
      <c r="E281" s="238"/>
    </row>
    <row r="282" customFormat="false" ht="12" hidden="false" customHeight="false" outlineLevel="0" collapsed="false">
      <c r="C282" s="238"/>
      <c r="D282" s="238"/>
      <c r="E282" s="238"/>
    </row>
    <row r="283" customFormat="false" ht="12" hidden="false" customHeight="false" outlineLevel="0" collapsed="false">
      <c r="C283" s="238"/>
      <c r="D283" s="238"/>
      <c r="E283" s="238"/>
    </row>
    <row r="284" customFormat="false" ht="12" hidden="false" customHeight="false" outlineLevel="0" collapsed="false">
      <c r="C284" s="238"/>
      <c r="D284" s="238"/>
    </row>
    <row r="285" customFormat="false" ht="12" hidden="false" customHeight="false" outlineLevel="0" collapsed="false">
      <c r="C285" s="238"/>
      <c r="D285" s="238"/>
    </row>
    <row r="286" customFormat="false" ht="12" hidden="false" customHeight="false" outlineLevel="0" collapsed="false">
      <c r="C286" s="238"/>
      <c r="D286" s="238"/>
    </row>
    <row r="287" customFormat="false" ht="12" hidden="false" customHeight="false" outlineLevel="0" collapsed="false">
      <c r="C287" s="238"/>
      <c r="D287" s="238"/>
    </row>
    <row r="288" customFormat="false" ht="12" hidden="false" customHeight="false" outlineLevel="0" collapsed="false">
      <c r="C288" s="238"/>
      <c r="D288" s="238"/>
    </row>
    <row r="289" customFormat="false" ht="12" hidden="false" customHeight="false" outlineLevel="0" collapsed="false">
      <c r="C289" s="238"/>
      <c r="D289" s="238"/>
    </row>
    <row r="290" customFormat="false" ht="12" hidden="false" customHeight="false" outlineLevel="0" collapsed="false">
      <c r="C290" s="238"/>
      <c r="D290" s="238"/>
    </row>
    <row r="291" customFormat="false" ht="12" hidden="false" customHeight="false" outlineLevel="0" collapsed="false">
      <c r="C291" s="238"/>
      <c r="D291" s="238"/>
    </row>
    <row r="292" customFormat="false" ht="12" hidden="false" customHeight="false" outlineLevel="0" collapsed="false">
      <c r="C292" s="238"/>
      <c r="D292" s="238"/>
    </row>
    <row r="293" customFormat="false" ht="12" hidden="false" customHeight="false" outlineLevel="0" collapsed="false">
      <c r="C293" s="238"/>
      <c r="D293" s="238"/>
    </row>
    <row r="294" customFormat="false" ht="12" hidden="false" customHeight="false" outlineLevel="0" collapsed="false">
      <c r="C294" s="238"/>
      <c r="D294" s="238"/>
    </row>
    <row r="295" customFormat="false" ht="12" hidden="false" customHeight="false" outlineLevel="0" collapsed="false">
      <c r="C295" s="238"/>
      <c r="D295" s="238"/>
    </row>
    <row r="296" customFormat="false" ht="12" hidden="false" customHeight="false" outlineLevel="0" collapsed="false">
      <c r="C296" s="238"/>
      <c r="D296" s="238"/>
    </row>
    <row r="297" customFormat="false" ht="12" hidden="false" customHeight="false" outlineLevel="0" collapsed="false">
      <c r="C297" s="238"/>
      <c r="D297" s="238"/>
    </row>
    <row r="298" customFormat="false" ht="12" hidden="false" customHeight="false" outlineLevel="0" collapsed="false">
      <c r="C298" s="238"/>
      <c r="D298" s="238"/>
    </row>
    <row r="299" customFormat="false" ht="12" hidden="false" customHeight="false" outlineLevel="0" collapsed="false">
      <c r="C299" s="238"/>
      <c r="D299" s="238"/>
    </row>
    <row r="300" customFormat="false" ht="12" hidden="false" customHeight="false" outlineLevel="0" collapsed="false">
      <c r="C300" s="238"/>
      <c r="D300" s="238"/>
    </row>
    <row r="301" customFormat="false" ht="12" hidden="false" customHeight="false" outlineLevel="0" collapsed="false">
      <c r="C301" s="238"/>
      <c r="D301" s="238"/>
    </row>
    <row r="302" customFormat="false" ht="12" hidden="false" customHeight="false" outlineLevel="0" collapsed="false">
      <c r="C302" s="238"/>
      <c r="D302" s="238"/>
    </row>
    <row r="303" customFormat="false" ht="12" hidden="false" customHeight="false" outlineLevel="0" collapsed="false">
      <c r="C303" s="238"/>
      <c r="D303" s="238"/>
    </row>
    <row r="304" customFormat="false" ht="12" hidden="false" customHeight="false" outlineLevel="0" collapsed="false">
      <c r="C304" s="238"/>
      <c r="D304" s="238"/>
    </row>
    <row r="305" customFormat="false" ht="12" hidden="false" customHeight="false" outlineLevel="0" collapsed="false">
      <c r="C305" s="238"/>
      <c r="D305" s="238"/>
    </row>
    <row r="306" customFormat="false" ht="12" hidden="false" customHeight="false" outlineLevel="0" collapsed="false">
      <c r="C306" s="238"/>
      <c r="D306" s="238"/>
    </row>
    <row r="307" customFormat="false" ht="12" hidden="false" customHeight="false" outlineLevel="0" collapsed="false">
      <c r="C307" s="238"/>
      <c r="D307" s="238"/>
    </row>
    <row r="308" customFormat="false" ht="12" hidden="false" customHeight="false" outlineLevel="0" collapsed="false">
      <c r="C308" s="238"/>
      <c r="D308" s="238"/>
    </row>
    <row r="309" customFormat="false" ht="12" hidden="false" customHeight="false" outlineLevel="0" collapsed="false">
      <c r="C309" s="238"/>
      <c r="D309" s="238"/>
    </row>
    <row r="310" customFormat="false" ht="12" hidden="false" customHeight="false" outlineLevel="0" collapsed="false">
      <c r="C310" s="238"/>
      <c r="D310" s="238"/>
    </row>
    <row r="311" customFormat="false" ht="12" hidden="false" customHeight="false" outlineLevel="0" collapsed="false">
      <c r="C311" s="238"/>
      <c r="D311" s="238"/>
    </row>
    <row r="312" customFormat="false" ht="12" hidden="false" customHeight="false" outlineLevel="0" collapsed="false">
      <c r="C312" s="238"/>
      <c r="D312" s="238"/>
    </row>
    <row r="313" customFormat="false" ht="12" hidden="false" customHeight="false" outlineLevel="0" collapsed="false">
      <c r="C313" s="238"/>
      <c r="D313" s="238"/>
    </row>
    <row r="314" customFormat="false" ht="12" hidden="false" customHeight="false" outlineLevel="0" collapsed="false">
      <c r="C314" s="238"/>
      <c r="D314" s="238"/>
    </row>
    <row r="315" customFormat="false" ht="12" hidden="false" customHeight="false" outlineLevel="0" collapsed="false">
      <c r="C315" s="238"/>
      <c r="D315" s="238"/>
    </row>
    <row r="316" customFormat="false" ht="12" hidden="false" customHeight="false" outlineLevel="0" collapsed="false">
      <c r="C316" s="238"/>
      <c r="D316" s="238"/>
    </row>
    <row r="317" customFormat="false" ht="12" hidden="false" customHeight="false" outlineLevel="0" collapsed="false">
      <c r="C317" s="238"/>
      <c r="D317" s="238"/>
    </row>
    <row r="318" customFormat="false" ht="12" hidden="false" customHeight="false" outlineLevel="0" collapsed="false">
      <c r="C318" s="238"/>
      <c r="D318" s="238"/>
    </row>
    <row r="319" customFormat="false" ht="12" hidden="false" customHeight="false" outlineLevel="0" collapsed="false">
      <c r="C319" s="238"/>
      <c r="D319" s="238"/>
    </row>
    <row r="320" customFormat="false" ht="12" hidden="false" customHeight="false" outlineLevel="0" collapsed="false">
      <c r="C320" s="238"/>
      <c r="D320" s="238"/>
    </row>
    <row r="321" customFormat="false" ht="12" hidden="false" customHeight="false" outlineLevel="0" collapsed="false">
      <c r="C321" s="238"/>
      <c r="D321" s="238"/>
    </row>
    <row r="322" customFormat="false" ht="12" hidden="false" customHeight="false" outlineLevel="0" collapsed="false">
      <c r="C322" s="238"/>
      <c r="D322" s="238"/>
    </row>
    <row r="323" customFormat="false" ht="12" hidden="false" customHeight="false" outlineLevel="0" collapsed="false">
      <c r="C323" s="238"/>
      <c r="D323" s="238"/>
    </row>
    <row r="324" customFormat="false" ht="12" hidden="false" customHeight="false" outlineLevel="0" collapsed="false">
      <c r="C324" s="238"/>
      <c r="D324" s="238"/>
    </row>
    <row r="325" customFormat="false" ht="12" hidden="false" customHeight="false" outlineLevel="0" collapsed="false">
      <c r="C325" s="238"/>
      <c r="D325" s="238"/>
    </row>
    <row r="326" customFormat="false" ht="12" hidden="false" customHeight="false" outlineLevel="0" collapsed="false">
      <c r="C326" s="238"/>
      <c r="D326" s="238"/>
    </row>
    <row r="327" customFormat="false" ht="12" hidden="false" customHeight="false" outlineLevel="0" collapsed="false">
      <c r="C327" s="238"/>
      <c r="D327" s="238"/>
    </row>
    <row r="328" customFormat="false" ht="12" hidden="false" customHeight="false" outlineLevel="0" collapsed="false">
      <c r="C328" s="238"/>
      <c r="D328" s="238"/>
    </row>
    <row r="329" customFormat="false" ht="12" hidden="false" customHeight="false" outlineLevel="0" collapsed="false">
      <c r="C329" s="238"/>
      <c r="D329" s="238"/>
    </row>
    <row r="330" customFormat="false" ht="12" hidden="false" customHeight="false" outlineLevel="0" collapsed="false">
      <c r="C330" s="238"/>
      <c r="D330" s="238"/>
    </row>
    <row r="331" customFormat="false" ht="12" hidden="false" customHeight="false" outlineLevel="0" collapsed="false">
      <c r="C331" s="238"/>
      <c r="D331" s="238"/>
    </row>
    <row r="332" customFormat="false" ht="12" hidden="false" customHeight="false" outlineLevel="0" collapsed="false">
      <c r="C332" s="238"/>
      <c r="D332" s="238"/>
    </row>
    <row r="333" customFormat="false" ht="12" hidden="false" customHeight="false" outlineLevel="0" collapsed="false">
      <c r="C333" s="238"/>
      <c r="D333" s="238"/>
    </row>
    <row r="334" customFormat="false" ht="12" hidden="false" customHeight="false" outlineLevel="0" collapsed="false">
      <c r="C334" s="238"/>
      <c r="D334" s="238"/>
    </row>
    <row r="335" customFormat="false" ht="12" hidden="false" customHeight="false" outlineLevel="0" collapsed="false">
      <c r="C335" s="238"/>
      <c r="D335" s="238"/>
    </row>
    <row r="336" customFormat="false" ht="12" hidden="false" customHeight="false" outlineLevel="0" collapsed="false">
      <c r="C336" s="238"/>
      <c r="D336" s="238"/>
    </row>
    <row r="337" customFormat="false" ht="12" hidden="false" customHeight="false" outlineLevel="0" collapsed="false">
      <c r="C337" s="238"/>
      <c r="D337" s="238"/>
    </row>
    <row r="338" customFormat="false" ht="12" hidden="false" customHeight="false" outlineLevel="0" collapsed="false">
      <c r="C338" s="238"/>
      <c r="D338" s="238"/>
    </row>
    <row r="339" customFormat="false" ht="12" hidden="false" customHeight="false" outlineLevel="0" collapsed="false">
      <c r="C339" s="238"/>
      <c r="D339" s="238"/>
    </row>
    <row r="340" customFormat="false" ht="12" hidden="false" customHeight="false" outlineLevel="0" collapsed="false">
      <c r="C340" s="238"/>
      <c r="D340" s="238"/>
    </row>
    <row r="341" customFormat="false" ht="12" hidden="false" customHeight="false" outlineLevel="0" collapsed="false">
      <c r="C341" s="238"/>
      <c r="D341" s="238"/>
    </row>
    <row r="342" customFormat="false" ht="12" hidden="false" customHeight="false" outlineLevel="0" collapsed="false">
      <c r="C342" s="238"/>
      <c r="D342" s="238"/>
    </row>
    <row r="343" customFormat="false" ht="12" hidden="false" customHeight="false" outlineLevel="0" collapsed="false">
      <c r="C343" s="238"/>
      <c r="D343" s="238"/>
    </row>
    <row r="344" customFormat="false" ht="12" hidden="false" customHeight="false" outlineLevel="0" collapsed="false">
      <c r="C344" s="238"/>
      <c r="D344" s="238"/>
    </row>
    <row r="345" customFormat="false" ht="12" hidden="false" customHeight="false" outlineLevel="0" collapsed="false">
      <c r="C345" s="238"/>
      <c r="D345" s="238"/>
    </row>
    <row r="346" customFormat="false" ht="12" hidden="false" customHeight="false" outlineLevel="0" collapsed="false">
      <c r="C346" s="238"/>
      <c r="D346" s="238"/>
    </row>
    <row r="347" customFormat="false" ht="12" hidden="false" customHeight="false" outlineLevel="0" collapsed="false">
      <c r="C347" s="238"/>
      <c r="D347" s="238"/>
    </row>
    <row r="348" customFormat="false" ht="12" hidden="false" customHeight="false" outlineLevel="0" collapsed="false">
      <c r="C348" s="238"/>
      <c r="D348" s="238"/>
    </row>
    <row r="349" customFormat="false" ht="12" hidden="false" customHeight="false" outlineLevel="0" collapsed="false">
      <c r="C349" s="238"/>
      <c r="D349" s="238"/>
    </row>
    <row r="350" customFormat="false" ht="12" hidden="false" customHeight="false" outlineLevel="0" collapsed="false">
      <c r="C350" s="238"/>
      <c r="D350" s="238"/>
    </row>
    <row r="351" customFormat="false" ht="12" hidden="false" customHeight="false" outlineLevel="0" collapsed="false">
      <c r="C351" s="238"/>
      <c r="D351" s="238"/>
    </row>
    <row r="352" customFormat="false" ht="12" hidden="false" customHeight="false" outlineLevel="0" collapsed="false">
      <c r="C352" s="238"/>
      <c r="D352" s="238"/>
    </row>
    <row r="353" customFormat="false" ht="12" hidden="false" customHeight="false" outlineLevel="0" collapsed="false">
      <c r="C353" s="238"/>
      <c r="D353" s="238"/>
    </row>
    <row r="354" customFormat="false" ht="12" hidden="false" customHeight="false" outlineLevel="0" collapsed="false">
      <c r="C354" s="238"/>
      <c r="D354" s="238"/>
    </row>
    <row r="355" customFormat="false" ht="12" hidden="false" customHeight="false" outlineLevel="0" collapsed="false">
      <c r="C355" s="238"/>
      <c r="D355" s="238"/>
    </row>
    <row r="356" customFormat="false" ht="12" hidden="false" customHeight="false" outlineLevel="0" collapsed="false">
      <c r="C356" s="238"/>
      <c r="D356" s="238"/>
    </row>
    <row r="357" customFormat="false" ht="12" hidden="false" customHeight="false" outlineLevel="0" collapsed="false">
      <c r="C357" s="238"/>
      <c r="D357" s="238"/>
    </row>
    <row r="358" customFormat="false" ht="12" hidden="false" customHeight="false" outlineLevel="0" collapsed="false">
      <c r="C358" s="238"/>
      <c r="D358" s="238"/>
    </row>
    <row r="359" customFormat="false" ht="12" hidden="false" customHeight="false" outlineLevel="0" collapsed="false">
      <c r="C359" s="238"/>
      <c r="D359" s="238"/>
    </row>
    <row r="360" customFormat="false" ht="12" hidden="false" customHeight="false" outlineLevel="0" collapsed="false">
      <c r="C360" s="238"/>
      <c r="D360" s="238"/>
    </row>
    <row r="361" customFormat="false" ht="12" hidden="false" customHeight="false" outlineLevel="0" collapsed="false">
      <c r="C361" s="238"/>
      <c r="D361" s="238"/>
    </row>
    <row r="362" customFormat="false" ht="12" hidden="false" customHeight="false" outlineLevel="0" collapsed="false">
      <c r="C362" s="238"/>
      <c r="D362" s="238"/>
    </row>
    <row r="363" customFormat="false" ht="12" hidden="false" customHeight="false" outlineLevel="0" collapsed="false">
      <c r="C363" s="238"/>
      <c r="D363" s="238"/>
    </row>
    <row r="364" customFormat="false" ht="12" hidden="false" customHeight="false" outlineLevel="0" collapsed="false">
      <c r="C364" s="238"/>
      <c r="D364" s="238"/>
    </row>
    <row r="365" customFormat="false" ht="12" hidden="false" customHeight="false" outlineLevel="0" collapsed="false">
      <c r="C365" s="238"/>
      <c r="D365" s="238"/>
    </row>
    <row r="366" customFormat="false" ht="12" hidden="false" customHeight="false" outlineLevel="0" collapsed="false">
      <c r="C366" s="238"/>
      <c r="D366" s="238"/>
    </row>
    <row r="367" customFormat="false" ht="12" hidden="false" customHeight="false" outlineLevel="0" collapsed="false">
      <c r="C367" s="238"/>
      <c r="D367" s="238"/>
    </row>
    <row r="368" customFormat="false" ht="12" hidden="false" customHeight="false" outlineLevel="0" collapsed="false">
      <c r="C368" s="238"/>
      <c r="D368" s="238"/>
    </row>
    <row r="369" customFormat="false" ht="12" hidden="false" customHeight="false" outlineLevel="0" collapsed="false">
      <c r="C369" s="238"/>
      <c r="D369" s="238"/>
    </row>
    <row r="370" customFormat="false" ht="12" hidden="false" customHeight="false" outlineLevel="0" collapsed="false">
      <c r="C370" s="238"/>
      <c r="D370" s="238"/>
    </row>
    <row r="371" customFormat="false" ht="12" hidden="false" customHeight="false" outlineLevel="0" collapsed="false">
      <c r="C371" s="238"/>
      <c r="D371" s="238"/>
    </row>
    <row r="372" customFormat="false" ht="12" hidden="false" customHeight="false" outlineLevel="0" collapsed="false">
      <c r="C372" s="238"/>
      <c r="D372" s="238"/>
    </row>
    <row r="373" customFormat="false" ht="12" hidden="false" customHeight="false" outlineLevel="0" collapsed="false">
      <c r="C373" s="238"/>
      <c r="D373" s="238"/>
    </row>
    <row r="374" customFormat="false" ht="12" hidden="false" customHeight="false" outlineLevel="0" collapsed="false">
      <c r="C374" s="238"/>
      <c r="D374" s="238"/>
    </row>
    <row r="375" customFormat="false" ht="12" hidden="false" customHeight="false" outlineLevel="0" collapsed="false">
      <c r="C375" s="238"/>
      <c r="D375" s="238"/>
    </row>
    <row r="376" customFormat="false" ht="12" hidden="false" customHeight="false" outlineLevel="0" collapsed="false">
      <c r="C376" s="238"/>
      <c r="D376" s="238"/>
    </row>
    <row r="377" customFormat="false" ht="12" hidden="false" customHeight="false" outlineLevel="0" collapsed="false">
      <c r="C377" s="238"/>
      <c r="D377" s="238"/>
    </row>
    <row r="378" customFormat="false" ht="12" hidden="false" customHeight="false" outlineLevel="0" collapsed="false">
      <c r="C378" s="238"/>
      <c r="D378" s="238"/>
    </row>
    <row r="379" customFormat="false" ht="12" hidden="false" customHeight="false" outlineLevel="0" collapsed="false">
      <c r="C379" s="238"/>
      <c r="D379" s="238"/>
    </row>
    <row r="380" customFormat="false" ht="12" hidden="false" customHeight="false" outlineLevel="0" collapsed="false">
      <c r="C380" s="238"/>
      <c r="D380" s="238"/>
    </row>
    <row r="381" customFormat="false" ht="12" hidden="false" customHeight="false" outlineLevel="0" collapsed="false">
      <c r="C381" s="238"/>
      <c r="D381" s="238"/>
    </row>
    <row r="382" customFormat="false" ht="12" hidden="false" customHeight="false" outlineLevel="0" collapsed="false">
      <c r="C382" s="238"/>
      <c r="D382" s="238"/>
    </row>
    <row r="383" customFormat="false" ht="12" hidden="false" customHeight="false" outlineLevel="0" collapsed="false">
      <c r="C383" s="238"/>
      <c r="D383" s="238"/>
    </row>
    <row r="384" customFormat="false" ht="12" hidden="false" customHeight="false" outlineLevel="0" collapsed="false">
      <c r="C384" s="238"/>
      <c r="D384" s="238"/>
    </row>
    <row r="385" customFormat="false" ht="12" hidden="false" customHeight="false" outlineLevel="0" collapsed="false">
      <c r="C385" s="238"/>
      <c r="D385" s="238"/>
    </row>
    <row r="386" customFormat="false" ht="12" hidden="false" customHeight="false" outlineLevel="0" collapsed="false">
      <c r="C386" s="238"/>
      <c r="D386" s="238"/>
    </row>
    <row r="387" customFormat="false" ht="12" hidden="false" customHeight="false" outlineLevel="0" collapsed="false">
      <c r="C387" s="238"/>
      <c r="D387" s="238"/>
    </row>
    <row r="388" customFormat="false" ht="12" hidden="false" customHeight="false" outlineLevel="0" collapsed="false">
      <c r="C388" s="238"/>
      <c r="D388" s="238"/>
    </row>
    <row r="389" customFormat="false" ht="12" hidden="false" customHeight="false" outlineLevel="0" collapsed="false">
      <c r="C389" s="238"/>
      <c r="D389" s="238"/>
    </row>
    <row r="390" customFormat="false" ht="12" hidden="false" customHeight="false" outlineLevel="0" collapsed="false">
      <c r="C390" s="238"/>
      <c r="D390" s="238"/>
    </row>
    <row r="391" customFormat="false" ht="12" hidden="false" customHeight="false" outlineLevel="0" collapsed="false">
      <c r="C391" s="238"/>
      <c r="D391" s="238"/>
    </row>
    <row r="392" customFormat="false" ht="12" hidden="false" customHeight="false" outlineLevel="0" collapsed="false">
      <c r="C392" s="238"/>
      <c r="D392" s="238"/>
    </row>
    <row r="393" customFormat="false" ht="12" hidden="false" customHeight="false" outlineLevel="0" collapsed="false">
      <c r="C393" s="238"/>
      <c r="D393" s="238"/>
    </row>
    <row r="394" customFormat="false" ht="12" hidden="false" customHeight="false" outlineLevel="0" collapsed="false">
      <c r="C394" s="238"/>
      <c r="D394" s="238"/>
    </row>
    <row r="395" customFormat="false" ht="12" hidden="false" customHeight="false" outlineLevel="0" collapsed="false">
      <c r="C395" s="238"/>
      <c r="D395" s="238"/>
    </row>
    <row r="396" customFormat="false" ht="12" hidden="false" customHeight="false" outlineLevel="0" collapsed="false">
      <c r="C396" s="238"/>
      <c r="D396" s="238"/>
    </row>
    <row r="397" customFormat="false" ht="12" hidden="false" customHeight="false" outlineLevel="0" collapsed="false">
      <c r="C397" s="238"/>
      <c r="D397" s="238"/>
    </row>
    <row r="398" customFormat="false" ht="12" hidden="false" customHeight="false" outlineLevel="0" collapsed="false">
      <c r="C398" s="238"/>
      <c r="D398" s="238"/>
    </row>
    <row r="399" customFormat="false" ht="12" hidden="false" customHeight="false" outlineLevel="0" collapsed="false">
      <c r="C399" s="238"/>
      <c r="D399" s="238"/>
    </row>
    <row r="400" customFormat="false" ht="12" hidden="false" customHeight="false" outlineLevel="0" collapsed="false">
      <c r="C400" s="238"/>
      <c r="D400" s="238"/>
    </row>
    <row r="401" customFormat="false" ht="12" hidden="false" customHeight="false" outlineLevel="0" collapsed="false">
      <c r="C401" s="238"/>
      <c r="D401" s="238"/>
    </row>
    <row r="402" customFormat="false" ht="12" hidden="false" customHeight="false" outlineLevel="0" collapsed="false">
      <c r="C402" s="238"/>
      <c r="D402" s="238"/>
    </row>
    <row r="403" customFormat="false" ht="12" hidden="false" customHeight="false" outlineLevel="0" collapsed="false">
      <c r="C403" s="238"/>
      <c r="D403" s="238"/>
    </row>
    <row r="404" customFormat="false" ht="12" hidden="false" customHeight="false" outlineLevel="0" collapsed="false">
      <c r="C404" s="238"/>
      <c r="D404" s="238"/>
    </row>
    <row r="405" customFormat="false" ht="12" hidden="false" customHeight="false" outlineLevel="0" collapsed="false">
      <c r="C405" s="238"/>
      <c r="D405" s="238"/>
    </row>
    <row r="406" customFormat="false" ht="12" hidden="false" customHeight="false" outlineLevel="0" collapsed="false">
      <c r="C406" s="238"/>
      <c r="D406" s="238"/>
    </row>
    <row r="407" customFormat="false" ht="12" hidden="false" customHeight="false" outlineLevel="0" collapsed="false">
      <c r="C407" s="238"/>
      <c r="D407" s="238"/>
    </row>
    <row r="408" customFormat="false" ht="12" hidden="false" customHeight="false" outlineLevel="0" collapsed="false">
      <c r="C408" s="238"/>
      <c r="D408" s="238"/>
    </row>
    <row r="409" customFormat="false" ht="12" hidden="false" customHeight="false" outlineLevel="0" collapsed="false">
      <c r="C409" s="238"/>
      <c r="D409" s="238"/>
    </row>
    <row r="410" customFormat="false" ht="12" hidden="false" customHeight="false" outlineLevel="0" collapsed="false">
      <c r="C410" s="238"/>
      <c r="D410" s="238"/>
    </row>
    <row r="411" customFormat="false" ht="12" hidden="false" customHeight="false" outlineLevel="0" collapsed="false">
      <c r="C411" s="238"/>
      <c r="D411" s="238"/>
    </row>
    <row r="412" customFormat="false" ht="12" hidden="false" customHeight="false" outlineLevel="0" collapsed="false">
      <c r="C412" s="238"/>
      <c r="D412" s="238"/>
    </row>
    <row r="413" customFormat="false" ht="12" hidden="false" customHeight="false" outlineLevel="0" collapsed="false">
      <c r="C413" s="238"/>
      <c r="D413" s="238"/>
    </row>
    <row r="414" customFormat="false" ht="12" hidden="false" customHeight="false" outlineLevel="0" collapsed="false">
      <c r="C414" s="238"/>
      <c r="D414" s="238"/>
    </row>
    <row r="415" customFormat="false" ht="12" hidden="false" customHeight="false" outlineLevel="0" collapsed="false">
      <c r="C415" s="238"/>
      <c r="D415" s="238"/>
    </row>
    <row r="416" customFormat="false" ht="12" hidden="false" customHeight="false" outlineLevel="0" collapsed="false">
      <c r="C416" s="238"/>
      <c r="D416" s="238"/>
    </row>
    <row r="417" customFormat="false" ht="12" hidden="false" customHeight="false" outlineLevel="0" collapsed="false">
      <c r="C417" s="238"/>
      <c r="D417" s="238"/>
    </row>
    <row r="418" customFormat="false" ht="12" hidden="false" customHeight="false" outlineLevel="0" collapsed="false">
      <c r="C418" s="238"/>
      <c r="D418" s="238"/>
    </row>
    <row r="419" customFormat="false" ht="12" hidden="false" customHeight="false" outlineLevel="0" collapsed="false">
      <c r="C419" s="238"/>
      <c r="D419" s="238"/>
    </row>
    <row r="420" customFormat="false" ht="12" hidden="false" customHeight="false" outlineLevel="0" collapsed="false">
      <c r="C420" s="238"/>
      <c r="D420" s="238"/>
    </row>
    <row r="421" customFormat="false" ht="12" hidden="false" customHeight="false" outlineLevel="0" collapsed="false">
      <c r="C421" s="238"/>
      <c r="D421" s="238"/>
    </row>
    <row r="422" customFormat="false" ht="12" hidden="false" customHeight="false" outlineLevel="0" collapsed="false">
      <c r="C422" s="238"/>
      <c r="D422" s="238"/>
    </row>
    <row r="423" customFormat="false" ht="12" hidden="false" customHeight="false" outlineLevel="0" collapsed="false">
      <c r="C423" s="238"/>
      <c r="D423" s="238"/>
    </row>
    <row r="424" customFormat="false" ht="12" hidden="false" customHeight="false" outlineLevel="0" collapsed="false">
      <c r="C424" s="238"/>
      <c r="D424" s="238"/>
    </row>
    <row r="425" customFormat="false" ht="12" hidden="false" customHeight="false" outlineLevel="0" collapsed="false">
      <c r="C425" s="238"/>
      <c r="D425" s="238"/>
    </row>
    <row r="426" customFormat="false" ht="12" hidden="false" customHeight="false" outlineLevel="0" collapsed="false">
      <c r="C426" s="238"/>
      <c r="D426" s="238"/>
    </row>
    <row r="427" customFormat="false" ht="12" hidden="false" customHeight="false" outlineLevel="0" collapsed="false">
      <c r="C427" s="238"/>
      <c r="D427" s="238"/>
    </row>
    <row r="428" customFormat="false" ht="12" hidden="false" customHeight="false" outlineLevel="0" collapsed="false">
      <c r="C428" s="238"/>
      <c r="D428" s="238"/>
    </row>
    <row r="429" customFormat="false" ht="12" hidden="false" customHeight="false" outlineLevel="0" collapsed="false">
      <c r="C429" s="238"/>
      <c r="D429" s="238"/>
    </row>
    <row r="430" customFormat="false" ht="12" hidden="false" customHeight="false" outlineLevel="0" collapsed="false">
      <c r="C430" s="238"/>
      <c r="D430" s="238"/>
    </row>
    <row r="431" customFormat="false" ht="12" hidden="false" customHeight="false" outlineLevel="0" collapsed="false">
      <c r="C431" s="238"/>
      <c r="D431" s="238"/>
    </row>
    <row r="432" customFormat="false" ht="12" hidden="false" customHeight="false" outlineLevel="0" collapsed="false">
      <c r="C432" s="238"/>
      <c r="D432" s="238"/>
    </row>
    <row r="433" customFormat="false" ht="12" hidden="false" customHeight="false" outlineLevel="0" collapsed="false">
      <c r="C433" s="238"/>
      <c r="D433" s="238"/>
    </row>
    <row r="434" customFormat="false" ht="12" hidden="false" customHeight="false" outlineLevel="0" collapsed="false">
      <c r="C434" s="238"/>
      <c r="D434" s="238"/>
    </row>
    <row r="435" customFormat="false" ht="12" hidden="false" customHeight="false" outlineLevel="0" collapsed="false">
      <c r="C435" s="238"/>
      <c r="D435" s="238"/>
    </row>
    <row r="436" customFormat="false" ht="12" hidden="false" customHeight="false" outlineLevel="0" collapsed="false">
      <c r="C436" s="238"/>
      <c r="D436" s="238"/>
    </row>
    <row r="437" customFormat="false" ht="12" hidden="false" customHeight="false" outlineLevel="0" collapsed="false">
      <c r="C437" s="238"/>
      <c r="D437" s="238"/>
    </row>
    <row r="438" customFormat="false" ht="12" hidden="false" customHeight="false" outlineLevel="0" collapsed="false">
      <c r="C438" s="238"/>
      <c r="D438" s="238"/>
    </row>
    <row r="439" customFormat="false" ht="12" hidden="false" customHeight="false" outlineLevel="0" collapsed="false">
      <c r="C439" s="238"/>
      <c r="D439" s="238"/>
    </row>
    <row r="440" customFormat="false" ht="12" hidden="false" customHeight="false" outlineLevel="0" collapsed="false">
      <c r="C440" s="238"/>
      <c r="D440" s="238"/>
    </row>
    <row r="441" customFormat="false" ht="12" hidden="false" customHeight="false" outlineLevel="0" collapsed="false">
      <c r="C441" s="238"/>
      <c r="D441" s="238"/>
    </row>
    <row r="442" customFormat="false" ht="12" hidden="false" customHeight="false" outlineLevel="0" collapsed="false">
      <c r="C442" s="238"/>
      <c r="D442" s="238"/>
    </row>
    <row r="443" customFormat="false" ht="12" hidden="false" customHeight="false" outlineLevel="0" collapsed="false">
      <c r="C443" s="238"/>
      <c r="D443" s="238"/>
    </row>
    <row r="444" customFormat="false" ht="12" hidden="false" customHeight="false" outlineLevel="0" collapsed="false">
      <c r="C444" s="238"/>
      <c r="D444" s="238"/>
    </row>
    <row r="445" customFormat="false" ht="12" hidden="false" customHeight="false" outlineLevel="0" collapsed="false">
      <c r="C445" s="238"/>
      <c r="D445" s="238"/>
    </row>
    <row r="446" customFormat="false" ht="12" hidden="false" customHeight="false" outlineLevel="0" collapsed="false">
      <c r="C446" s="238"/>
      <c r="D446" s="238"/>
    </row>
    <row r="447" customFormat="false" ht="12" hidden="false" customHeight="false" outlineLevel="0" collapsed="false">
      <c r="C447" s="238"/>
      <c r="D447" s="238"/>
    </row>
    <row r="448" customFormat="false" ht="12" hidden="false" customHeight="false" outlineLevel="0" collapsed="false">
      <c r="C448" s="238"/>
      <c r="D448" s="238"/>
    </row>
    <row r="449" customFormat="false" ht="12" hidden="false" customHeight="false" outlineLevel="0" collapsed="false">
      <c r="C449" s="238"/>
      <c r="D449" s="238"/>
    </row>
    <row r="450" customFormat="false" ht="12" hidden="false" customHeight="false" outlineLevel="0" collapsed="false">
      <c r="C450" s="238"/>
      <c r="D450" s="238"/>
    </row>
    <row r="451" customFormat="false" ht="12" hidden="false" customHeight="false" outlineLevel="0" collapsed="false">
      <c r="C451" s="238"/>
      <c r="D451" s="238"/>
    </row>
    <row r="452" customFormat="false" ht="12" hidden="false" customHeight="false" outlineLevel="0" collapsed="false">
      <c r="C452" s="238"/>
      <c r="D452" s="238"/>
    </row>
    <row r="453" customFormat="false" ht="12" hidden="false" customHeight="false" outlineLevel="0" collapsed="false">
      <c r="C453" s="238"/>
      <c r="D453" s="238"/>
    </row>
    <row r="454" customFormat="false" ht="12" hidden="false" customHeight="false" outlineLevel="0" collapsed="false">
      <c r="C454" s="238"/>
      <c r="D454" s="238"/>
    </row>
    <row r="455" customFormat="false" ht="12" hidden="false" customHeight="false" outlineLevel="0" collapsed="false">
      <c r="C455" s="238"/>
      <c r="D455" s="238"/>
    </row>
    <row r="456" customFormat="false" ht="12" hidden="false" customHeight="false" outlineLevel="0" collapsed="false">
      <c r="C456" s="238"/>
      <c r="D456" s="238"/>
    </row>
    <row r="457" customFormat="false" ht="12" hidden="false" customHeight="false" outlineLevel="0" collapsed="false">
      <c r="C457" s="238"/>
      <c r="D457" s="238"/>
    </row>
    <row r="458" customFormat="false" ht="12" hidden="false" customHeight="false" outlineLevel="0" collapsed="false">
      <c r="C458" s="238"/>
      <c r="D458" s="238"/>
    </row>
    <row r="459" customFormat="false" ht="12" hidden="false" customHeight="false" outlineLevel="0" collapsed="false">
      <c r="C459" s="238"/>
      <c r="D459" s="238"/>
    </row>
    <row r="460" customFormat="false" ht="12" hidden="false" customHeight="false" outlineLevel="0" collapsed="false">
      <c r="C460" s="238"/>
      <c r="D460" s="238"/>
    </row>
    <row r="461" customFormat="false" ht="12" hidden="false" customHeight="false" outlineLevel="0" collapsed="false">
      <c r="C461" s="238"/>
      <c r="D461" s="238"/>
    </row>
    <row r="462" customFormat="false" ht="12" hidden="false" customHeight="false" outlineLevel="0" collapsed="false">
      <c r="C462" s="238"/>
      <c r="D462" s="238"/>
    </row>
    <row r="463" customFormat="false" ht="12" hidden="false" customHeight="false" outlineLevel="0" collapsed="false">
      <c r="C463" s="238"/>
      <c r="D463" s="238"/>
    </row>
    <row r="464" customFormat="false" ht="12" hidden="false" customHeight="false" outlineLevel="0" collapsed="false">
      <c r="C464" s="238"/>
      <c r="D464" s="238"/>
    </row>
    <row r="465" customFormat="false" ht="12" hidden="false" customHeight="false" outlineLevel="0" collapsed="false">
      <c r="C465" s="238"/>
      <c r="D465" s="238"/>
    </row>
    <row r="466" customFormat="false" ht="12" hidden="false" customHeight="false" outlineLevel="0" collapsed="false">
      <c r="C466" s="238"/>
      <c r="D466" s="238"/>
    </row>
    <row r="467" customFormat="false" ht="12" hidden="false" customHeight="false" outlineLevel="0" collapsed="false">
      <c r="C467" s="238"/>
      <c r="D467" s="238"/>
    </row>
    <row r="468" customFormat="false" ht="12" hidden="false" customHeight="false" outlineLevel="0" collapsed="false">
      <c r="C468" s="238"/>
      <c r="D468" s="238"/>
    </row>
    <row r="469" customFormat="false" ht="12" hidden="false" customHeight="false" outlineLevel="0" collapsed="false">
      <c r="C469" s="238"/>
      <c r="D469" s="238"/>
    </row>
    <row r="470" customFormat="false" ht="12" hidden="false" customHeight="false" outlineLevel="0" collapsed="false">
      <c r="C470" s="238"/>
      <c r="D470" s="238"/>
    </row>
    <row r="471" customFormat="false" ht="12" hidden="false" customHeight="false" outlineLevel="0" collapsed="false">
      <c r="C471" s="238"/>
      <c r="D471" s="238"/>
    </row>
    <row r="472" customFormat="false" ht="12" hidden="false" customHeight="false" outlineLevel="0" collapsed="false">
      <c r="C472" s="238"/>
      <c r="D472" s="238"/>
    </row>
    <row r="473" customFormat="false" ht="12" hidden="false" customHeight="false" outlineLevel="0" collapsed="false">
      <c r="C473" s="238"/>
      <c r="D473" s="238"/>
    </row>
    <row r="474" customFormat="false" ht="12" hidden="false" customHeight="false" outlineLevel="0" collapsed="false">
      <c r="C474" s="238"/>
      <c r="D474" s="238"/>
    </row>
    <row r="475" customFormat="false" ht="12" hidden="false" customHeight="false" outlineLevel="0" collapsed="false">
      <c r="C475" s="238"/>
      <c r="D475" s="238"/>
    </row>
    <row r="476" customFormat="false" ht="12" hidden="false" customHeight="false" outlineLevel="0" collapsed="false">
      <c r="C476" s="238"/>
      <c r="D476" s="238"/>
    </row>
    <row r="477" customFormat="false" ht="12" hidden="false" customHeight="false" outlineLevel="0" collapsed="false">
      <c r="C477" s="238"/>
      <c r="D477" s="238"/>
    </row>
    <row r="478" customFormat="false" ht="12" hidden="false" customHeight="false" outlineLevel="0" collapsed="false">
      <c r="C478" s="238"/>
      <c r="D478" s="238"/>
    </row>
    <row r="479" customFormat="false" ht="12" hidden="false" customHeight="false" outlineLevel="0" collapsed="false">
      <c r="C479" s="238"/>
      <c r="D479" s="238"/>
    </row>
    <row r="480" customFormat="false" ht="12" hidden="false" customHeight="false" outlineLevel="0" collapsed="false">
      <c r="C480" s="238"/>
      <c r="D480" s="238"/>
    </row>
    <row r="481" customFormat="false" ht="12" hidden="false" customHeight="false" outlineLevel="0" collapsed="false">
      <c r="C481" s="238"/>
      <c r="D481" s="238"/>
    </row>
    <row r="482" customFormat="false" ht="12" hidden="false" customHeight="false" outlineLevel="0" collapsed="false">
      <c r="C482" s="238"/>
      <c r="D482" s="238"/>
    </row>
    <row r="483" customFormat="false" ht="12" hidden="false" customHeight="false" outlineLevel="0" collapsed="false">
      <c r="C483" s="238"/>
      <c r="D483" s="238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922" t="s">
        <v>557</v>
      </c>
      <c r="B2" s="922" t="s">
        <v>557</v>
      </c>
      <c r="C2" s="922" t="s">
        <v>557</v>
      </c>
      <c r="D2" s="922" t="s">
        <v>557</v>
      </c>
      <c r="E2" s="922" t="s">
        <v>557</v>
      </c>
      <c r="F2" s="922" t="s">
        <v>557</v>
      </c>
      <c r="G2" s="922" t="s">
        <v>557</v>
      </c>
      <c r="H2" s="922" t="s">
        <v>557</v>
      </c>
      <c r="I2" s="923" t="s">
        <v>557</v>
      </c>
      <c r="J2" s="923"/>
    </row>
    <row r="14" customFormat="false" ht="30" hidden="false" customHeight="false" outlineLevel="0" collapsed="false">
      <c r="A14" s="922" t="s">
        <v>558</v>
      </c>
      <c r="B14" s="922" t="s">
        <v>558</v>
      </c>
      <c r="C14" s="922" t="s">
        <v>558</v>
      </c>
      <c r="D14" s="922" t="s">
        <v>558</v>
      </c>
      <c r="E14" s="922" t="s">
        <v>558</v>
      </c>
      <c r="F14" s="922" t="s">
        <v>558</v>
      </c>
      <c r="G14" s="922" t="s">
        <v>558</v>
      </c>
      <c r="H14" s="922" t="s">
        <v>558</v>
      </c>
      <c r="I14" s="923" t="s">
        <v>558</v>
      </c>
      <c r="J14" s="92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923" t="s">
        <v>557</v>
      </c>
      <c r="B2" s="923"/>
      <c r="C2" s="923"/>
      <c r="D2" s="923"/>
      <c r="E2" s="923"/>
      <c r="F2" s="923"/>
      <c r="G2" s="923"/>
      <c r="H2" s="923"/>
      <c r="I2" s="923"/>
      <c r="J2" s="923"/>
    </row>
    <row r="5" customFormat="false" ht="15.75" hidden="false" customHeight="false" outlineLevel="0" collapsed="false">
      <c r="C5" s="924" t="s">
        <v>559</v>
      </c>
      <c r="D5" s="9" t="s">
        <v>560</v>
      </c>
      <c r="F5" s="924" t="s">
        <v>561</v>
      </c>
      <c r="G5" s="9" t="s">
        <v>562</v>
      </c>
    </row>
    <row r="6" customFormat="false" ht="15" hidden="false" customHeight="false" outlineLevel="0" collapsed="false">
      <c r="D6" s="9" t="s">
        <v>563</v>
      </c>
      <c r="G6" s="9" t="s">
        <v>564</v>
      </c>
    </row>
    <row r="7" customFormat="false" ht="15" hidden="false" customHeight="false" outlineLevel="0" collapsed="false">
      <c r="D7" s="9" t="s">
        <v>564</v>
      </c>
    </row>
    <row r="8" customFormat="false" ht="15" hidden="false" customHeight="false" outlineLevel="0" collapsed="false">
      <c r="G8" s="9" t="s">
        <v>565</v>
      </c>
    </row>
    <row r="9" customFormat="false" ht="15" hidden="false" customHeight="false" outlineLevel="0" collapsed="false">
      <c r="D9" s="9" t="s">
        <v>566</v>
      </c>
      <c r="G9" s="9" t="s">
        <v>567</v>
      </c>
    </row>
    <row r="10" customFormat="false" ht="15" hidden="false" customHeight="false" outlineLevel="0" collapsed="false">
      <c r="D10" s="9" t="s">
        <v>568</v>
      </c>
    </row>
    <row r="11" customFormat="false" ht="15.75" hidden="false" customHeight="false" outlineLevel="0" collapsed="false">
      <c r="D11" s="924" t="s">
        <v>569</v>
      </c>
    </row>
    <row r="12" customFormat="false" ht="15.75" hidden="false" customHeight="false" outlineLevel="0" collapsed="false">
      <c r="D12" s="924" t="s">
        <v>570</v>
      </c>
    </row>
    <row r="14" customFormat="false" ht="30" hidden="false" customHeight="false" outlineLevel="0" collapsed="false">
      <c r="A14" s="923" t="s">
        <v>558</v>
      </c>
      <c r="B14" s="923"/>
      <c r="C14" s="923"/>
      <c r="D14" s="923"/>
      <c r="E14" s="923"/>
      <c r="F14" s="923"/>
      <c r="G14" s="923"/>
      <c r="H14" s="923"/>
      <c r="I14" s="923"/>
      <c r="J14" s="923"/>
    </row>
    <row r="16" customFormat="false" ht="15" hidden="false" customHeight="false" outlineLevel="0" collapsed="false">
      <c r="B16" s="4" t="s">
        <v>571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572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925" t="s">
        <v>573</v>
      </c>
      <c r="C18" s="925"/>
      <c r="D18" s="925"/>
      <c r="E18" s="925"/>
      <c r="F18" s="925"/>
      <c r="G18" s="925"/>
      <c r="H18" s="925"/>
      <c r="I18" s="925"/>
    </row>
    <row r="19" customFormat="false" ht="15.75" hidden="false" customHeight="false" outlineLevel="0" collapsed="false"/>
    <row r="20" customFormat="false" ht="21" hidden="false" customHeight="false" outlineLevel="0" collapsed="false">
      <c r="B20" s="926" t="s">
        <v>574</v>
      </c>
      <c r="C20" s="926"/>
      <c r="D20" s="926"/>
      <c r="E20" s="926"/>
      <c r="F20" s="926"/>
      <c r="G20" s="926"/>
      <c r="H20" s="926"/>
      <c r="I20" s="926"/>
    </row>
    <row r="22" customFormat="false" ht="15" hidden="false" customHeight="false" outlineLevel="0" collapsed="false">
      <c r="B22" s="9" t="s">
        <v>575</v>
      </c>
      <c r="D22" s="927" t="n">
        <f aca="true">NOW()</f>
        <v>45927.0035668751</v>
      </c>
      <c r="F22" s="9" t="s">
        <v>576</v>
      </c>
      <c r="G22" s="928" t="n">
        <f aca="true">NOW()</f>
        <v>45927.0035668751</v>
      </c>
    </row>
    <row r="24" customFormat="false" ht="15" hidden="false" customHeight="false" outlineLevel="0" collapsed="false">
      <c r="B24" s="9" t="s">
        <v>577</v>
      </c>
      <c r="D24" s="929" t="s">
        <v>578</v>
      </c>
      <c r="E24" s="0" t="s">
        <v>0</v>
      </c>
      <c r="F24" s="9" t="s">
        <v>579</v>
      </c>
      <c r="G24" s="930" t="s">
        <v>580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931" t="s">
        <v>0</v>
      </c>
      <c r="C26" s="9" t="s">
        <v>581</v>
      </c>
    </row>
    <row r="27" customFormat="false" ht="15.75" hidden="false" customHeight="false" outlineLevel="0" collapsed="false">
      <c r="B27" s="931" t="s">
        <v>0</v>
      </c>
      <c r="C27" s="9" t="s">
        <v>582</v>
      </c>
    </row>
    <row r="28" customFormat="false" ht="15.75" hidden="false" customHeight="false" outlineLevel="0" collapsed="false">
      <c r="B28" s="931" t="s">
        <v>583</v>
      </c>
      <c r="C28" s="9" t="s">
        <v>584</v>
      </c>
    </row>
    <row r="29" customFormat="false" ht="15" hidden="false" customHeight="false" outlineLevel="0" collapsed="false">
      <c r="B29" s="0" t="s">
        <v>0</v>
      </c>
      <c r="C29" s="9" t="s">
        <v>585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586</v>
      </c>
      <c r="E32" s="932" t="n">
        <v>35915</v>
      </c>
    </row>
    <row r="34" customFormat="false" ht="15.75" hidden="false" customHeight="false" outlineLevel="0" collapsed="false">
      <c r="B34" s="9" t="s">
        <v>587</v>
      </c>
      <c r="E34" s="933" t="n">
        <v>0</v>
      </c>
      <c r="F34" s="0" t="s">
        <v>588</v>
      </c>
    </row>
    <row r="36" customFormat="false" ht="15.75" hidden="false" customHeight="false" outlineLevel="0" collapsed="false">
      <c r="B36" s="9" t="s">
        <v>589</v>
      </c>
      <c r="E36" s="933" t="n">
        <v>0</v>
      </c>
      <c r="F36" s="0" t="s">
        <v>588</v>
      </c>
    </row>
    <row r="38" customFormat="false" ht="15.75" hidden="false" customHeight="false" outlineLevel="0" collapsed="false">
      <c r="B38" s="0" t="s">
        <v>590</v>
      </c>
      <c r="E38" s="927" t="n">
        <f aca="false">+E32+1</f>
        <v>35916</v>
      </c>
      <c r="F38" s="933" t="n">
        <v>0</v>
      </c>
      <c r="G38" s="0" t="s">
        <v>588</v>
      </c>
    </row>
    <row r="39" customFormat="false" ht="15.75" hidden="false" customHeight="false" outlineLevel="0" collapsed="false">
      <c r="E39" s="927" t="n">
        <f aca="false">+E38+1</f>
        <v>35917</v>
      </c>
      <c r="F39" s="933" t="n">
        <v>0</v>
      </c>
      <c r="G39" s="0" t="s">
        <v>588</v>
      </c>
    </row>
    <row r="40" customFormat="false" ht="15.75" hidden="false" customHeight="false" outlineLevel="0" collapsed="false">
      <c r="E40" s="927" t="n">
        <f aca="false">+E39+1</f>
        <v>35918</v>
      </c>
      <c r="F40" s="933" t="n">
        <v>0</v>
      </c>
      <c r="G40" s="0" t="s">
        <v>588</v>
      </c>
    </row>
    <row r="41" customFormat="false" ht="15.75" hidden="false" customHeight="false" outlineLevel="0" collapsed="false">
      <c r="E41" s="927" t="n">
        <f aca="false">+E40+1</f>
        <v>35919</v>
      </c>
      <c r="F41" s="933" t="n">
        <v>0</v>
      </c>
      <c r="G41" s="0" t="s">
        <v>588</v>
      </c>
    </row>
    <row r="42" customFormat="false" ht="15.75" hidden="false" customHeight="false" outlineLevel="0" collapsed="false">
      <c r="E42" s="927" t="n">
        <f aca="false">+E41+1</f>
        <v>35920</v>
      </c>
      <c r="F42" s="933" t="n">
        <v>0</v>
      </c>
      <c r="G42" s="0" t="s">
        <v>588</v>
      </c>
    </row>
    <row r="44" customFormat="false" ht="15" hidden="false" customHeight="false" outlineLevel="0" collapsed="false">
      <c r="B44" s="9" t="s">
        <v>591</v>
      </c>
      <c r="D44" s="930"/>
      <c r="E44" s="930"/>
      <c r="F44" s="930"/>
      <c r="G44" s="930"/>
      <c r="H44" s="930"/>
    </row>
    <row r="45" customFormat="false" ht="15" hidden="false" customHeight="false" outlineLevel="0" collapsed="false">
      <c r="D45" s="930"/>
      <c r="E45" s="930"/>
      <c r="F45" s="930"/>
      <c r="G45" s="930"/>
      <c r="H45" s="930"/>
    </row>
    <row r="47" customFormat="false" ht="15" hidden="false" customHeight="false" outlineLevel="0" collapsed="false">
      <c r="B47" s="934" t="s">
        <v>423</v>
      </c>
      <c r="C47" s="934" t="s">
        <v>0</v>
      </c>
      <c r="D47" s="935"/>
    </row>
    <row r="48" customFormat="false" ht="15" hidden="false" customHeight="false" outlineLevel="0" collapsed="false">
      <c r="B48" s="936"/>
      <c r="C48" s="934" t="s">
        <v>0</v>
      </c>
      <c r="D48" s="935"/>
    </row>
    <row r="49" customFormat="false" ht="15" hidden="false" customHeight="false" outlineLevel="0" collapsed="false">
      <c r="B49" s="936"/>
      <c r="C49" s="934" t="s">
        <v>592</v>
      </c>
      <c r="D49" s="935"/>
    </row>
    <row r="50" customFormat="false" ht="15" hidden="false" customHeight="false" outlineLevel="0" collapsed="false">
      <c r="B50" s="936"/>
      <c r="C50" s="934" t="s">
        <v>593</v>
      </c>
    </row>
    <row r="51" customFormat="false" ht="15" hidden="false" customHeight="false" outlineLevel="0" collapsed="false">
      <c r="B51" s="936"/>
      <c r="C51" s="934" t="s">
        <v>594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93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938" width="13.65"/>
    <col collapsed="false" customWidth="true" hidden="false" outlineLevel="0" max="7" min="7" style="27" width="8.21"/>
    <col collapsed="false" customWidth="false" hidden="false" outlineLevel="0" max="8" min="8" style="93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940" t="s">
        <v>595</v>
      </c>
      <c r="B1" s="27"/>
      <c r="C1" s="13"/>
      <c r="D1" s="941" t="s">
        <v>0</v>
      </c>
      <c r="E1" s="13"/>
      <c r="F1" s="16"/>
      <c r="G1" s="13"/>
      <c r="H1" s="942"/>
      <c r="I1" s="13"/>
    </row>
    <row r="2" customFormat="false" ht="15" hidden="false" customHeight="false" outlineLevel="0" collapsed="false">
      <c r="A2" s="13"/>
      <c r="B2" s="943"/>
      <c r="C2" s="13"/>
      <c r="D2" s="13"/>
      <c r="E2" s="13"/>
      <c r="F2" s="16"/>
      <c r="G2" s="13"/>
      <c r="H2" s="942"/>
      <c r="I2" s="13"/>
    </row>
    <row r="3" customFormat="false" ht="15" hidden="false" customHeight="false" outlineLevel="0" collapsed="false">
      <c r="A3" s="944" t="s">
        <v>7</v>
      </c>
      <c r="B3" s="945" t="s">
        <v>0</v>
      </c>
      <c r="C3" s="13"/>
      <c r="D3" s="13"/>
      <c r="E3" s="13"/>
      <c r="F3" s="16"/>
      <c r="G3" s="13"/>
      <c r="H3" s="942"/>
      <c r="I3" s="13"/>
    </row>
    <row r="4" customFormat="false" ht="15" hidden="false" customHeight="false" outlineLevel="0" collapsed="false">
      <c r="A4" s="13"/>
      <c r="B4" s="945"/>
      <c r="C4" s="13"/>
      <c r="D4" s="946" t="s">
        <v>596</v>
      </c>
      <c r="E4" s="946"/>
      <c r="F4" s="946" t="s">
        <v>597</v>
      </c>
      <c r="G4" s="946"/>
      <c r="H4" s="947"/>
      <c r="I4" s="948" t="s">
        <v>598</v>
      </c>
    </row>
    <row r="5" customFormat="false" ht="15" hidden="false" customHeight="false" outlineLevel="0" collapsed="false">
      <c r="A5" s="943" t="str">
        <f aca="false">CHOOSE(WEEKDAY(B5),"Sunday","Monday","Tuesday","Wednesday","Thursday","Friday","Saturday")</f>
        <v>Saturday</v>
      </c>
      <c r="B5" s="949" t="n">
        <f aca="false">Weather_Input!A5</f>
        <v>37037</v>
      </c>
      <c r="C5" s="13"/>
      <c r="D5" s="950" t="s">
        <v>599</v>
      </c>
      <c r="E5" s="951" t="n">
        <f aca="false">Weather_Input!B5</f>
        <v>56</v>
      </c>
      <c r="F5" s="952" t="s">
        <v>600</v>
      </c>
      <c r="G5" s="953" t="n">
        <f aca="false">Weather_Input!H5</f>
        <v>17</v>
      </c>
      <c r="H5" s="954" t="s">
        <v>601</v>
      </c>
      <c r="I5" s="955" t="n">
        <f aca="true">G5-(VLOOKUP(B5,DD_Normal_Data,CELL("Col",B6),FALSE()))</f>
        <v>12</v>
      </c>
    </row>
    <row r="6" customFormat="false" ht="15" hidden="false" customHeight="false" outlineLevel="0" collapsed="false">
      <c r="A6" s="943"/>
      <c r="B6" s="949"/>
      <c r="C6" s="13"/>
      <c r="D6" s="950" t="s">
        <v>282</v>
      </c>
      <c r="E6" s="951" t="n">
        <f aca="false">Weather_Input!C5</f>
        <v>47</v>
      </c>
      <c r="F6" s="952" t="s">
        <v>602</v>
      </c>
      <c r="G6" s="953" t="n">
        <f aca="false">Weather_Input!F5</f>
        <v>153</v>
      </c>
      <c r="H6" s="954" t="s">
        <v>603</v>
      </c>
      <c r="I6" s="955" t="n">
        <f aca="true">G6-(VLOOKUP(B5,DD_Normal_Data,CELL("Col",C7),FALSE()))</f>
        <v>-51</v>
      </c>
      <c r="J6" s="956"/>
      <c r="DE6" s="27" t="s">
        <v>10</v>
      </c>
    </row>
    <row r="7" customFormat="false" ht="15" hidden="false" customHeight="false" outlineLevel="0" collapsed="false">
      <c r="A7" s="943"/>
      <c r="B7" s="949"/>
      <c r="C7" s="13"/>
      <c r="D7" s="950" t="s">
        <v>604</v>
      </c>
      <c r="E7" s="951" t="n">
        <f aca="false">IF(Weather_Input!E5="N/A",(Weather_Input!C5+Weather_Input!B5)/2,Weather_Input!E5)</f>
        <v>51.5</v>
      </c>
      <c r="F7" s="952" t="s">
        <v>605</v>
      </c>
      <c r="G7" s="953" t="n">
        <f aca="false">Weather_Input!G5</f>
        <v>6560</v>
      </c>
      <c r="H7" s="954" t="s">
        <v>605</v>
      </c>
      <c r="I7" s="957" t="n">
        <f aca="true">G7-(VLOOKUP(B5,DD_Normal_Data,CELL("Col",D4),FALSE()))</f>
        <v>205</v>
      </c>
      <c r="J7" s="957"/>
    </row>
    <row r="8" customFormat="false" ht="15" hidden="false" customHeight="false" outlineLevel="0" collapsed="false">
      <c r="A8" s="943"/>
      <c r="B8" s="945"/>
      <c r="C8" s="13"/>
      <c r="D8" s="958" t="str">
        <f aca="false">IF(Weather_Input!I5=""," ",Weather_Input!I5)</f>
        <v>  CLOUDY MOST OF THE TIME WITH NOTHING MORE THAN A COUPLE OF SHOWERS.</v>
      </c>
      <c r="E8" s="959"/>
      <c r="F8" s="951"/>
      <c r="G8" s="953"/>
      <c r="H8" s="954"/>
      <c r="I8" s="955"/>
    </row>
    <row r="9" customFormat="false" ht="15" hidden="false" customHeight="false" outlineLevel="0" collapsed="false">
      <c r="A9" s="943"/>
      <c r="B9" s="949"/>
      <c r="C9" s="13"/>
      <c r="D9" s="958" t="str">
        <f aca="false">IF(Weather_Input!J5=""," ",Weather_Input!J5)</f>
        <v> </v>
      </c>
      <c r="E9" s="960"/>
      <c r="F9" s="953"/>
      <c r="G9" s="953"/>
      <c r="H9" s="954"/>
      <c r="I9" s="955"/>
    </row>
    <row r="10" customFormat="false" ht="15" hidden="false" customHeight="false" outlineLevel="0" collapsed="false">
      <c r="A10" s="943" t="str">
        <f aca="false">CHOOSE(WEEKDAY(B10),"Sunday","Monday","Tuesday","Wednesday","Thursday","Friday","Saturday")</f>
        <v>Sunday</v>
      </c>
      <c r="B10" s="949" t="n">
        <f aca="false">Weather_Input!A6</f>
        <v>37038</v>
      </c>
      <c r="C10" s="13"/>
      <c r="D10" s="950" t="s">
        <v>599</v>
      </c>
      <c r="E10" s="951" t="n">
        <f aca="false">Weather_Input!B6</f>
        <v>65</v>
      </c>
      <c r="F10" s="952" t="s">
        <v>600</v>
      </c>
      <c r="G10" s="953" t="n">
        <f aca="false">IF(E12&lt;65,65-(Weather_Input!B6+Weather_Input!C6)/2,0)</f>
        <v>8.5</v>
      </c>
      <c r="H10" s="954" t="s">
        <v>601</v>
      </c>
      <c r="I10" s="955" t="n">
        <f aca="true">G10-(VLOOKUP(B10,DD_Normal_Data,CELL("Col",B11),FALSE()))</f>
        <v>3.5</v>
      </c>
    </row>
    <row r="11" customFormat="false" ht="15" hidden="false" customHeight="false" outlineLevel="0" collapsed="false">
      <c r="A11" s="943"/>
      <c r="B11" s="949"/>
      <c r="C11" s="13"/>
      <c r="D11" s="950" t="s">
        <v>282</v>
      </c>
      <c r="E11" s="951" t="n">
        <f aca="false">Weather_Input!C6</f>
        <v>48</v>
      </c>
      <c r="F11" s="952" t="s">
        <v>602</v>
      </c>
      <c r="G11" s="953" t="n">
        <f aca="false">IF(DAY(B10)=1,G10,G6+G10)</f>
        <v>161.5</v>
      </c>
      <c r="H11" s="954" t="s">
        <v>603</v>
      </c>
      <c r="I11" s="955" t="n">
        <f aca="true">G11-(VLOOKUP(B10,DD_Normal_Data,CELL("Col",C12),FALSE()))</f>
        <v>-47.5</v>
      </c>
      <c r="DE11" s="27" t="s">
        <v>606</v>
      </c>
    </row>
    <row r="12" customFormat="false" ht="15" hidden="false" customHeight="false" outlineLevel="0" collapsed="false">
      <c r="A12" s="943"/>
      <c r="B12" s="945"/>
      <c r="C12" s="13"/>
      <c r="D12" s="950" t="s">
        <v>604</v>
      </c>
      <c r="E12" s="951" t="n">
        <f aca="false">(Weather_Input!C6+Weather_Input!B6)/2</f>
        <v>56.5</v>
      </c>
      <c r="F12" s="952" t="s">
        <v>605</v>
      </c>
      <c r="G12" s="953" t="n">
        <f aca="false">IF(AND(DAY(B10)=1,MONTH(B10)=8),G10,G7+G10)</f>
        <v>6568.5</v>
      </c>
      <c r="H12" s="954" t="s">
        <v>605</v>
      </c>
      <c r="I12" s="955" t="n">
        <f aca="true">G12-(VLOOKUP(B10,DD_Normal_Data,CELL("Col",D9),FALSE()))</f>
        <v>208.5</v>
      </c>
    </row>
    <row r="13" customFormat="false" ht="15" hidden="false" customHeight="false" outlineLevel="0" collapsed="false">
      <c r="A13" s="943"/>
      <c r="B13" s="949"/>
      <c r="C13" s="13"/>
      <c r="D13" s="958" t="str">
        <f aca="false">IF(Weather_Input!I6=""," ",Weather_Input!I6)</f>
        <v>  IT MAY SHOWER WITH PERIODS OF CLOUDS AND SUNSHINE.</v>
      </c>
      <c r="E13" s="951"/>
      <c r="F13" s="951"/>
      <c r="G13" s="953"/>
      <c r="H13" s="954"/>
      <c r="I13" s="955"/>
    </row>
    <row r="14" customFormat="false" ht="15" hidden="false" customHeight="false" outlineLevel="0" collapsed="false">
      <c r="A14" s="943"/>
      <c r="B14" s="949"/>
      <c r="C14" s="13"/>
      <c r="D14" s="958" t="str">
        <f aca="false">IF(Weather_Input!J6=""," ",Weather_Input!J6)</f>
        <v> </v>
      </c>
      <c r="E14" s="951"/>
      <c r="F14" s="953"/>
      <c r="G14" s="953"/>
      <c r="H14" s="954"/>
      <c r="I14" s="955"/>
    </row>
    <row r="15" customFormat="false" ht="15" hidden="false" customHeight="false" outlineLevel="0" collapsed="false">
      <c r="A15" s="943" t="str">
        <f aca="false">CHOOSE(WEEKDAY(B15),"Sunday","Monday","Tuesday","Wednesday","Thursday","Friday","Saturday")</f>
        <v>Monday</v>
      </c>
      <c r="B15" s="949" t="n">
        <f aca="false">Weather_Input!A7</f>
        <v>37039</v>
      </c>
      <c r="C15" s="13"/>
      <c r="D15" s="950" t="s">
        <v>599</v>
      </c>
      <c r="E15" s="951" t="n">
        <f aca="false">Weather_Input!B7</f>
        <v>69</v>
      </c>
      <c r="F15" s="952" t="s">
        <v>600</v>
      </c>
      <c r="G15" s="953" t="n">
        <f aca="false">IF(E17&lt;65,65-(Weather_Input!B7+Weather_Input!C7)/2,0)</f>
        <v>4.5</v>
      </c>
      <c r="H15" s="954" t="s">
        <v>601</v>
      </c>
      <c r="I15" s="955" t="n">
        <f aca="true">G15-(VLOOKUP(B15,DD_Normal_Data,CELL("Col",B16),FALSE()))</f>
        <v>0.5</v>
      </c>
    </row>
    <row r="16" customFormat="false" ht="15" hidden="false" customHeight="false" outlineLevel="0" collapsed="false">
      <c r="A16" s="943"/>
      <c r="B16" s="945"/>
      <c r="C16" s="13"/>
      <c r="D16" s="950" t="s">
        <v>282</v>
      </c>
      <c r="E16" s="951" t="n">
        <f aca="false">Weather_Input!C7</f>
        <v>52</v>
      </c>
      <c r="F16" s="952" t="s">
        <v>602</v>
      </c>
      <c r="G16" s="953" t="n">
        <f aca="false">IF(DAY(B15)=1,G15,G11+G15)</f>
        <v>166</v>
      </c>
      <c r="H16" s="954" t="s">
        <v>603</v>
      </c>
      <c r="I16" s="955" t="n">
        <f aca="true">G16-(VLOOKUP(B15,DD_Normal_Data,CELL("Col",C17),FALSE()))</f>
        <v>-47</v>
      </c>
      <c r="DE16" s="27" t="s">
        <v>30</v>
      </c>
    </row>
    <row r="17" customFormat="false" ht="15" hidden="false" customHeight="false" outlineLevel="0" collapsed="false">
      <c r="A17" s="943"/>
      <c r="B17" s="949"/>
      <c r="C17" s="13"/>
      <c r="D17" s="950" t="s">
        <v>604</v>
      </c>
      <c r="E17" s="951" t="n">
        <f aca="false">(Weather_Input!C7+Weather_Input!B7)/2</f>
        <v>60.5</v>
      </c>
      <c r="F17" s="952" t="s">
        <v>605</v>
      </c>
      <c r="G17" s="953" t="n">
        <f aca="false">IF(AND(DAY(B15)=1,MONTH(B15)=8),G15,G12+G15)</f>
        <v>6573</v>
      </c>
      <c r="H17" s="954" t="s">
        <v>605</v>
      </c>
      <c r="I17" s="955" t="n">
        <f aca="true">G17-(VLOOKUP(B15,DD_Normal_Data,CELL("Col",D14),FALSE()))</f>
        <v>209</v>
      </c>
    </row>
    <row r="18" customFormat="false" ht="15" hidden="false" customHeight="false" outlineLevel="0" collapsed="false">
      <c r="A18" s="943"/>
      <c r="B18" s="945"/>
      <c r="C18" s="13"/>
      <c r="D18" s="958" t="str">
        <f aca="false">IF(Weather_Input!I7=""," ",Weather_Input!I7)</f>
        <v>  SUNSHINE AND SOME CLOUDS.</v>
      </c>
      <c r="E18" s="951"/>
      <c r="F18" s="951"/>
      <c r="G18" s="953"/>
      <c r="H18" s="954"/>
      <c r="I18" s="955"/>
    </row>
    <row r="19" customFormat="false" ht="15" hidden="false" customHeight="false" outlineLevel="0" collapsed="false">
      <c r="A19" s="943"/>
      <c r="B19" s="949"/>
      <c r="C19" s="13"/>
      <c r="D19" s="958" t="str">
        <f aca="false">IF(Weather_Input!J7=""," ",Weather_Input!J7)</f>
        <v> </v>
      </c>
      <c r="E19" s="951"/>
      <c r="F19" s="951"/>
      <c r="G19" s="953"/>
      <c r="H19" s="954"/>
      <c r="I19" s="955"/>
    </row>
    <row r="20" customFormat="false" ht="15" hidden="false" customHeight="false" outlineLevel="0" collapsed="false">
      <c r="A20" s="943" t="str">
        <f aca="false">CHOOSE(WEEKDAY(B20),"Sunday","Monday","Tuesday","Wednesday","Thursday","Friday","Saturday")</f>
        <v>Tuesday</v>
      </c>
      <c r="B20" s="949" t="n">
        <f aca="false">Weather_Input!A8</f>
        <v>37040</v>
      </c>
      <c r="C20" s="13"/>
      <c r="D20" s="950" t="s">
        <v>599</v>
      </c>
      <c r="E20" s="951" t="n">
        <f aca="false">Weather_Input!B8</f>
        <v>69</v>
      </c>
      <c r="F20" s="952" t="s">
        <v>600</v>
      </c>
      <c r="G20" s="953" t="n">
        <f aca="false">IF(E22&lt;65,65-(Weather_Input!B8+Weather_Input!C8)/2,0)</f>
        <v>4</v>
      </c>
      <c r="H20" s="954" t="s">
        <v>601</v>
      </c>
      <c r="I20" s="955" t="n">
        <f aca="true">G20-(VLOOKUP(B20,DD_Normal_Data,CELL("Col",B21),FALSE()))</f>
        <v>0</v>
      </c>
    </row>
    <row r="21" customFormat="false" ht="15" hidden="false" customHeight="false" outlineLevel="0" collapsed="false">
      <c r="A21" s="943"/>
      <c r="B21" s="949"/>
      <c r="C21" s="13"/>
      <c r="D21" s="950" t="s">
        <v>282</v>
      </c>
      <c r="E21" s="951" t="n">
        <f aca="false">Weather_Input!C8</f>
        <v>53</v>
      </c>
      <c r="F21" s="952" t="s">
        <v>602</v>
      </c>
      <c r="G21" s="953" t="n">
        <f aca="false">IF(DAY(B20)=1,G20,G16+G20)</f>
        <v>170</v>
      </c>
      <c r="H21" s="954" t="s">
        <v>603</v>
      </c>
      <c r="I21" s="955" t="n">
        <f aca="true">G21-(VLOOKUP(B20,DD_Normal_Data,CELL("Col",C22),FALSE()))</f>
        <v>-47</v>
      </c>
      <c r="DE21" s="27" t="s">
        <v>607</v>
      </c>
    </row>
    <row r="22" customFormat="false" ht="15" hidden="false" customHeight="false" outlineLevel="0" collapsed="false">
      <c r="A22" s="943"/>
      <c r="B22" s="949"/>
      <c r="C22" s="13"/>
      <c r="D22" s="950" t="s">
        <v>604</v>
      </c>
      <c r="E22" s="951" t="n">
        <f aca="false">(Weather_Input!C8+Weather_Input!B8)/2</f>
        <v>61</v>
      </c>
      <c r="F22" s="952" t="s">
        <v>605</v>
      </c>
      <c r="G22" s="953" t="n">
        <f aca="false">IF(AND(DAY(B20)=1,MONTH(B20)=8),G20,G17+G20)</f>
        <v>6577</v>
      </c>
      <c r="H22" s="954" t="s">
        <v>605</v>
      </c>
      <c r="I22" s="955" t="n">
        <f aca="true">G22-(VLOOKUP(B20,DD_Normal_Data,CELL("Col",D19),FALSE()))</f>
        <v>209</v>
      </c>
    </row>
    <row r="23" customFormat="false" ht="15" hidden="false" customHeight="false" outlineLevel="0" collapsed="false">
      <c r="A23" s="943"/>
      <c r="B23" s="949"/>
      <c r="C23" s="13"/>
      <c r="D23" s="958" t="str">
        <f aca="false">IF(Weather_Input!I8=""," ",Weather_Input!I8)</f>
        <v>  A GOOD DEAL OF SUN.</v>
      </c>
      <c r="E23" s="953"/>
      <c r="F23" s="951"/>
      <c r="G23" s="953"/>
      <c r="H23" s="954"/>
      <c r="I23" s="955"/>
    </row>
    <row r="24" customFormat="false" ht="15" hidden="false" customHeight="false" outlineLevel="0" collapsed="false">
      <c r="A24" s="943"/>
      <c r="B24" s="945"/>
      <c r="C24" s="13"/>
      <c r="D24" s="958" t="str">
        <f aca="false">IF(Weather_Input!J8=""," ",Weather_Input!J8)</f>
        <v> </v>
      </c>
      <c r="E24" s="953"/>
      <c r="F24" s="951"/>
      <c r="G24" s="953"/>
      <c r="H24" s="954"/>
      <c r="I24" s="955"/>
    </row>
    <row r="25" customFormat="false" ht="15" hidden="false" customHeight="false" outlineLevel="0" collapsed="false">
      <c r="A25" s="943" t="str">
        <f aca="false">CHOOSE(WEEKDAY(B25),"Sunday","Monday","Tuesday","Wednesday","Thursday","Friday","Saturday")</f>
        <v>Wednesday</v>
      </c>
      <c r="B25" s="949" t="n">
        <f aca="false">Weather_Input!A9</f>
        <v>37041</v>
      </c>
      <c r="C25" s="13"/>
      <c r="D25" s="950" t="s">
        <v>599</v>
      </c>
      <c r="E25" s="951" t="n">
        <f aca="false">Weather_Input!B9</f>
        <v>70</v>
      </c>
      <c r="F25" s="952" t="s">
        <v>600</v>
      </c>
      <c r="G25" s="953" t="n">
        <f aca="false">IF(E27&lt;65,65-(Weather_Input!B9+Weather_Input!C9)/2,0)</f>
        <v>2.5</v>
      </c>
      <c r="H25" s="954" t="s">
        <v>601</v>
      </c>
      <c r="I25" s="955" t="n">
        <f aca="true">G25-(VLOOKUP(B25,DD_Normal_Data,CELL("Col",B26),FALSE()))</f>
        <v>-1.5</v>
      </c>
    </row>
    <row r="26" customFormat="false" ht="15" hidden="false" customHeight="false" outlineLevel="0" collapsed="false">
      <c r="A26" s="943"/>
      <c r="B26" s="949"/>
      <c r="C26" s="13"/>
      <c r="D26" s="950" t="s">
        <v>282</v>
      </c>
      <c r="E26" s="951" t="n">
        <f aca="false">Weather_Input!C9</f>
        <v>55</v>
      </c>
      <c r="F26" s="952" t="s">
        <v>602</v>
      </c>
      <c r="G26" s="953" t="n">
        <f aca="false">IF(DAY(B25)=1,G25,G21+G25)</f>
        <v>172.5</v>
      </c>
      <c r="H26" s="954" t="s">
        <v>603</v>
      </c>
      <c r="I26" s="955" t="n">
        <f aca="true">G26-(VLOOKUP(B25,DD_Normal_Data,CELL("Col",C27),FALSE()))</f>
        <v>-48.5</v>
      </c>
      <c r="DE26" s="27" t="s">
        <v>608</v>
      </c>
    </row>
    <row r="27" customFormat="false" ht="15" hidden="false" customHeight="false" outlineLevel="0" collapsed="false">
      <c r="A27" s="943"/>
      <c r="B27" s="945"/>
      <c r="C27" s="13"/>
      <c r="D27" s="950" t="s">
        <v>604</v>
      </c>
      <c r="E27" s="951" t="n">
        <f aca="false">(Weather_Input!C9+Weather_Input!B9)/2</f>
        <v>62.5</v>
      </c>
      <c r="F27" s="952" t="s">
        <v>605</v>
      </c>
      <c r="G27" s="953" t="n">
        <f aca="false">IF(AND(DAY(B25)=1,MONTH(B25)=8),G25,G22+G25)</f>
        <v>6579.5</v>
      </c>
      <c r="H27" s="954" t="s">
        <v>605</v>
      </c>
      <c r="I27" s="955" t="n">
        <f aca="true">G27-(VLOOKUP(B25,DD_Normal_Data,CELL("Col",D24),FALSE()))</f>
        <v>207.5</v>
      </c>
    </row>
    <row r="28" customFormat="false" ht="15" hidden="false" customHeight="false" outlineLevel="0" collapsed="false">
      <c r="A28" s="943"/>
      <c r="B28" s="945"/>
      <c r="C28" s="13"/>
      <c r="D28" s="958" t="str">
        <f aca="false">IF(Weather_Input!I9=""," ",Weather_Input!I9)</f>
        <v>  A GOOD DEAL OF SUN.</v>
      </c>
      <c r="E28" s="953"/>
      <c r="F28" s="951"/>
      <c r="G28" s="953"/>
      <c r="H28" s="954"/>
      <c r="I28" s="955"/>
    </row>
    <row r="29" customFormat="false" ht="15" hidden="false" customHeight="false" outlineLevel="0" collapsed="false">
      <c r="A29" s="943"/>
      <c r="B29" s="945"/>
      <c r="C29" s="13"/>
      <c r="D29" s="958" t="str">
        <f aca="false">IF(Weather_Input!J9=""," ",Weather_Input!J9)</f>
        <v> </v>
      </c>
      <c r="E29" s="953"/>
      <c r="F29" s="953"/>
      <c r="G29" s="953"/>
      <c r="H29" s="954"/>
      <c r="I29" s="955"/>
    </row>
    <row r="30" customFormat="false" ht="15" hidden="false" customHeight="false" outlineLevel="0" collapsed="false">
      <c r="A30" s="943" t="str">
        <f aca="false">CHOOSE(WEEKDAY(B30),"Sunday","Monday","Tuesday","Wednesday","Thursday","Friday","Saturday")</f>
        <v>Thursday</v>
      </c>
      <c r="B30" s="949" t="n">
        <f aca="false">Weather_Input!A10</f>
        <v>37042</v>
      </c>
      <c r="C30" s="13"/>
      <c r="D30" s="950" t="s">
        <v>599</v>
      </c>
      <c r="E30" s="951" t="n">
        <f aca="false">Weather_Input!B10</f>
        <v>70</v>
      </c>
      <c r="F30" s="952" t="s">
        <v>600</v>
      </c>
      <c r="G30" s="953" t="n">
        <f aca="false">IF(E32&lt;65,65-(Weather_Input!B10+Weather_Input!C10)/2,0)</f>
        <v>2.5</v>
      </c>
      <c r="H30" s="954" t="s">
        <v>601</v>
      </c>
      <c r="I30" s="955" t="n">
        <f aca="true">G30-(VLOOKUP(B30,DD_Normal_Data,CELL("Col",B31),FALSE()))</f>
        <v>-1.5</v>
      </c>
    </row>
    <row r="31" customFormat="false" ht="15" hidden="false" customHeight="false" outlineLevel="0" collapsed="false">
      <c r="A31" s="13"/>
      <c r="B31" s="13"/>
      <c r="C31" s="13"/>
      <c r="D31" s="950" t="s">
        <v>282</v>
      </c>
      <c r="E31" s="951" t="n">
        <f aca="false">Weather_Input!C10</f>
        <v>55</v>
      </c>
      <c r="F31" s="952" t="s">
        <v>602</v>
      </c>
      <c r="G31" s="953" t="n">
        <f aca="false">IF(DAY(B30)=1,G30,G26+G30)</f>
        <v>175</v>
      </c>
      <c r="H31" s="954" t="s">
        <v>603</v>
      </c>
      <c r="I31" s="955" t="n">
        <f aca="true">G31-(VLOOKUP(B30,DD_Normal_Data,CELL("Col",C32),FALSE()))</f>
        <v>-50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950" t="s">
        <v>604</v>
      </c>
      <c r="E32" s="951" t="n">
        <f aca="false">(Weather_Input!C10+Weather_Input!B10)/2</f>
        <v>62.5</v>
      </c>
      <c r="F32" s="952" t="s">
        <v>605</v>
      </c>
      <c r="G32" s="953" t="n">
        <f aca="false">IF(AND(DAY(B30)=1,MONTH(B30)=8),G30,G27+G30)</f>
        <v>6582</v>
      </c>
      <c r="H32" s="954" t="s">
        <v>605</v>
      </c>
      <c r="I32" s="955" t="n">
        <f aca="true">G32-(VLOOKUP(B30,DD_Normal_Data,CELL("Col",D29),FALSE()))</f>
        <v>206</v>
      </c>
    </row>
    <row r="33" customFormat="false" ht="15" hidden="false" customHeight="false" outlineLevel="0" collapsed="false">
      <c r="A33" s="13"/>
      <c r="B33" s="961"/>
      <c r="C33" s="13"/>
      <c r="D33" s="958" t="str">
        <f aca="false">IF(Weather_Input!I10=""," ",Weather_Input!I10)</f>
        <v>  A GOOD DEAL OF SUN.</v>
      </c>
      <c r="E33" s="13"/>
      <c r="F33" s="962"/>
      <c r="G33" s="13"/>
      <c r="H33" s="942"/>
      <c r="I33" s="13"/>
    </row>
    <row r="34" customFormat="false" ht="15.75" hidden="false" customHeight="false" outlineLevel="0" collapsed="false">
      <c r="A34" s="963"/>
      <c r="B34" s="964"/>
      <c r="C34" s="963"/>
      <c r="D34" s="965" t="str">
        <f aca="false">IF(Weather_Input!J10=""," ",Weather_Input!J10)</f>
        <v> </v>
      </c>
      <c r="E34" s="963"/>
      <c r="F34" s="966"/>
      <c r="G34" s="963"/>
      <c r="H34" s="967"/>
      <c r="I34" s="964"/>
    </row>
    <row r="35" customFormat="false" ht="15" hidden="false" customHeight="false" outlineLevel="0" collapsed="false">
      <c r="A35" s="944" t="s">
        <v>609</v>
      </c>
      <c r="B35" s="943" t="s">
        <v>253</v>
      </c>
      <c r="C35" s="13"/>
      <c r="D35" s="13"/>
      <c r="E35" s="13"/>
      <c r="F35" s="16"/>
      <c r="G35" s="968"/>
      <c r="H35" s="968"/>
      <c r="I35" s="13"/>
    </row>
    <row r="36" customFormat="false" ht="15" hidden="false" customHeight="false" outlineLevel="0" collapsed="false">
      <c r="A36" s="969" t="s">
        <v>61</v>
      </c>
      <c r="B36" s="970" t="n">
        <f aca="false">B5</f>
        <v>37037</v>
      </c>
      <c r="C36" s="970" t="n">
        <f aca="false">B10</f>
        <v>37038</v>
      </c>
      <c r="D36" s="970" t="n">
        <f aca="false">B15</f>
        <v>37039</v>
      </c>
      <c r="E36" s="970" t="n">
        <f aca="false">B20</f>
        <v>37040</v>
      </c>
      <c r="F36" s="970" t="n">
        <f aca="false">B25</f>
        <v>37041</v>
      </c>
      <c r="G36" s="970" t="n">
        <f aca="false">B30</f>
        <v>37042</v>
      </c>
      <c r="H36" s="27"/>
      <c r="I36" s="13"/>
    </row>
    <row r="37" customFormat="false" ht="15" hidden="false" customHeight="false" outlineLevel="0" collapsed="false">
      <c r="A37" s="13" t="s">
        <v>68</v>
      </c>
      <c r="B37" s="971" t="n">
        <f aca="true">(VLOOKUP(B36,PGL_Sendouts,(CELL("COL",PGL_Deliveries!C6))))/1000</f>
        <v>320</v>
      </c>
      <c r="C37" s="971" t="n">
        <f aca="true">(VLOOKUP(C36,PGL_Sendouts,(CELL("COL",PGL_Deliveries!C7))))/1000</f>
        <v>270</v>
      </c>
      <c r="D37" s="971" t="n">
        <f aca="true">(VLOOKUP(D36,PGL_Sendouts,(CELL("COL",PGL_Deliveries!C8))))/1000</f>
        <v>250</v>
      </c>
      <c r="E37" s="971" t="n">
        <f aca="true">(VLOOKUP(E36,PGL_Sendouts,(CELL("COL",PGL_Deliveries!C9))))/1000</f>
        <v>240</v>
      </c>
      <c r="F37" s="971" t="n">
        <f aca="true">(VLOOKUP(F36,PGL_Sendouts,(CELL("COL",PGL_Deliveries!C10))))/1000</f>
        <v>230</v>
      </c>
      <c r="G37" s="971" t="n">
        <f aca="true">(VLOOKUP(G36,PGL_Sendouts,(CELL("COL",PGL_Deliveries!C10))))/1000</f>
        <v>230</v>
      </c>
      <c r="H37" s="27"/>
      <c r="I37" s="13"/>
    </row>
    <row r="38" customFormat="false" ht="15" hidden="false" customHeight="false" outlineLevel="0" collapsed="false">
      <c r="A38" s="13" t="s">
        <v>610</v>
      </c>
      <c r="B38" s="971" t="n">
        <f aca="false">PGL_6_Day_Report!D30</f>
        <v>519.83</v>
      </c>
      <c r="C38" s="971" t="n">
        <f aca="false">PGL_6_Day_Report!E30</f>
        <v>467.13</v>
      </c>
      <c r="D38" s="971" t="n">
        <f aca="false">PGL_6_Day_Report!F30</f>
        <v>447.13</v>
      </c>
      <c r="E38" s="971" t="n">
        <f aca="false">PGL_6_Day_Report!G30</f>
        <v>433.13</v>
      </c>
      <c r="F38" s="971" t="n">
        <f aca="false">PGL_6_Day_Report!H30</f>
        <v>423.13</v>
      </c>
      <c r="G38" s="971" t="n">
        <f aca="false">PGL_6_Day_Report!I30</f>
        <v>423.13</v>
      </c>
      <c r="H38" s="27"/>
      <c r="I38" s="13"/>
    </row>
    <row r="39" customFormat="false" ht="15" hidden="false" customHeight="false" outlineLevel="0" collapsed="false">
      <c r="A39" s="972" t="s">
        <v>162</v>
      </c>
      <c r="B39" s="971" t="n">
        <f aca="false">SUM(PGL_Supplies!Z7:AE7)/1000</f>
        <v>287.405</v>
      </c>
      <c r="C39" s="971" t="n">
        <f aca="false">SUM(PGL_Supplies!Z8:AE8)/1000</f>
        <v>287.405</v>
      </c>
      <c r="D39" s="971" t="n">
        <f aca="false">SUM(PGL_Supplies!Z9:AE9)/1000</f>
        <v>287.405</v>
      </c>
      <c r="E39" s="971" t="n">
        <f aca="false">SUM(PGL_Supplies!Z10:AE10)/1000</f>
        <v>287.405</v>
      </c>
      <c r="F39" s="971" t="n">
        <f aca="false">SUM(PGL_Supplies!Z11:AE11)/1000</f>
        <v>287.405</v>
      </c>
      <c r="G39" s="971" t="n">
        <f aca="false">SUM(PGL_Supplies!Z12:AE12)/1000</f>
        <v>287.405</v>
      </c>
      <c r="H39" s="27"/>
      <c r="I39" s="13"/>
    </row>
    <row r="40" customFormat="false" ht="15" hidden="false" customHeight="false" outlineLevel="0" collapsed="false">
      <c r="A40" s="972" t="s">
        <v>611</v>
      </c>
      <c r="B40" s="971" t="n">
        <f aca="false">(PGL_Supplies!N7+PGL_Supplies!O7+PGL_Supplies!P7+PGL_Supplies!R7+PGL_Supplies!S7)/1000</f>
        <v>0</v>
      </c>
      <c r="C40" s="971" t="n">
        <f aca="false">(PGL_Supplies!N8+PGL_Supplies!O8+PGL_Supplies!P8+PGL_Supplies!R8+PGL_Supplies!S8)/1000</f>
        <v>0</v>
      </c>
      <c r="D40" s="971" t="n">
        <f aca="false">(PGL_Supplies!N9+PGL_Supplies!O9+PGL_Supplies!P9+PGL_Supplies!R9+PGL_Supplies!S9)/1000</f>
        <v>0</v>
      </c>
      <c r="E40" s="971" t="n">
        <f aca="false">(PGL_Supplies!N10+PGL_Supplies!O10+PGL_Supplies!P10+PGL_Supplies!R10+PGL_Supplies!S10)/1000</f>
        <v>0</v>
      </c>
      <c r="F40" s="971" t="n">
        <f aca="false">(PGL_Supplies!N11+PGL_Supplies!O11+PGL_Supplies!P11+PGL_Supplies!R11+PGL_Supplies!S11)/1000</f>
        <v>0</v>
      </c>
      <c r="G40" s="97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72" t="s">
        <v>612</v>
      </c>
      <c r="B41" s="971" t="n">
        <f aca="false">SUM(PGL_Requirements!R7:U7)/1000</f>
        <v>40.88</v>
      </c>
      <c r="C41" s="971" t="n">
        <f aca="false">SUM(PGL_Requirements!R7:U7)/1000</f>
        <v>40.88</v>
      </c>
      <c r="D41" s="971" t="n">
        <f aca="false">SUM(PGL_Requirements!R7:U7)/1000</f>
        <v>40.88</v>
      </c>
      <c r="E41" s="971" t="n">
        <f aca="false">SUM(PGL_Requirements!R7:U7)/1000</f>
        <v>40.88</v>
      </c>
      <c r="F41" s="971" t="n">
        <f aca="false">SUM(PGL_Requirements!R7:U7)/1000</f>
        <v>40.88</v>
      </c>
      <c r="G41" s="971" t="n">
        <f aca="false">SUM(PGL_Requirements!R7:U7)/1000</f>
        <v>40.88</v>
      </c>
      <c r="H41" s="27"/>
      <c r="I41" s="13"/>
    </row>
    <row r="42" customFormat="false" ht="15" hidden="false" customHeight="false" outlineLevel="0" collapsed="false">
      <c r="A42" s="13" t="s">
        <v>613</v>
      </c>
      <c r="B42" s="971" t="n">
        <f aca="false">PGL_Supplies!V7/1000</f>
        <v>163.957</v>
      </c>
      <c r="C42" s="971" t="n">
        <f aca="false">PGL_Supplies!V8/1000</f>
        <v>163.957</v>
      </c>
      <c r="D42" s="971" t="n">
        <f aca="false">PGL_Supplies!V9/1000</f>
        <v>163.957</v>
      </c>
      <c r="E42" s="971" t="n">
        <f aca="false">PGL_Supplies!V10/1000</f>
        <v>163.957</v>
      </c>
      <c r="F42" s="971" t="n">
        <f aca="false">PGL_Supplies!V11/1000</f>
        <v>163.957</v>
      </c>
      <c r="G42" s="971" t="n">
        <f aca="false">PGL_Supplies!V12/1000</f>
        <v>163.957</v>
      </c>
      <c r="H42" s="27"/>
      <c r="I42" s="13"/>
    </row>
    <row r="43" customFormat="false" ht="15" hidden="false" customHeight="false" outlineLevel="0" collapsed="false">
      <c r="B43" s="973"/>
      <c r="C43" s="973"/>
      <c r="D43" s="973"/>
      <c r="E43" s="974"/>
      <c r="F43" s="973"/>
      <c r="G43" s="973"/>
      <c r="H43" s="27"/>
      <c r="I43" s="13"/>
    </row>
    <row r="44" customFormat="false" ht="15" hidden="false" customHeight="false" outlineLevel="0" collapsed="false">
      <c r="A44" s="969" t="s">
        <v>122</v>
      </c>
      <c r="B44" s="970" t="n">
        <f aca="false">B36</f>
        <v>37037</v>
      </c>
      <c r="C44" s="970" t="n">
        <f aca="false">C36</f>
        <v>37038</v>
      </c>
      <c r="D44" s="970" t="n">
        <f aca="false">D36</f>
        <v>37039</v>
      </c>
      <c r="E44" s="970" t="n">
        <f aca="false">E36</f>
        <v>37040</v>
      </c>
      <c r="F44" s="970" t="n">
        <f aca="false">F36</f>
        <v>37041</v>
      </c>
      <c r="G44" s="970" t="n">
        <f aca="false">G36</f>
        <v>37042</v>
      </c>
      <c r="H44" s="27"/>
      <c r="I44" s="13"/>
    </row>
    <row r="45" customFormat="false" ht="15" hidden="false" customHeight="false" outlineLevel="0" collapsed="false">
      <c r="A45" s="13" t="s">
        <v>68</v>
      </c>
      <c r="B45" s="971" t="n">
        <f aca="false">NSG_6_Day_Report!D6</f>
        <v>60</v>
      </c>
      <c r="C45" s="971" t="n">
        <f aca="false">NSG_6_Day_Report!E6</f>
        <v>50</v>
      </c>
      <c r="D45" s="971" t="n">
        <f aca="false">NSG_6_Day_Report!F6</f>
        <v>46</v>
      </c>
      <c r="E45" s="971" t="n">
        <f aca="false">NSG_6_Day_Report!G6</f>
        <v>45</v>
      </c>
      <c r="F45" s="971" t="n">
        <f aca="false">NSG_6_Day_Report!H6</f>
        <v>43</v>
      </c>
      <c r="G45" s="971" t="n">
        <f aca="false">NSG_6_Day_Report!I6</f>
        <v>43</v>
      </c>
      <c r="H45" s="27"/>
      <c r="I45" s="13"/>
    </row>
    <row r="46" customFormat="false" ht="15" hidden="false" customHeight="false" outlineLevel="0" collapsed="false">
      <c r="A46" s="972" t="s">
        <v>610</v>
      </c>
      <c r="B46" s="971" t="n">
        <f aca="false">NSG_6_Day_Report!D19</f>
        <v>60</v>
      </c>
      <c r="C46" s="971" t="n">
        <f aca="false">NSG_6_Day_Report!E19</f>
        <v>51.25</v>
      </c>
      <c r="D46" s="971" t="n">
        <f aca="false">NSG_6_Day_Report!F19</f>
        <v>47.25</v>
      </c>
      <c r="E46" s="971" t="n">
        <f aca="false">NSG_6_Day_Report!G19</f>
        <v>46.25</v>
      </c>
      <c r="F46" s="971" t="n">
        <f aca="false">NSG_6_Day_Report!H19</f>
        <v>44.25</v>
      </c>
      <c r="G46" s="971" t="n">
        <f aca="false">NSG_6_Day_Report!I19</f>
        <v>44.25</v>
      </c>
      <c r="H46" s="27"/>
      <c r="I46" s="13"/>
    </row>
    <row r="47" customFormat="false" ht="15" hidden="false" customHeight="false" outlineLevel="0" collapsed="false">
      <c r="A47" s="972" t="s">
        <v>162</v>
      </c>
      <c r="B47" s="971" t="n">
        <f aca="false">SUM(NSG_Supplies!P7:R7)/1000</f>
        <v>49.943</v>
      </c>
      <c r="C47" s="971" t="n">
        <f aca="false">SUM(NSG_Supplies!P8:R8)/1000</f>
        <v>49.943</v>
      </c>
      <c r="D47" s="971" t="n">
        <f aca="false">SUM(NSG_Supplies!P9:R9)/1000</f>
        <v>49.943</v>
      </c>
      <c r="E47" s="971" t="n">
        <f aca="false">SUM(NSG_Supplies!P10:R10)/1000</f>
        <v>49.943</v>
      </c>
      <c r="F47" s="971" t="n">
        <f aca="false">SUM(NSG_Supplies!P11:R11)/1000</f>
        <v>49.943</v>
      </c>
      <c r="G47" s="971" t="n">
        <f aca="false">SUM(NSG_Supplies!P12:R12)/1000</f>
        <v>49.943</v>
      </c>
      <c r="H47" s="27"/>
      <c r="I47" s="13"/>
    </row>
    <row r="48" customFormat="false" ht="15" hidden="false" customHeight="false" outlineLevel="0" collapsed="false">
      <c r="A48" s="972" t="s">
        <v>611</v>
      </c>
      <c r="B48" s="971" t="n">
        <f aca="false">SUM(NSG_Supplies!I7:M7)/1000</f>
        <v>0</v>
      </c>
      <c r="C48" s="971" t="n">
        <f aca="false">SUM(NSG_Supplies!I8:M8)/1000</f>
        <v>0</v>
      </c>
      <c r="D48" s="971" t="n">
        <f aca="false">SUM(NSG_Supplies!I9:M9)/1000</f>
        <v>0</v>
      </c>
      <c r="E48" s="971" t="n">
        <f aca="false">SUM(NSG_Supplies!I10:M10)/1000</f>
        <v>0</v>
      </c>
      <c r="F48" s="971" t="n">
        <f aca="false">SUM(NSG_Supplies!I11:M11)/1000</f>
        <v>0</v>
      </c>
      <c r="G48" s="97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72" t="s">
        <v>612</v>
      </c>
      <c r="B49" s="971" t="n">
        <f aca="false">SUM(NSG_Requirements!L7:R7)/1000</f>
        <v>0</v>
      </c>
      <c r="C49" s="971" t="n">
        <f aca="false">SUM(NSG_Requirements!L8:R8)/1000</f>
        <v>0</v>
      </c>
      <c r="D49" s="971" t="n">
        <f aca="false">SUM(NSG_Requirements!L9:R9)/1000</f>
        <v>0</v>
      </c>
      <c r="E49" s="971" t="n">
        <f aca="false">SUM(NSG_Requirements!L10:R10)/1000</f>
        <v>0</v>
      </c>
      <c r="F49" s="971" t="n">
        <f aca="false">SUM(NSG_Requirements!L11:R11)/1000</f>
        <v>0</v>
      </c>
      <c r="G49" s="97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613</v>
      </c>
      <c r="B50" s="971" t="n">
        <f aca="false">NSG_Supplies!S7/1000</f>
        <v>18.998</v>
      </c>
      <c r="C50" s="971" t="n">
        <f aca="false">NSG_Supplies!S8/1000</f>
        <v>18.998</v>
      </c>
      <c r="D50" s="971" t="n">
        <f aca="false">NSG_Supplies!S9/1000</f>
        <v>18.998</v>
      </c>
      <c r="E50" s="971" t="n">
        <f aca="false">NSG_Supplies!S10/1000</f>
        <v>18.998</v>
      </c>
      <c r="F50" s="971" t="n">
        <f aca="false">NSG_Supplies!S11/1000</f>
        <v>18.998</v>
      </c>
      <c r="G50" s="971" t="n">
        <f aca="false">NSG_Supplies!S12/1000</f>
        <v>18.998</v>
      </c>
      <c r="H50" s="27"/>
      <c r="I50" s="13"/>
    </row>
    <row r="51" customFormat="false" ht="15" hidden="false" customHeight="false" outlineLevel="0" collapsed="false">
      <c r="B51" s="973"/>
      <c r="C51" s="973"/>
      <c r="D51" s="973"/>
      <c r="E51" s="974"/>
      <c r="F51" s="973"/>
      <c r="G51" s="973"/>
      <c r="H51" s="27"/>
      <c r="I51" s="13"/>
    </row>
    <row r="52" customFormat="false" ht="15" hidden="false" customHeight="false" outlineLevel="0" collapsed="false">
      <c r="A52" s="969" t="s">
        <v>614</v>
      </c>
      <c r="B52" s="970" t="n">
        <f aca="false">B36</f>
        <v>37037</v>
      </c>
      <c r="C52" s="970" t="n">
        <f aca="false">C36</f>
        <v>37038</v>
      </c>
      <c r="D52" s="970" t="n">
        <f aca="false">D36</f>
        <v>37039</v>
      </c>
      <c r="E52" s="970" t="n">
        <f aca="false">E36</f>
        <v>37040</v>
      </c>
      <c r="F52" s="970" t="n">
        <f aca="false">F36</f>
        <v>37041</v>
      </c>
      <c r="G52" s="970" t="n">
        <f aca="false">G36</f>
        <v>37042</v>
      </c>
      <c r="H52" s="27"/>
      <c r="I52" s="13"/>
    </row>
    <row r="53" customFormat="false" ht="15" hidden="false" customHeight="false" outlineLevel="0" collapsed="false">
      <c r="A53" s="975" t="s">
        <v>615</v>
      </c>
      <c r="B53" s="971" t="n">
        <f aca="false">PGL_Requirements!P7/1000</f>
        <v>150</v>
      </c>
      <c r="C53" s="971" t="n">
        <f aca="false">PGL_Requirements!P8/1000</f>
        <v>150</v>
      </c>
      <c r="D53" s="971" t="n">
        <f aca="false">PGL_Requirements!P9/1000</f>
        <v>150</v>
      </c>
      <c r="E53" s="971" t="n">
        <f aca="false">PGL_Requirements!P10/1000</f>
        <v>150</v>
      </c>
      <c r="F53" s="971" t="n">
        <f aca="false">PGL_Requirements!P11/1000</f>
        <v>150</v>
      </c>
      <c r="G53" s="971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616</v>
      </c>
      <c r="B54" s="971" t="n">
        <f aca="false">PGL_Supplies!M7/1000</f>
        <v>0</v>
      </c>
      <c r="C54" s="971" t="n">
        <f aca="false">PGL_Supplies!M8/1000</f>
        <v>0</v>
      </c>
      <c r="D54" s="971" t="n">
        <f aca="false">PGL_Supplies!M9/1000</f>
        <v>0</v>
      </c>
      <c r="E54" s="971" t="n">
        <f aca="false">PGL_Supplies!M10/1000</f>
        <v>0</v>
      </c>
      <c r="F54" s="971" t="n">
        <f aca="false">PGL_Supplies!M11/1000</f>
        <v>0</v>
      </c>
      <c r="G54" s="97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76" t="s">
        <v>617</v>
      </c>
    </row>
    <row r="57" customFormat="false" ht="15.75" hidden="false" customHeight="false" outlineLevel="0" collapsed="false">
      <c r="A57" s="940" t="s">
        <v>618</v>
      </c>
    </row>
    <row r="58" customFormat="false" ht="15.75" hidden="false" customHeight="false" outlineLevel="0" collapsed="false">
      <c r="A58" s="940" t="s">
        <v>619</v>
      </c>
      <c r="G58" s="977"/>
    </row>
    <row r="59" customFormat="false" ht="15.75" hidden="false" customHeight="false" outlineLevel="0" collapsed="false">
      <c r="A59" s="940" t="s">
        <v>620</v>
      </c>
    </row>
    <row r="60" customFormat="false" ht="15.75" hidden="false" customHeight="false" outlineLevel="0" collapsed="false">
      <c r="A60" s="940" t="s">
        <v>621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78" t="s">
        <v>0</v>
      </c>
      <c r="B1" s="978"/>
      <c r="C1" s="979" t="s">
        <v>0</v>
      </c>
      <c r="D1" s="979"/>
      <c r="E1" s="979"/>
      <c r="F1" s="979"/>
    </row>
    <row r="2" customFormat="false" ht="15.75" hidden="false" customHeight="false" outlineLevel="0" collapsed="false">
      <c r="A2" s="0" t="s">
        <v>0</v>
      </c>
      <c r="C2" s="980"/>
      <c r="D2" s="980"/>
      <c r="E2" s="980"/>
      <c r="F2" s="981"/>
    </row>
    <row r="3" customFormat="false" ht="15.75" hidden="false" customHeight="false" outlineLevel="0" collapsed="false">
      <c r="A3" s="982" t="s">
        <v>622</v>
      </c>
    </row>
    <row r="4" customFormat="false" ht="15" hidden="false" customHeight="false" outlineLevel="0" collapsed="false">
      <c r="A4" s="983"/>
      <c r="B4" s="984" t="str">
        <f aca="false">Six_Day_Summary!A10</f>
        <v>Sunday</v>
      </c>
      <c r="C4" s="985" t="str">
        <f aca="false">Six_Day_Summary!A15</f>
        <v>Monday</v>
      </c>
      <c r="D4" s="985" t="str">
        <f aca="false">Six_Day_Summary!A20</f>
        <v>Tuesday</v>
      </c>
      <c r="E4" s="985" t="str">
        <f aca="false">Six_Day_Summary!A25</f>
        <v>Wednesday</v>
      </c>
      <c r="F4" s="986" t="str">
        <f aca="false">Six_Day_Summary!A30</f>
        <v>Thursday</v>
      </c>
      <c r="G4" s="987"/>
    </row>
    <row r="5" customFormat="false" ht="15" hidden="false" customHeight="false" outlineLevel="0" collapsed="false">
      <c r="A5" s="988" t="s">
        <v>623</v>
      </c>
      <c r="B5" s="989" t="n">
        <f aca="false">Weather_Input!A6</f>
        <v>37038</v>
      </c>
      <c r="C5" s="990" t="n">
        <f aca="false">Weather_Input!A7</f>
        <v>37039</v>
      </c>
      <c r="D5" s="990" t="n">
        <f aca="false">Weather_Input!A8</f>
        <v>37040</v>
      </c>
      <c r="E5" s="990" t="n">
        <f aca="false">Weather_Input!A9</f>
        <v>37041</v>
      </c>
      <c r="F5" s="991" t="n">
        <f aca="false">Weather_Input!A10</f>
        <v>37042</v>
      </c>
      <c r="G5" s="987"/>
    </row>
    <row r="6" customFormat="false" ht="15" hidden="false" customHeight="false" outlineLevel="0" collapsed="false">
      <c r="A6" s="987" t="s">
        <v>624</v>
      </c>
      <c r="B6" s="992" t="n">
        <f aca="false">PGL_Supplies!AC8/1000+PGL_Supplies!L8/1000-PGL_Requirements!O8/1000-PGL_Requirements!T8/1000+B8</f>
        <v>45.658</v>
      </c>
      <c r="C6" s="992" t="n">
        <f aca="false">PGL_Supplies!AC9/1000+PGL_Supplies!L9/1000-PGL_Requirements!O9/1000+C15-PGL_Requirements!T9/1000</f>
        <v>45.658</v>
      </c>
      <c r="D6" s="992" t="n">
        <f aca="false">PGL_Supplies!AC10/1000+PGL_Supplies!L10/1000-PGL_Requirements!O10/1000+D15-PGL_Requirements!T10/1000</f>
        <v>45.658</v>
      </c>
      <c r="E6" s="992" t="n">
        <f aca="false">PGL_Supplies!AC11/1000+PGL_Supplies!L11/1000-PGL_Requirements!O11/1000+E15-PGL_Requirements!T11/1000</f>
        <v>45.658</v>
      </c>
      <c r="F6" s="993" t="n">
        <f aca="false">PGL_Supplies!AC12/1000+PGL_Supplies!L12/1000-PGL_Requirements!O12/1000+F15-PGL_Requirements!T12/1000</f>
        <v>45.658</v>
      </c>
      <c r="G6" s="987"/>
      <c r="H6" s="0" t="s">
        <v>0</v>
      </c>
    </row>
    <row r="7" customFormat="false" ht="15" hidden="false" customHeight="false" outlineLevel="0" collapsed="false">
      <c r="A7" s="987" t="s">
        <v>625</v>
      </c>
      <c r="B7" s="992" t="n">
        <f aca="false">PGL_Supplies!N8/1000</f>
        <v>0</v>
      </c>
      <c r="C7" s="992" t="n">
        <f aca="false">PGL_Supplies!N9/1000</f>
        <v>0</v>
      </c>
      <c r="D7" s="992" t="n">
        <f aca="false">PGL_Supplies!N10/1000</f>
        <v>0</v>
      </c>
      <c r="E7" s="992" t="n">
        <f aca="false">PGL_Supplies!N11/1000</f>
        <v>0</v>
      </c>
      <c r="F7" s="994" t="n">
        <f aca="false">PGL_Supplies!N12/1000</f>
        <v>0</v>
      </c>
      <c r="G7" s="987"/>
    </row>
    <row r="8" customFormat="false" ht="15" hidden="false" customHeight="false" outlineLevel="0" collapsed="false">
      <c r="A8" s="987" t="s">
        <v>626</v>
      </c>
      <c r="B8" s="992" t="n">
        <f aca="false">PGL_Supplies!O8/1000</f>
        <v>0</v>
      </c>
      <c r="C8" s="992" t="n">
        <f aca="false">PGL_Supplies!O9/1000</f>
        <v>0</v>
      </c>
      <c r="D8" s="992" t="n">
        <f aca="false">PGL_Supplies!O10/1000</f>
        <v>0</v>
      </c>
      <c r="E8" s="992" t="n">
        <f aca="false">PGL_Supplies!O11/1000</f>
        <v>0</v>
      </c>
      <c r="F8" s="994" t="n">
        <f aca="false">PGL_Supplies!O12/1000</f>
        <v>0</v>
      </c>
      <c r="G8" s="987"/>
    </row>
    <row r="9" customFormat="false" ht="15" hidden="false" customHeight="false" outlineLevel="0" collapsed="false">
      <c r="A9" s="987" t="s">
        <v>627</v>
      </c>
      <c r="B9" s="992" t="n">
        <v>0</v>
      </c>
      <c r="C9" s="992" t="n">
        <v>0</v>
      </c>
      <c r="D9" s="992" t="n">
        <v>0</v>
      </c>
      <c r="E9" s="992" t="n">
        <v>0</v>
      </c>
      <c r="F9" s="994" t="n">
        <v>0</v>
      </c>
      <c r="G9" s="987"/>
    </row>
    <row r="10" customFormat="false" ht="15" hidden="false" customHeight="false" outlineLevel="0" collapsed="false">
      <c r="A10" s="995"/>
      <c r="B10" s="996"/>
      <c r="C10" s="996"/>
      <c r="D10" s="996"/>
      <c r="E10" s="996"/>
      <c r="F10" s="997"/>
      <c r="G10" s="987"/>
    </row>
    <row r="11" customFormat="false" ht="15" hidden="false" customHeight="false" outlineLevel="0" collapsed="false">
      <c r="A11" s="987" t="s">
        <v>628</v>
      </c>
      <c r="B11" s="992" t="n">
        <v>0</v>
      </c>
      <c r="C11" s="992" t="n">
        <v>0</v>
      </c>
      <c r="D11" s="992" t="n">
        <v>0</v>
      </c>
      <c r="E11" s="992" t="n">
        <v>0</v>
      </c>
      <c r="F11" s="994" t="n">
        <v>0</v>
      </c>
      <c r="G11" s="987"/>
      <c r="H11" s="40" t="s">
        <v>0</v>
      </c>
    </row>
    <row r="12" customFormat="false" ht="15" hidden="false" customHeight="false" outlineLevel="0" collapsed="false">
      <c r="A12" s="987" t="s">
        <v>629</v>
      </c>
      <c r="B12" s="992" t="n">
        <f aca="false">PGL_Requirements!S8/1000</f>
        <v>0</v>
      </c>
      <c r="C12" s="992" t="n">
        <f aca="false">PGL_Requirements!S9/1000</f>
        <v>0</v>
      </c>
      <c r="D12" s="992" t="n">
        <f aca="false">PGL_Requirements!S10/1000</f>
        <v>0</v>
      </c>
      <c r="E12" s="992" t="n">
        <f aca="false">PGL_Requirements!S11/1000</f>
        <v>0</v>
      </c>
      <c r="F12" s="994" t="n">
        <f aca="false">PGL_Requirements!S12/1000</f>
        <v>0</v>
      </c>
      <c r="G12" s="987"/>
    </row>
    <row r="13" customFormat="false" ht="15" hidden="false" customHeight="false" outlineLevel="0" collapsed="false">
      <c r="A13" s="987" t="s">
        <v>630</v>
      </c>
      <c r="B13" s="992" t="n">
        <v>0</v>
      </c>
      <c r="C13" s="992" t="n">
        <v>0</v>
      </c>
      <c r="D13" s="992" t="n">
        <v>0</v>
      </c>
      <c r="E13" s="992" t="n">
        <v>0</v>
      </c>
      <c r="F13" s="994" t="n">
        <v>0</v>
      </c>
      <c r="G13" s="987"/>
    </row>
    <row r="14" customFormat="false" ht="15" hidden="false" customHeight="false" outlineLevel="0" collapsed="false">
      <c r="A14" s="987" t="s">
        <v>458</v>
      </c>
      <c r="B14" s="992" t="n">
        <v>0</v>
      </c>
      <c r="C14" s="998"/>
      <c r="D14" s="998"/>
      <c r="E14" s="998"/>
      <c r="F14" s="994"/>
      <c r="G14" s="987"/>
    </row>
    <row r="15" customFormat="false" ht="15" hidden="false" customHeight="false" outlineLevel="0" collapsed="false">
      <c r="A15" s="987" t="s">
        <v>631</v>
      </c>
      <c r="B15" s="999" t="n">
        <v>0</v>
      </c>
      <c r="C15" s="999" t="n">
        <v>0</v>
      </c>
      <c r="D15" s="999" t="n">
        <v>0</v>
      </c>
      <c r="E15" s="999" t="n">
        <v>0</v>
      </c>
      <c r="F15" s="1000" t="n">
        <v>0</v>
      </c>
      <c r="G15" s="40"/>
    </row>
    <row r="16" customFormat="false" ht="15" hidden="false" customHeight="false" outlineLevel="0" collapsed="false">
      <c r="A16" s="987" t="s">
        <v>632</v>
      </c>
      <c r="B16" s="999" t="n">
        <v>0</v>
      </c>
      <c r="C16" s="998"/>
      <c r="D16" s="998"/>
      <c r="E16" s="998"/>
      <c r="F16" s="994"/>
      <c r="G16" s="987"/>
    </row>
    <row r="17" customFormat="false" ht="15.75" hidden="false" customHeight="false" outlineLevel="0" collapsed="false">
      <c r="A17" s="1001" t="s">
        <v>633</v>
      </c>
      <c r="B17" s="1002" t="n">
        <v>24</v>
      </c>
      <c r="C17" s="1003"/>
      <c r="D17" s="1003"/>
      <c r="E17" s="1003"/>
      <c r="F17" s="1004"/>
      <c r="G17" s="987"/>
    </row>
    <row r="20" customFormat="false" ht="15.75" hidden="false" customHeight="false" outlineLevel="0" collapsed="false">
      <c r="A20" s="1005" t="s">
        <v>634</v>
      </c>
      <c r="B20" s="930"/>
      <c r="C20" s="930"/>
      <c r="D20" s="930"/>
      <c r="E20" s="930"/>
      <c r="F20" s="930"/>
    </row>
    <row r="21" customFormat="false" ht="15" hidden="false" customHeight="false" outlineLevel="0" collapsed="false">
      <c r="A21" s="983"/>
      <c r="B21" s="1006" t="str">
        <f aca="false">B4</f>
        <v>Sunday</v>
      </c>
      <c r="C21" s="1006" t="str">
        <f aca="false">C4</f>
        <v>Monday</v>
      </c>
      <c r="D21" s="1006" t="str">
        <f aca="false">D4</f>
        <v>Tuesday</v>
      </c>
      <c r="E21" s="1006" t="str">
        <f aca="false">E4</f>
        <v>Wednesday</v>
      </c>
      <c r="F21" s="1007" t="str">
        <f aca="false">F4</f>
        <v>Thursday</v>
      </c>
      <c r="G21" s="987"/>
    </row>
    <row r="22" customFormat="false" ht="15" hidden="false" customHeight="false" outlineLevel="0" collapsed="false">
      <c r="A22" s="1008" t="s">
        <v>623</v>
      </c>
      <c r="B22" s="1009" t="n">
        <f aca="false">B5</f>
        <v>37038</v>
      </c>
      <c r="C22" s="1009" t="n">
        <f aca="false">C5</f>
        <v>37039</v>
      </c>
      <c r="D22" s="1009" t="n">
        <f aca="false">D5</f>
        <v>37040</v>
      </c>
      <c r="E22" s="1009" t="n">
        <f aca="false">E5</f>
        <v>37041</v>
      </c>
      <c r="F22" s="1010" t="n">
        <f aca="false">F5</f>
        <v>37042</v>
      </c>
      <c r="G22" s="987"/>
    </row>
    <row r="23" customFormat="false" ht="15" hidden="false" customHeight="false" outlineLevel="0" collapsed="false">
      <c r="A23" s="987" t="s">
        <v>624</v>
      </c>
      <c r="B23" s="998" t="n">
        <f aca="false">NSG_Supplies!R8/1000+NSG_Supplies!F8/1000-NSG_Requirements!H8/1000</f>
        <v>28.693</v>
      </c>
      <c r="C23" s="998" t="n">
        <f aca="false">NSG_Supplies!R9/1000+NSG_Supplies!F9/1000-NSG_Requirements!H9/1000</f>
        <v>28.693</v>
      </c>
      <c r="D23" s="998" t="n">
        <f aca="false">NSG_Supplies!R10/1000+NSG_Supplies!F10/1000-NSG_Requirements!H10/1000</f>
        <v>28.693</v>
      </c>
      <c r="E23" s="998" t="n">
        <f aca="false">NSG_Supplies!R12/1000+NSG_Supplies!F11/1000-NSG_Requirements!H11/1000</f>
        <v>28.693</v>
      </c>
      <c r="F23" s="993" t="n">
        <f aca="false">NSG_Supplies!R12/1000+NSG_Supplies!F12/1000-NSG_Requirements!H12/1000</f>
        <v>28.693</v>
      </c>
      <c r="G23" s="987"/>
    </row>
    <row r="24" customFormat="false" ht="15" hidden="false" customHeight="false" outlineLevel="0" collapsed="false">
      <c r="A24" s="987" t="s">
        <v>635</v>
      </c>
      <c r="B24" s="998" t="n">
        <f aca="false">NSG_Supplies!H8/1000</f>
        <v>0</v>
      </c>
      <c r="C24" s="998" t="n">
        <f aca="false">NSG_Supplies!H9/1000</f>
        <v>0</v>
      </c>
      <c r="D24" s="998" t="n">
        <f aca="false">NSG_Supplies!H10/1000</f>
        <v>0</v>
      </c>
      <c r="E24" s="998" t="n">
        <f aca="false">NSG_Supplies!H11/1000</f>
        <v>0</v>
      </c>
      <c r="F24" s="994" t="n">
        <f aca="false">NSG_Supplies!H12/1000</f>
        <v>0</v>
      </c>
      <c r="G24" s="987"/>
    </row>
    <row r="25" customFormat="false" ht="15" hidden="false" customHeight="false" outlineLevel="0" collapsed="false">
      <c r="A25" s="987" t="s">
        <v>625</v>
      </c>
      <c r="B25" s="998" t="n">
        <f aca="false">NSG_Supplies!I8/1000</f>
        <v>0</v>
      </c>
      <c r="C25" s="998" t="n">
        <f aca="false">NSG_Supplies!I9/1000</f>
        <v>0</v>
      </c>
      <c r="D25" s="998" t="n">
        <f aca="false">NSG_Supplies!I10/1000</f>
        <v>0</v>
      </c>
      <c r="E25" s="998" t="n">
        <f aca="false">NSG_Supplies!I11/1000</f>
        <v>0</v>
      </c>
      <c r="F25" s="994" t="n">
        <f aca="false">NSG_Supplies!I12/1000</f>
        <v>0</v>
      </c>
      <c r="G25" s="987"/>
    </row>
    <row r="26" customFormat="false" ht="15" hidden="false" customHeight="false" outlineLevel="0" collapsed="false">
      <c r="A26" s="1011" t="s">
        <v>626</v>
      </c>
      <c r="B26" s="998" t="n">
        <f aca="false">NSG_Supplies!J8/1000</f>
        <v>0</v>
      </c>
      <c r="C26" s="998" t="n">
        <f aca="false">NSG_Supplies!J9/1000</f>
        <v>0</v>
      </c>
      <c r="D26" s="998" t="n">
        <f aca="false">NSG_Supplies!J10/1000</f>
        <v>0</v>
      </c>
      <c r="E26" s="998" t="n">
        <f aca="false">NSG_Supplies!J11/1000</f>
        <v>0</v>
      </c>
      <c r="F26" s="994" t="n">
        <f aca="false">NSG_Supplies!J12/1000</f>
        <v>0</v>
      </c>
      <c r="G26" s="987"/>
    </row>
    <row r="27" customFormat="false" ht="15" hidden="false" customHeight="false" outlineLevel="0" collapsed="false">
      <c r="A27" s="987" t="s">
        <v>627</v>
      </c>
      <c r="B27" s="998" t="n">
        <f aca="false">NSG_Supplies!K8/1000</f>
        <v>0</v>
      </c>
      <c r="C27" s="998" t="n">
        <f aca="false">NSG_Supplies!K9/1000</f>
        <v>0</v>
      </c>
      <c r="D27" s="998" t="n">
        <f aca="false">NSG_Supplies!K10/1000</f>
        <v>0</v>
      </c>
      <c r="E27" s="998" t="n">
        <f aca="false">NSG_Supplies!K11/1000</f>
        <v>0</v>
      </c>
      <c r="F27" s="994" t="n">
        <f aca="false">NSG_Supplies!K12/1000</f>
        <v>0</v>
      </c>
      <c r="G27" s="987"/>
    </row>
    <row r="28" customFormat="false" ht="15" hidden="false" customHeight="false" outlineLevel="0" collapsed="false">
      <c r="A28" s="987" t="s">
        <v>636</v>
      </c>
      <c r="B28" s="998" t="s">
        <v>0</v>
      </c>
      <c r="C28" s="998"/>
      <c r="D28" s="998"/>
      <c r="E28" s="998"/>
      <c r="F28" s="994"/>
      <c r="G28" s="987"/>
    </row>
    <row r="29" customFormat="false" ht="15" hidden="false" customHeight="false" outlineLevel="0" collapsed="false">
      <c r="A29" s="995"/>
      <c r="B29" s="996"/>
      <c r="C29" s="996"/>
      <c r="D29" s="996"/>
      <c r="E29" s="996"/>
      <c r="F29" s="997"/>
      <c r="G29" s="987"/>
    </row>
    <row r="30" customFormat="false" ht="15" hidden="false" customHeight="false" outlineLevel="0" collapsed="false">
      <c r="A30" s="987" t="s">
        <v>628</v>
      </c>
      <c r="B30" s="998" t="n">
        <f aca="false">NSG_Requirements!P8/1000</f>
        <v>0</v>
      </c>
      <c r="C30" s="998" t="n">
        <f aca="false">NSG_Requirements!P9/1000</f>
        <v>0</v>
      </c>
      <c r="D30" s="998" t="n">
        <f aca="false">NSG_Requirements!P10/1000</f>
        <v>0</v>
      </c>
      <c r="E30" s="998" t="n">
        <f aca="false">NSG_Requirements!P11/1000</f>
        <v>0</v>
      </c>
      <c r="F30" s="994" t="n">
        <f aca="false">NSG_Supplies!K12/1000</f>
        <v>0</v>
      </c>
      <c r="G30" s="987"/>
    </row>
    <row r="31" customFormat="false" ht="15" hidden="false" customHeight="false" outlineLevel="0" collapsed="false">
      <c r="A31" s="987" t="s">
        <v>629</v>
      </c>
      <c r="B31" s="998" t="n">
        <f aca="false">NSG_Requirements!R8/1000</f>
        <v>0</v>
      </c>
      <c r="C31" s="998" t="n">
        <f aca="false">NSG_Requirements!R9/1000</f>
        <v>0</v>
      </c>
      <c r="D31" s="998" t="n">
        <f aca="false">NSG_Requirements!R10/1000</f>
        <v>0</v>
      </c>
      <c r="E31" s="998" t="n">
        <f aca="false">NSG_Requirements!R11/1000</f>
        <v>0</v>
      </c>
      <c r="F31" s="994" t="n">
        <f aca="false">NSG_Supplies!M12/1000</f>
        <v>0</v>
      </c>
      <c r="G31" s="987"/>
    </row>
    <row r="32" customFormat="false" ht="15" hidden="false" customHeight="false" outlineLevel="0" collapsed="false">
      <c r="A32" s="987" t="s">
        <v>630</v>
      </c>
      <c r="B32" s="998" t="n">
        <f aca="false">NSG_Requirements!Q8/1000</f>
        <v>0</v>
      </c>
      <c r="C32" s="998" t="n">
        <f aca="false">NSG_Requirements!Q9/1000</f>
        <v>0</v>
      </c>
      <c r="D32" s="998" t="n">
        <f aca="false">NSG_Requirements!Q10/1000</f>
        <v>0</v>
      </c>
      <c r="E32" s="998" t="n">
        <f aca="false">NSG_Requirements!Q11/1000</f>
        <v>0</v>
      </c>
      <c r="F32" s="994" t="n">
        <f aca="false">NSG_Requirements!Q12/1000</f>
        <v>0</v>
      </c>
      <c r="G32" s="987"/>
    </row>
    <row r="33" customFormat="false" ht="15.75" hidden="false" customHeight="false" outlineLevel="0" collapsed="false">
      <c r="A33" s="1001" t="s">
        <v>637</v>
      </c>
      <c r="B33" s="1003" t="n">
        <f aca="false">NSG_Requirements!L8/1000</f>
        <v>0</v>
      </c>
      <c r="C33" s="1003" t="n">
        <f aca="false">NSG_Requirements!L9/1000</f>
        <v>0</v>
      </c>
      <c r="D33" s="1003" t="n">
        <f aca="false">NSG_Requirements!L10/1000</f>
        <v>0</v>
      </c>
      <c r="E33" s="1003" t="n">
        <f aca="false">NSG_Requirements!L11/1000</f>
        <v>0</v>
      </c>
      <c r="F33" s="1004" t="n">
        <f aca="false">NSG_Requirements!L12/1000</f>
        <v>0</v>
      </c>
      <c r="G33" s="98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1012" t="s">
        <v>638</v>
      </c>
      <c r="C1" s="1013" t="n">
        <f aca="false">Weather_Input!A6</f>
        <v>37038</v>
      </c>
      <c r="D1" s="1014" t="s">
        <v>639</v>
      </c>
      <c r="E1" s="1015"/>
      <c r="F1" s="1016"/>
      <c r="G1" s="468"/>
      <c r="H1" s="468"/>
      <c r="I1" s="406"/>
    </row>
    <row r="2" customFormat="false" ht="15.75" hidden="false" customHeight="true" outlineLevel="0" collapsed="false">
      <c r="A2" s="34"/>
      <c r="B2" s="1017" t="s">
        <v>640</v>
      </c>
      <c r="E2" s="429"/>
      <c r="I2" s="429"/>
    </row>
    <row r="3" customFormat="false" ht="15.75" hidden="false" customHeight="true" outlineLevel="0" collapsed="false">
      <c r="B3" s="1018" t="s">
        <v>162</v>
      </c>
      <c r="C3" s="1019" t="n">
        <f aca="false">NSG_Supplies!Q8/1000</f>
        <v>20</v>
      </c>
      <c r="E3" s="429"/>
      <c r="F3" s="1020" t="s">
        <v>258</v>
      </c>
      <c r="G3" s="516"/>
      <c r="H3" s="1021" t="s">
        <v>641</v>
      </c>
      <c r="I3" s="1022" t="s">
        <v>642</v>
      </c>
    </row>
    <row r="4" customFormat="false" ht="15.75" hidden="false" customHeight="true" outlineLevel="0" collapsed="false">
      <c r="A4" s="0" t="s">
        <v>0</v>
      </c>
      <c r="B4" s="987" t="s">
        <v>643</v>
      </c>
      <c r="C4" s="428" t="n">
        <f aca="false">NSG_Supplies!E8/1000</f>
        <v>0</v>
      </c>
      <c r="D4" s="892" t="n">
        <f aca="false">NSG_Requirements!J8/1000</f>
        <v>0</v>
      </c>
      <c r="E4" s="1023"/>
      <c r="F4" s="1018" t="s">
        <v>644</v>
      </c>
      <c r="G4" s="74"/>
      <c r="H4" s="1024" t="n">
        <f aca="false">PGL_Requirements!P8/1000</f>
        <v>150</v>
      </c>
      <c r="I4" s="1025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1026" t="s">
        <v>645</v>
      </c>
      <c r="C5" s="1027" t="n">
        <f aca="false">C3+C4-D4</f>
        <v>20</v>
      </c>
      <c r="D5" s="1028"/>
      <c r="E5" s="1029" t="n">
        <f aca="false">AVERAGE(C5/24)</f>
        <v>0.833333333333333</v>
      </c>
      <c r="F5" s="1030" t="s">
        <v>320</v>
      </c>
      <c r="G5" s="1031" t="n">
        <f aca="false">PGL_Supplies!M8/1000</f>
        <v>0</v>
      </c>
      <c r="H5" s="1032"/>
      <c r="I5" s="103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1034" t="s">
        <v>646</v>
      </c>
      <c r="C6" s="1035"/>
      <c r="D6" s="40"/>
      <c r="E6" s="1036"/>
      <c r="F6" s="0" t="s">
        <v>647</v>
      </c>
      <c r="G6" s="1035" t="n">
        <f aca="false">AVERAGE(H4/24)</f>
        <v>6.25</v>
      </c>
      <c r="H6" s="468"/>
      <c r="I6" s="406"/>
    </row>
    <row r="7" customFormat="false" ht="15.75" hidden="false" customHeight="true" outlineLevel="0" collapsed="false">
      <c r="B7" s="1018" t="s">
        <v>648</v>
      </c>
      <c r="C7" s="1024" t="n">
        <f aca="false">NSG_Supplies!L8/1000</f>
        <v>0</v>
      </c>
      <c r="D7" s="74"/>
      <c r="E7" s="1037"/>
      <c r="F7" s="1017" t="s">
        <v>649</v>
      </c>
      <c r="G7" s="1038"/>
      <c r="H7" s="74"/>
      <c r="I7" s="429"/>
    </row>
    <row r="8" customFormat="false" ht="15.75" hidden="false" customHeight="true" outlineLevel="0" collapsed="false">
      <c r="B8" s="1018" t="s">
        <v>650</v>
      </c>
      <c r="C8" s="1024" t="n">
        <f aca="false">PGL_Requirements!V8/1000</f>
        <v>0</v>
      </c>
      <c r="D8" s="74"/>
      <c r="E8" s="1037"/>
      <c r="F8" s="1018" t="s">
        <v>651</v>
      </c>
      <c r="G8" s="1024" t="n">
        <f aca="false">PGL_Supplies!T8/1000*0.5</f>
        <v>3.5</v>
      </c>
      <c r="H8" s="74"/>
      <c r="I8" s="429"/>
    </row>
    <row r="9" customFormat="false" ht="15.75" hidden="false" customHeight="true" outlineLevel="0" collapsed="false">
      <c r="B9" s="1018" t="s">
        <v>652</v>
      </c>
      <c r="C9" s="1024" t="n">
        <f aca="false">NSG_Requirements!B8/1000</f>
        <v>0</v>
      </c>
      <c r="D9" s="74"/>
      <c r="E9" s="1037"/>
      <c r="F9" s="29" t="s">
        <v>653</v>
      </c>
      <c r="G9" s="1024" t="n">
        <f aca="false">PGL_Supplies!U8/1000</f>
        <v>0</v>
      </c>
      <c r="I9" s="429"/>
    </row>
    <row r="10" customFormat="false" ht="15.75" hidden="false" customHeight="true" outlineLevel="0" collapsed="false">
      <c r="B10" s="1026" t="s">
        <v>654</v>
      </c>
      <c r="C10" s="1027" t="n">
        <f aca="false">C7+C8-C9</f>
        <v>0</v>
      </c>
      <c r="D10" s="1028"/>
      <c r="E10" s="1029" t="n">
        <f aca="false">AVERAGE(C10/24)</f>
        <v>0</v>
      </c>
      <c r="F10" s="1018" t="s">
        <v>548</v>
      </c>
      <c r="G10" s="1024" t="n">
        <f aca="false">PGL_Supplies!AB8/1000</f>
        <v>197.547</v>
      </c>
      <c r="H10" s="1024" t="s">
        <v>0</v>
      </c>
      <c r="I10" s="429"/>
    </row>
    <row r="11" customFormat="false" ht="15.75" hidden="false" customHeight="true" outlineLevel="0" collapsed="false">
      <c r="A11" s="0" t="s">
        <v>0</v>
      </c>
      <c r="B11" s="1039" t="s">
        <v>655</v>
      </c>
      <c r="C11" s="1024" t="n">
        <f aca="false">PGL_Supplies!Y8/1000</f>
        <v>144.116</v>
      </c>
      <c r="D11" s="516"/>
      <c r="E11" s="1040"/>
      <c r="F11" s="1041" t="s">
        <v>656</v>
      </c>
      <c r="G11" s="1042" t="n">
        <f aca="false">G8+G10</f>
        <v>201.047</v>
      </c>
      <c r="H11" s="270"/>
      <c r="I11" s="384"/>
    </row>
    <row r="12" customFormat="false" ht="15.75" hidden="false" customHeight="true" outlineLevel="0" collapsed="false">
      <c r="B12" s="261" t="s">
        <v>657</v>
      </c>
      <c r="C12" s="1024" t="n">
        <v>24</v>
      </c>
      <c r="D12" s="40"/>
      <c r="E12" s="429"/>
      <c r="F12" s="1043" t="s">
        <v>658</v>
      </c>
      <c r="G12" s="1024" t="n">
        <f aca="false">PGL_Supplies!E8/1000</f>
        <v>0</v>
      </c>
      <c r="H12" s="74"/>
      <c r="I12" s="1037"/>
    </row>
    <row r="13" customFormat="false" ht="15.75" hidden="false" customHeight="true" outlineLevel="0" collapsed="false">
      <c r="B13" s="261" t="s">
        <v>659</v>
      </c>
      <c r="C13" s="40"/>
      <c r="D13" s="1024" t="n">
        <f aca="false">PGL_Requirements!J8/1000</f>
        <v>0</v>
      </c>
      <c r="E13" s="429"/>
      <c r="F13" s="1043" t="s">
        <v>660</v>
      </c>
      <c r="G13" s="74"/>
      <c r="H13" s="1024" t="n">
        <f aca="false">PGL_Requirements!E8/1000</f>
        <v>0</v>
      </c>
      <c r="I13" s="429"/>
    </row>
    <row r="14" customFormat="false" ht="15.75" hidden="false" customHeight="true" outlineLevel="0" collapsed="false">
      <c r="B14" s="1044" t="s">
        <v>661</v>
      </c>
      <c r="C14" s="1027" t="n">
        <f aca="false">C11-C12</f>
        <v>120.116</v>
      </c>
      <c r="D14" s="1028"/>
      <c r="E14" s="1029" t="n">
        <f aca="false">AVERAGE(C14/24)</f>
        <v>5.00483333333333</v>
      </c>
      <c r="F14" s="1045" t="s">
        <v>662</v>
      </c>
      <c r="G14" s="1027" t="n">
        <v>0</v>
      </c>
      <c r="H14" s="1028"/>
      <c r="I14" s="1029" t="n">
        <f aca="false">AVERAGE(G14/24)</f>
        <v>0</v>
      </c>
    </row>
    <row r="15" customFormat="false" ht="15.75" hidden="false" customHeight="true" outlineLevel="0" collapsed="false">
      <c r="B15" s="1018" t="s">
        <v>663</v>
      </c>
      <c r="C15" s="1024" t="n">
        <f aca="false">PGL_Supplies!Z8/1000</f>
        <v>40.2</v>
      </c>
      <c r="D15" s="74"/>
      <c r="E15" s="429"/>
      <c r="F15" s="1045" t="s">
        <v>664</v>
      </c>
      <c r="G15" s="1042" t="n">
        <f aca="false">SUM(G11)-G16-G17</f>
        <v>201.047</v>
      </c>
      <c r="H15" s="1028" t="s">
        <v>0</v>
      </c>
      <c r="I15" s="1029" t="n">
        <f aca="false">AVERAGE(G15/24)</f>
        <v>8.37695833333333</v>
      </c>
    </row>
    <row r="16" customFormat="false" ht="15.75" hidden="false" customHeight="true" outlineLevel="0" collapsed="false">
      <c r="B16" s="1018" t="s">
        <v>665</v>
      </c>
      <c r="C16" s="1024" t="n">
        <f aca="false">PGL_Supplies!R8/1000</f>
        <v>0</v>
      </c>
      <c r="D16" s="1024" t="n">
        <f aca="false">PGL_Requirements!U8/1000</f>
        <v>40.2</v>
      </c>
      <c r="E16" s="429"/>
      <c r="F16" s="1045" t="s">
        <v>666</v>
      </c>
      <c r="G16" s="1027" t="n">
        <f aca="false">PGL_Requirements!H8/1000</f>
        <v>0</v>
      </c>
      <c r="H16" s="1027" t="s">
        <v>0</v>
      </c>
      <c r="I16" s="1029" t="n">
        <f aca="false">AVERAGE(G16/24)</f>
        <v>0</v>
      </c>
    </row>
    <row r="17" customFormat="false" ht="15.75" hidden="false" customHeight="true" outlineLevel="0" collapsed="false">
      <c r="B17" s="1041" t="s">
        <v>656</v>
      </c>
      <c r="C17" s="1042" t="n">
        <f aca="false">SUM(C15:C16)-SUM(D15:D16)</f>
        <v>0</v>
      </c>
      <c r="D17" s="270"/>
      <c r="E17" s="384"/>
      <c r="F17" s="1046" t="s">
        <v>667</v>
      </c>
      <c r="G17" s="1047" t="n">
        <v>0</v>
      </c>
      <c r="H17" s="1048"/>
      <c r="I17" s="1049" t="n">
        <f aca="false">AVERAGE(G17/24)</f>
        <v>0</v>
      </c>
    </row>
    <row r="18" customFormat="false" ht="15.75" hidden="false" customHeight="true" outlineLevel="0" collapsed="false">
      <c r="B18" s="1018" t="s">
        <v>668</v>
      </c>
      <c r="C18" s="1024" t="n">
        <f aca="false">PGL_Supplies!C8/1000</f>
        <v>0</v>
      </c>
      <c r="D18" s="74"/>
      <c r="E18" s="429"/>
      <c r="F18" s="1050" t="s">
        <v>669</v>
      </c>
      <c r="G18" s="74" t="s">
        <v>0</v>
      </c>
      <c r="H18" s="74"/>
      <c r="I18" s="429"/>
    </row>
    <row r="19" customFormat="false" ht="15.75" hidden="false" customHeight="true" outlineLevel="0" collapsed="false">
      <c r="B19" s="1018" t="s">
        <v>670</v>
      </c>
      <c r="C19" s="74"/>
      <c r="D19" s="1024" t="n">
        <f aca="false">PGL_Requirements!C8/1000</f>
        <v>0</v>
      </c>
      <c r="E19" s="429"/>
      <c r="F19" s="1030" t="s">
        <v>671</v>
      </c>
      <c r="G19" s="1032"/>
      <c r="H19" s="1031" t="n">
        <v>0</v>
      </c>
      <c r="I19" s="1051"/>
    </row>
    <row r="20" customFormat="false" ht="15.75" hidden="false" customHeight="true" outlineLevel="0" collapsed="false">
      <c r="B20" s="1026" t="s">
        <v>672</v>
      </c>
      <c r="C20" s="1027" t="n">
        <f aca="false">C17+C18-D19</f>
        <v>0</v>
      </c>
      <c r="D20" s="1052" t="s">
        <v>0</v>
      </c>
      <c r="E20" s="1029" t="n">
        <f aca="false">AVERAGE(C20/24)</f>
        <v>0</v>
      </c>
      <c r="F20" s="1053" t="s">
        <v>452</v>
      </c>
      <c r="G20" s="74" t="n">
        <v>0</v>
      </c>
      <c r="H20" s="1024" t="s">
        <v>0</v>
      </c>
      <c r="I20" s="429"/>
    </row>
    <row r="21" customFormat="false" ht="15.75" hidden="false" customHeight="true" outlineLevel="0" collapsed="false">
      <c r="B21" s="1018" t="s">
        <v>673</v>
      </c>
      <c r="C21" s="1024" t="n">
        <f aca="false">PGL_Supplies!AA8/1000</f>
        <v>0</v>
      </c>
      <c r="D21" s="1024" t="s">
        <v>0</v>
      </c>
      <c r="E21" s="429"/>
      <c r="F21" s="1018" t="s">
        <v>162</v>
      </c>
      <c r="G21" s="1024" t="n">
        <f aca="false">PGL_Supplies!AD8/1000</f>
        <v>4</v>
      </c>
      <c r="H21" s="1024" t="s">
        <v>0</v>
      </c>
      <c r="I21" s="429"/>
    </row>
    <row r="22" customFormat="false" ht="15.75" hidden="false" customHeight="true" outlineLevel="0" collapsed="false">
      <c r="B22" s="1041" t="s">
        <v>656</v>
      </c>
      <c r="C22" s="1042" t="n">
        <f aca="false">SUM(C21)-SUM(D21)</f>
        <v>0</v>
      </c>
      <c r="D22" s="270"/>
      <c r="E22" s="384"/>
      <c r="F22" s="1041" t="s">
        <v>656</v>
      </c>
      <c r="G22" s="1042" t="n">
        <f aca="false">G21</f>
        <v>4</v>
      </c>
      <c r="H22" s="270"/>
      <c r="I22" s="384"/>
    </row>
    <row r="23" customFormat="false" ht="15.75" hidden="false" customHeight="true" outlineLevel="0" collapsed="false">
      <c r="B23" s="1018" t="s">
        <v>674</v>
      </c>
      <c r="C23" s="1024" t="n">
        <f aca="false">PGL_Supplies!D8/1000</f>
        <v>0</v>
      </c>
      <c r="D23" s="74"/>
      <c r="E23" s="429"/>
      <c r="F23" s="1018" t="s">
        <v>675</v>
      </c>
      <c r="G23" s="1024" t="n">
        <f aca="false">PGL_Supplies!G8/1000</f>
        <v>0</v>
      </c>
      <c r="H23" s="74"/>
      <c r="I23" s="429"/>
    </row>
    <row r="24" customFormat="false" ht="15.75" hidden="false" customHeight="true" outlineLevel="0" collapsed="false">
      <c r="B24" s="1018" t="s">
        <v>676</v>
      </c>
      <c r="C24" s="74" t="n">
        <v>0</v>
      </c>
      <c r="D24" s="1024" t="n">
        <f aca="false">PGL_Requirements!D8/1000</f>
        <v>0</v>
      </c>
      <c r="E24" s="429"/>
      <c r="F24" s="1018" t="s">
        <v>677</v>
      </c>
      <c r="G24" s="74"/>
      <c r="H24" s="1024" t="n">
        <f aca="false">PGL_Requirements!F8/1000</f>
        <v>4</v>
      </c>
      <c r="I24" s="429"/>
    </row>
    <row r="25" customFormat="false" ht="15.75" hidden="false" customHeight="true" outlineLevel="0" collapsed="false">
      <c r="B25" s="1026" t="s">
        <v>678</v>
      </c>
      <c r="C25" s="1027" t="n">
        <f aca="false">C22+C23-D24</f>
        <v>0</v>
      </c>
      <c r="D25" s="1028"/>
      <c r="E25" s="1029" t="n">
        <f aca="false">AVERAGE(C25/24)</f>
        <v>0</v>
      </c>
      <c r="F25" s="405" t="s">
        <v>679</v>
      </c>
      <c r="G25" s="1054" t="n">
        <f aca="false">G22+G23-H24+G20</f>
        <v>0</v>
      </c>
      <c r="H25" s="468"/>
      <c r="I25" s="1055" t="n">
        <f aca="false">AVERAGE(G25/24)</f>
        <v>0</v>
      </c>
    </row>
    <row r="26" customFormat="false" ht="15.75" hidden="false" customHeight="true" outlineLevel="0" collapsed="false">
      <c r="B26" s="0" t="s">
        <v>680</v>
      </c>
    </row>
    <row r="27" customFormat="false" ht="15.75" hidden="false" customHeight="true" outlineLevel="0" collapsed="false">
      <c r="B27" s="0" t="s">
        <v>681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682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56" width="8.65"/>
    <col collapsed="false" customWidth="true" hidden="false" outlineLevel="0" max="2" min="2" style="1056" width="8.1"/>
    <col collapsed="false" customWidth="true" hidden="false" outlineLevel="0" max="3" min="3" style="1056" width="7.88"/>
    <col collapsed="false" customWidth="true" hidden="false" outlineLevel="0" max="4" min="4" style="1056" width="5.88"/>
    <col collapsed="false" customWidth="true" hidden="false" outlineLevel="0" max="5" min="5" style="1056" width="4.44"/>
    <col collapsed="false" customWidth="true" hidden="false" outlineLevel="0" max="6" min="6" style="1056" width="5.21"/>
    <col collapsed="false" customWidth="true" hidden="false" outlineLevel="0" max="7" min="7" style="1056" width="8.99"/>
    <col collapsed="false" customWidth="false" hidden="false" outlineLevel="0" max="11" min="8" style="1056" width="8.88"/>
    <col collapsed="false" customWidth="true" hidden="false" outlineLevel="0" max="12" min="12" style="1056" width="14.88"/>
    <col collapsed="false" customWidth="true" hidden="false" outlineLevel="0" max="13" min="13" style="1056" width="5.65"/>
    <col collapsed="false" customWidth="false" hidden="false" outlineLevel="0" max="257" min="14" style="1056" width="8.88"/>
  </cols>
  <sheetData>
    <row r="1" customFormat="false" ht="22.5" hidden="false" customHeight="false" outlineLevel="0" collapsed="false">
      <c r="A1" s="1057"/>
      <c r="B1" s="1058"/>
      <c r="C1" s="1059" t="s">
        <v>683</v>
      </c>
      <c r="D1" s="1060"/>
      <c r="E1" s="1060" t="s">
        <v>684</v>
      </c>
      <c r="F1" s="1060"/>
      <c r="G1" s="1061" t="s">
        <v>685</v>
      </c>
      <c r="H1" s="1062" t="n">
        <f aca="false">Weather_Input!A6</f>
        <v>37038</v>
      </c>
      <c r="I1" s="1063"/>
      <c r="J1" s="1064"/>
      <c r="K1" s="1064"/>
    </row>
    <row r="2" customFormat="false" ht="16.5" hidden="false" customHeight="true" outlineLevel="0" collapsed="false">
      <c r="A2" s="1065" t="s">
        <v>686</v>
      </c>
      <c r="C2" s="1066" t="n">
        <v>337</v>
      </c>
      <c r="F2" s="1067" t="n">
        <v>332</v>
      </c>
      <c r="H2" s="1064"/>
      <c r="I2" s="1063" t="s">
        <v>687</v>
      </c>
      <c r="J2" s="1068" t="n">
        <f aca="false">NSG_Supplies!Q8/1000</f>
        <v>20</v>
      </c>
    </row>
    <row r="3" customFormat="false" ht="16.5" hidden="false" customHeight="true" outlineLevel="0" collapsed="false">
      <c r="A3" s="1069" t="n">
        <f aca="false">PGL_Supplies!J8/1000</f>
        <v>0</v>
      </c>
      <c r="C3" s="1056" t="s">
        <v>0</v>
      </c>
      <c r="G3" s="1063"/>
      <c r="H3" s="1064"/>
    </row>
    <row r="4" customFormat="false" ht="16.5" hidden="false" customHeight="true" outlineLevel="0" collapsed="false">
      <c r="A4" s="1070" t="s">
        <v>688</v>
      </c>
      <c r="G4" s="1071"/>
      <c r="H4" s="1064"/>
      <c r="I4" s="1063"/>
      <c r="J4" s="1063" t="s">
        <v>689</v>
      </c>
      <c r="K4" s="1068" t="n">
        <f aca="false">Billy_Sheet!C5</f>
        <v>20</v>
      </c>
      <c r="N4" s="1068"/>
    </row>
    <row r="5" customFormat="false" ht="16.5" hidden="false" customHeight="true" outlineLevel="0" collapsed="false">
      <c r="A5" s="1072" t="n">
        <f aca="false">PGL_Supplies!K7/1000</f>
        <v>0</v>
      </c>
      <c r="B5" s="1073"/>
      <c r="G5" s="1058"/>
      <c r="H5" s="1068"/>
      <c r="U5" s="1064"/>
      <c r="V5" s="1064"/>
    </row>
    <row r="6" customFormat="false" ht="16.5" hidden="false" customHeight="true" outlineLevel="0" collapsed="false">
      <c r="A6" s="1074" t="s">
        <v>690</v>
      </c>
      <c r="G6" s="1058"/>
      <c r="H6" s="1068"/>
      <c r="U6" s="1064"/>
      <c r="V6" s="1068"/>
    </row>
    <row r="7" customFormat="false" ht="18.75" hidden="false" customHeight="true" outlineLevel="0" collapsed="false">
      <c r="A7" s="1068" t="n">
        <f aca="false">Billy_Sheet!G14</f>
        <v>0</v>
      </c>
      <c r="G7" s="1058"/>
      <c r="H7" s="1075"/>
      <c r="U7" s="1064"/>
      <c r="V7" s="1075"/>
    </row>
    <row r="8" customFormat="false" ht="14.45" hidden="false" customHeight="true" outlineLevel="0" collapsed="false">
      <c r="A8" s="1063" t="s">
        <v>92</v>
      </c>
      <c r="G8" s="1058"/>
      <c r="H8" s="1063" t="s">
        <v>447</v>
      </c>
      <c r="I8" s="1063"/>
      <c r="K8" s="1063"/>
      <c r="L8" s="1063"/>
      <c r="N8" s="1063"/>
      <c r="O8" s="1063"/>
      <c r="U8" s="1064"/>
      <c r="V8" s="1068"/>
    </row>
    <row r="9" customFormat="false" ht="14.45" hidden="false" customHeight="true" outlineLevel="0" collapsed="false">
      <c r="A9" s="1068" t="n">
        <f aca="false">PGL_Supplies!I8/1000</f>
        <v>15</v>
      </c>
      <c r="H9" s="1068" t="n">
        <v>0</v>
      </c>
      <c r="I9" s="1076"/>
      <c r="K9" s="1063" t="s">
        <v>691</v>
      </c>
      <c r="L9" s="1068" t="n">
        <f aca="false">NSG_Deliveries!C6/1000</f>
        <v>50</v>
      </c>
      <c r="N9" s="1063"/>
      <c r="O9" s="1068"/>
      <c r="U9" s="1064"/>
      <c r="V9" s="1068"/>
    </row>
    <row r="10" customFormat="false" ht="18" hidden="false" customHeight="true" outlineLevel="0" collapsed="false">
      <c r="A10" s="1063" t="s">
        <v>83</v>
      </c>
      <c r="H10" s="1077" t="s">
        <v>692</v>
      </c>
      <c r="U10" s="1064"/>
      <c r="V10" s="1068"/>
    </row>
    <row r="11" customFormat="false" ht="14.45" hidden="false" customHeight="true" outlineLevel="0" collapsed="false">
      <c r="A11" s="1068" t="n">
        <f aca="false">Billy_Sheet!C20</f>
        <v>0</v>
      </c>
      <c r="B11" s="1076"/>
      <c r="H11" s="1068" t="n">
        <f aca="false">NSG_Supplies!U8/1000</f>
        <v>0</v>
      </c>
      <c r="K11" s="1058" t="s">
        <v>693</v>
      </c>
      <c r="L11" s="1071" t="n">
        <f aca="false">SUM(K4+K17+K19+H11+H9-L9)</f>
        <v>-1.307</v>
      </c>
      <c r="N11" s="1058"/>
      <c r="O11" s="1071"/>
      <c r="U11" s="1064"/>
      <c r="V11" s="1078"/>
    </row>
    <row r="12" customFormat="false" ht="14.45" hidden="false" customHeight="true" outlineLevel="0" collapsed="false">
      <c r="A12" s="1063" t="s">
        <v>694</v>
      </c>
      <c r="H12" s="1068"/>
      <c r="U12" s="1064"/>
      <c r="V12" s="1068"/>
    </row>
    <row r="13" customFormat="false" ht="14.45" hidden="false" customHeight="true" outlineLevel="0" collapsed="false">
      <c r="A13" s="1072" t="n">
        <f aca="false">PGL_Supplies!Y8/1000</f>
        <v>144.116</v>
      </c>
      <c r="H13" s="1068"/>
      <c r="U13" s="1064"/>
      <c r="V13" s="1068"/>
    </row>
    <row r="14" customFormat="false" ht="14.45" hidden="false" customHeight="true" outlineLevel="0" collapsed="false">
      <c r="H14" s="1068"/>
      <c r="U14" s="1064"/>
      <c r="V14" s="1068"/>
    </row>
    <row r="15" customFormat="false" ht="15.6" hidden="false" customHeight="true" outlineLevel="0" collapsed="false">
      <c r="B15" s="1056" t="s">
        <v>0</v>
      </c>
      <c r="C15" s="1079" t="n">
        <v>340</v>
      </c>
      <c r="F15" s="1079" t="n">
        <v>340</v>
      </c>
      <c r="H15" s="1071"/>
      <c r="U15" s="1080"/>
      <c r="V15" s="1071"/>
    </row>
    <row r="16" customFormat="false" ht="42.75" hidden="false" customHeight="true" outlineLevel="0" collapsed="false">
      <c r="A16" s="1081"/>
      <c r="B16" s="1071"/>
      <c r="C16" s="1082"/>
      <c r="D16" s="1083"/>
      <c r="E16" s="1083"/>
      <c r="F16" s="1082"/>
    </row>
    <row r="17" customFormat="false" ht="38.25" hidden="false" customHeight="true" outlineLevel="0" collapsed="false">
      <c r="B17" s="1083"/>
      <c r="C17" s="1083"/>
      <c r="D17" s="1084"/>
      <c r="E17" s="1083"/>
      <c r="F17" s="1083"/>
      <c r="G17" s="1083"/>
      <c r="J17" s="1063" t="s">
        <v>695</v>
      </c>
      <c r="K17" s="1068" t="n">
        <f aca="false">NSG_Supplies!L8/1000</f>
        <v>0</v>
      </c>
      <c r="N17" s="1068"/>
    </row>
    <row r="18" customFormat="false" ht="15" hidden="false" customHeight="true" outlineLevel="0" collapsed="false">
      <c r="A18" s="1085"/>
      <c r="C18" s="1079" t="n">
        <v>363</v>
      </c>
      <c r="D18" s="1083"/>
      <c r="E18" s="1083"/>
      <c r="F18" s="1067" t="n">
        <v>791</v>
      </c>
    </row>
    <row r="19" customFormat="false" ht="11.25" hidden="false" customHeight="false" outlineLevel="0" collapsed="false">
      <c r="A19" s="1074" t="s">
        <v>696</v>
      </c>
      <c r="C19" s="1056" t="s">
        <v>0</v>
      </c>
      <c r="J19" s="1063" t="s">
        <v>697</v>
      </c>
      <c r="K19" s="1068" t="n">
        <f aca="false">NSG_Supplies!R8/1000+NSG_Supplies!F8/1000-NSG_Requirements!H8/1000</f>
        <v>28.693</v>
      </c>
      <c r="N19" s="1086"/>
    </row>
    <row r="20" customFormat="false" ht="17.25" hidden="false" customHeight="true" outlineLevel="0" collapsed="false">
      <c r="A20" s="1068" t="n">
        <f aca="false">Billy_Sheet!G15</f>
        <v>201.047</v>
      </c>
      <c r="G20" s="34"/>
      <c r="J20" s="1063"/>
    </row>
    <row r="21" customFormat="false" ht="11.25" hidden="false" customHeight="true" outlineLevel="0" collapsed="false">
      <c r="G21" s="1075"/>
      <c r="H21" s="1075"/>
      <c r="I21" s="1058"/>
      <c r="J21" s="1071"/>
    </row>
    <row r="22" customFormat="false" ht="11.25" hidden="false" customHeight="false" outlineLevel="0" collapsed="false">
      <c r="A22" s="1064" t="s">
        <v>450</v>
      </c>
      <c r="G22" s="1063"/>
      <c r="I22" s="1058"/>
      <c r="J22" s="1063"/>
      <c r="M22" s="1058"/>
      <c r="N22" s="1071"/>
    </row>
    <row r="23" customFormat="false" ht="11.25" hidden="false" customHeight="false" outlineLevel="0" collapsed="false">
      <c r="A23" s="1068" t="n">
        <f aca="false">Billy_Sheet!C25</f>
        <v>0</v>
      </c>
      <c r="G23" s="1063" t="s">
        <v>698</v>
      </c>
      <c r="H23" s="1064"/>
      <c r="I23" s="1058"/>
      <c r="J23" s="1071"/>
      <c r="M23" s="1063"/>
      <c r="N23" s="1071"/>
      <c r="Q23" s="1087"/>
    </row>
    <row r="24" customFormat="false" ht="9" hidden="false" customHeight="true" outlineLevel="0" collapsed="false">
      <c r="G24" s="1068" t="n">
        <f aca="false">PGL_Requirements!K7/1000</f>
        <v>0</v>
      </c>
      <c r="H24" s="1058"/>
      <c r="I24" s="1058"/>
      <c r="J24" s="1058"/>
    </row>
    <row r="25" customFormat="false" ht="10.5" hidden="false" customHeight="true" outlineLevel="0" collapsed="false">
      <c r="A25" s="1064" t="s">
        <v>452</v>
      </c>
      <c r="B25" s="1064"/>
      <c r="C25" s="1064"/>
      <c r="D25" s="1064"/>
      <c r="F25" s="1064"/>
      <c r="G25" s="1063" t="s">
        <v>699</v>
      </c>
      <c r="H25" s="1058"/>
      <c r="I25" s="1058"/>
      <c r="J25" s="1058"/>
    </row>
    <row r="26" customFormat="false" ht="14.25" hidden="false" customHeight="true" outlineLevel="0" collapsed="false">
      <c r="A26" s="1068" t="n">
        <f aca="false">Billy_Sheet!G25</f>
        <v>0</v>
      </c>
      <c r="B26" s="1064"/>
      <c r="C26" s="1058"/>
      <c r="D26" s="1058"/>
      <c r="F26" s="1058"/>
      <c r="G26" s="1088" t="n">
        <v>0</v>
      </c>
      <c r="H26" s="1058"/>
      <c r="I26" s="1058"/>
      <c r="J26" s="1058" t="s">
        <v>700</v>
      </c>
      <c r="K26" s="1089" t="n">
        <f aca="false">PGL_Deliveries!C6/1000</f>
        <v>270</v>
      </c>
      <c r="L26" s="1063" t="s">
        <v>691</v>
      </c>
      <c r="M26" s="1068" t="n">
        <f aca="false">NSG_Deliveries!C6/1000</f>
        <v>50</v>
      </c>
      <c r="N26" s="1068"/>
    </row>
    <row r="27" customFormat="false" ht="8.25" hidden="false" customHeight="true" outlineLevel="0" collapsed="false">
      <c r="A27" s="1058"/>
      <c r="B27" s="1090"/>
      <c r="C27" s="1058"/>
      <c r="D27" s="1058"/>
      <c r="F27" s="1058"/>
      <c r="G27" s="1058"/>
      <c r="H27" s="1091"/>
      <c r="I27" s="1058"/>
      <c r="J27" s="1091"/>
    </row>
    <row r="28" customFormat="false" ht="12.75" hidden="false" customHeight="true" outlineLevel="0" collapsed="false">
      <c r="A28" s="1060" t="s">
        <v>701</v>
      </c>
      <c r="B28" s="1068"/>
      <c r="C28" s="1064"/>
      <c r="D28" s="1058"/>
      <c r="F28" s="1063"/>
      <c r="G28" s="1080" t="s">
        <v>702</v>
      </c>
      <c r="H28" s="34"/>
      <c r="J28" s="1058" t="s">
        <v>703</v>
      </c>
      <c r="K28" s="1071" t="n">
        <f aca="false">SUM(A42)</f>
        <v>211.163</v>
      </c>
      <c r="L28" s="1058" t="s">
        <v>704</v>
      </c>
      <c r="M28" s="1071" t="n">
        <f aca="false">SUM(J2+K17+K19+H11+H9-M26)</f>
        <v>-1.307</v>
      </c>
      <c r="N28" s="1071"/>
    </row>
    <row r="29" customFormat="false" ht="11.25" hidden="false" customHeight="false" outlineLevel="0" collapsed="false">
      <c r="A29" s="1068" t="n">
        <f aca="false">PGL_Supplies!M8/1000</f>
        <v>0</v>
      </c>
      <c r="B29" s="1068"/>
      <c r="C29" s="1058"/>
      <c r="D29" s="1092"/>
      <c r="F29" s="1093" t="n">
        <f aca="false">PGL_Requirements!A7</f>
        <v>37037</v>
      </c>
      <c r="G29" s="1068" t="n">
        <f aca="false">PGL_Requirements!H7/1000</f>
        <v>0</v>
      </c>
      <c r="H29" s="1075"/>
      <c r="J29" s="1058" t="s">
        <v>705</v>
      </c>
      <c r="K29" s="1068" t="n">
        <f aca="false">PGL_Supplies!AC8/1000+PGL_Supplies!L8/1000-PGL_Requirements!O8/1000</f>
        <v>45.658</v>
      </c>
    </row>
    <row r="30" customFormat="false" ht="10.5" hidden="false" customHeight="true" outlineLevel="0" collapsed="false">
      <c r="A30" s="1094"/>
      <c r="B30" s="1068"/>
      <c r="C30" s="1058"/>
      <c r="D30" s="1068"/>
      <c r="F30" s="1093" t="n">
        <f aca="false">PGL_Requirements!A8</f>
        <v>37038</v>
      </c>
      <c r="G30" s="1068" t="n">
        <f aca="false">PGL_Requirements!H8/1000</f>
        <v>0</v>
      </c>
    </row>
    <row r="31" customFormat="false" ht="17.25" hidden="false" customHeight="true" outlineLevel="0" collapsed="false">
      <c r="A31" s="1060" t="s">
        <v>706</v>
      </c>
      <c r="B31" s="1095"/>
      <c r="C31" s="1096"/>
      <c r="D31" s="1071"/>
      <c r="G31" s="1080" t="s">
        <v>707</v>
      </c>
      <c r="H31" s="1071"/>
      <c r="J31" s="1058" t="s">
        <v>693</v>
      </c>
      <c r="K31" s="1071" t="n">
        <f aca="false">SUM(K28+K29-K26)</f>
        <v>-13.179</v>
      </c>
    </row>
    <row r="32" customFormat="false" ht="11.25" hidden="false" customHeight="false" outlineLevel="0" collapsed="false">
      <c r="A32" s="1068" t="n">
        <f aca="false">PGL_Supplies!H8/1000</f>
        <v>1</v>
      </c>
      <c r="G32" s="1068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63" t="s">
        <v>708</v>
      </c>
      <c r="G34" s="1058" t="s">
        <v>709</v>
      </c>
    </row>
    <row r="35" customFormat="false" ht="11.25" hidden="false" customHeight="false" outlineLevel="0" collapsed="false">
      <c r="A35" s="1088" t="n">
        <v>0</v>
      </c>
      <c r="G35" s="1068" t="n">
        <f aca="false">PGL_Requirements!B8/1000</f>
        <v>0</v>
      </c>
    </row>
    <row r="36" customFormat="false" ht="11.25" hidden="false" customHeight="false" outlineLevel="0" collapsed="false">
      <c r="G36" s="1068"/>
    </row>
    <row r="37" customFormat="false" ht="11.25" hidden="false" customHeight="false" outlineLevel="0" collapsed="false">
      <c r="C37" s="1063" t="s">
        <v>710</v>
      </c>
      <c r="F37" s="1063" t="s">
        <v>711</v>
      </c>
      <c r="G37" s="1068"/>
    </row>
    <row r="38" customFormat="false" ht="11.25" hidden="false" customHeight="false" outlineLevel="0" collapsed="false">
      <c r="C38" s="1079" t="n">
        <v>370</v>
      </c>
      <c r="F38" s="1079" t="n">
        <v>753</v>
      </c>
    </row>
    <row r="39" customFormat="false" ht="11.25" hidden="false" customHeight="false" outlineLevel="0" collapsed="false">
      <c r="A39" s="1065" t="s">
        <v>712</v>
      </c>
      <c r="E39" s="1064" t="s">
        <v>713</v>
      </c>
      <c r="F39" s="1064"/>
    </row>
    <row r="40" customFormat="false" ht="11.25" hidden="false" customHeight="false" outlineLevel="0" collapsed="false">
      <c r="A40" s="1071" t="n">
        <f aca="false">SUM(A3:A35)</f>
        <v>361.163</v>
      </c>
      <c r="B40" s="1078"/>
      <c r="C40" s="1097"/>
      <c r="D40" s="1078"/>
      <c r="E40" s="1078"/>
      <c r="F40" s="1068"/>
      <c r="G40" s="1068" t="n">
        <f aca="false">SUM(G30:G35)</f>
        <v>150</v>
      </c>
      <c r="H40" s="1078"/>
      <c r="I40" s="1097"/>
    </row>
    <row r="41" customFormat="false" ht="11.25" hidden="false" customHeight="false" outlineLevel="0" collapsed="false">
      <c r="A41" s="1098" t="s">
        <v>714</v>
      </c>
      <c r="B41" s="1068"/>
      <c r="C41" s="1078"/>
      <c r="D41" s="1078"/>
      <c r="E41" s="1078"/>
      <c r="F41" s="1078"/>
      <c r="G41" s="1078"/>
      <c r="H41" s="1078"/>
      <c r="I41" s="1097"/>
    </row>
    <row r="42" customFormat="false" ht="11.25" hidden="false" customHeight="false" outlineLevel="0" collapsed="false">
      <c r="A42" s="1068" t="n">
        <f aca="false">SUM(A40-G40)</f>
        <v>211.163</v>
      </c>
      <c r="B42" s="1068"/>
      <c r="C42" s="1078"/>
      <c r="D42" s="1078"/>
      <c r="E42" s="1078"/>
      <c r="F42" s="1099"/>
      <c r="G42" s="1100" t="s">
        <v>715</v>
      </c>
      <c r="H42" s="1101"/>
      <c r="I42" s="1102"/>
      <c r="J42" s="1101"/>
      <c r="K42" s="1083"/>
    </row>
    <row r="43" customFormat="false" ht="14.25" hidden="false" customHeight="true" outlineLevel="0" collapsed="false">
      <c r="A43" s="1068"/>
      <c r="B43" s="1068"/>
      <c r="C43" s="1068"/>
      <c r="D43" s="1068"/>
      <c r="E43" s="1099"/>
      <c r="F43" s="1090" t="s">
        <v>716</v>
      </c>
      <c r="G43" s="1099" t="s">
        <v>717</v>
      </c>
      <c r="I43" s="1068"/>
    </row>
    <row r="44" customFormat="false" ht="12.75" hidden="false" customHeight="true" outlineLevel="0" collapsed="false">
      <c r="A44" s="1098" t="s">
        <v>718</v>
      </c>
      <c r="B44" s="1068" t="s">
        <v>719</v>
      </c>
      <c r="C44" s="1068" t="s">
        <v>720</v>
      </c>
      <c r="D44" s="1068" t="s">
        <v>721</v>
      </c>
      <c r="E44" s="1103"/>
      <c r="F44" s="1103" t="s">
        <v>722</v>
      </c>
      <c r="G44" s="1078" t="s">
        <v>723</v>
      </c>
      <c r="H44" s="1064" t="s">
        <v>724</v>
      </c>
      <c r="I44" s="1068"/>
      <c r="K44" s="1064"/>
    </row>
    <row r="45" customFormat="false" ht="11.25" hidden="false" customHeight="false" outlineLevel="0" collapsed="false">
      <c r="A45" s="1098" t="s">
        <v>725</v>
      </c>
      <c r="B45" s="1104" t="n">
        <v>250</v>
      </c>
      <c r="C45" s="1104" t="n">
        <v>410</v>
      </c>
      <c r="D45" s="1105" t="n">
        <f aca="false">SUM(F2+F15)/2</f>
        <v>336</v>
      </c>
      <c r="E45" s="1106"/>
      <c r="F45" s="1107" t="n">
        <v>0.067</v>
      </c>
      <c r="G45" s="1108" t="n">
        <f aca="false">(C45-D45)*F45</f>
        <v>4.958</v>
      </c>
      <c r="H45" s="1108" t="n">
        <f aca="false">(D45-B45)*F45</f>
        <v>5.762</v>
      </c>
      <c r="I45" s="1068"/>
      <c r="J45" s="1109"/>
    </row>
    <row r="46" customFormat="false" ht="11.25" hidden="false" customHeight="false" outlineLevel="0" collapsed="false">
      <c r="A46" s="1064" t="s">
        <v>726</v>
      </c>
      <c r="B46" s="1110" t="n">
        <v>797</v>
      </c>
      <c r="C46" s="1104" t="n">
        <v>797</v>
      </c>
      <c r="D46" s="1105" t="n">
        <v>797</v>
      </c>
      <c r="E46" s="1106"/>
      <c r="F46" s="1107" t="n">
        <v>0.139</v>
      </c>
      <c r="G46" s="1108" t="n">
        <f aca="false">(C46-D46)*F46</f>
        <v>0</v>
      </c>
      <c r="H46" s="1108" t="n">
        <f aca="false">(D46-B46)*F46</f>
        <v>0</v>
      </c>
      <c r="I46" s="1068"/>
    </row>
    <row r="47" customFormat="false" ht="11.25" hidden="false" customHeight="false" outlineLevel="0" collapsed="false">
      <c r="A47" s="1064" t="s">
        <v>727</v>
      </c>
      <c r="B47" s="1110" t="n">
        <v>250</v>
      </c>
      <c r="C47" s="1104" t="n">
        <v>410</v>
      </c>
      <c r="D47" s="1105" t="n">
        <f aca="false">SUM(C2+C15)/2</f>
        <v>338.5</v>
      </c>
      <c r="E47" s="1106"/>
      <c r="F47" s="1107" t="n">
        <v>0.141</v>
      </c>
      <c r="G47" s="1108" t="n">
        <f aca="false">(C47-D47)*F47</f>
        <v>10.0815</v>
      </c>
      <c r="H47" s="1108" t="n">
        <f aca="false">(D47-B47)*F47</f>
        <v>12.4785</v>
      </c>
      <c r="I47" s="1068"/>
    </row>
    <row r="48" customFormat="false" ht="11.25" hidden="false" customHeight="false" outlineLevel="0" collapsed="false">
      <c r="A48" s="1064" t="s">
        <v>728</v>
      </c>
      <c r="B48" s="1110" t="n">
        <v>285</v>
      </c>
      <c r="C48" s="1104" t="n">
        <v>750</v>
      </c>
      <c r="D48" s="1105" t="n">
        <f aca="false">SUM(C18+C38)/2</f>
        <v>366.5</v>
      </c>
      <c r="E48" s="1106"/>
      <c r="F48" s="1107" t="n">
        <v>0.161</v>
      </c>
      <c r="G48" s="1108" t="n">
        <f aca="false">(C48-D48)*F48</f>
        <v>61.7435</v>
      </c>
      <c r="H48" s="1108" t="n">
        <f aca="false">(D48-B48)*F48</f>
        <v>13.1215</v>
      </c>
    </row>
    <row r="49" customFormat="false" ht="11.25" hidden="false" customHeight="false" outlineLevel="0" collapsed="false">
      <c r="B49" s="1076"/>
      <c r="C49" s="1076"/>
      <c r="D49" s="1076"/>
      <c r="E49" s="1076"/>
      <c r="F49" s="1111" t="s">
        <v>729</v>
      </c>
      <c r="G49" s="1108" t="n">
        <f aca="false">SUM(G45:G48)</f>
        <v>76.783</v>
      </c>
      <c r="H49" s="1108" t="n">
        <f aca="false">SUM(H45:H48)</f>
        <v>31.362</v>
      </c>
    </row>
    <row r="55" customFormat="false" ht="11.25" hidden="false" customHeight="false" outlineLevel="0" collapsed="false">
      <c r="A55" s="1112"/>
      <c r="G55" s="11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37037</v>
      </c>
      <c r="B5" s="18" t="n">
        <v>56</v>
      </c>
      <c r="C5" s="19" t="n">
        <v>47</v>
      </c>
      <c r="D5" s="19" t="n">
        <v>9</v>
      </c>
      <c r="E5" s="18" t="s">
        <v>28</v>
      </c>
      <c r="F5" s="18" t="n">
        <v>153</v>
      </c>
      <c r="G5" s="18" t="n">
        <v>6560</v>
      </c>
      <c r="H5" s="18" t="n">
        <v>17</v>
      </c>
      <c r="I5" s="20" t="s">
        <v>29</v>
      </c>
      <c r="J5" s="20" t="s">
        <v>0</v>
      </c>
      <c r="K5" s="18" t="n">
        <v>5</v>
      </c>
      <c r="L5" s="18" t="n">
        <v>1</v>
      </c>
      <c r="N5" s="13" t="str">
        <f aca="false">I5&amp;" "&amp;I5</f>
        <v>  CLOUDY MOST OF THE TIME WITH NOTHING MORE THAN A COUPLE OF SHOWERS.   CLOUDY MOST OF THE TIME WITH NOTHING MORE THAN A COUPLE OF SHOWERS.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37038</v>
      </c>
      <c r="B6" s="18" t="n">
        <v>65</v>
      </c>
      <c r="C6" s="19" t="n">
        <v>48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0</v>
      </c>
      <c r="K6" s="18" t="n">
        <v>5</v>
      </c>
      <c r="L6" s="18" t="s">
        <v>32</v>
      </c>
      <c r="N6" s="13" t="str">
        <f aca="false">I6&amp;" "&amp;J6</f>
        <v>  IT MAY SHOWER WITH PERIODS OF CLOUDS AND SUNSHINE.  </v>
      </c>
      <c r="AE6" s="13" t="n">
        <v>1</v>
      </c>
      <c r="AH6" s="13" t="s">
        <v>33</v>
      </c>
    </row>
    <row r="7" customFormat="false" ht="16.5" hidden="false" customHeight="true" outlineLevel="0" collapsed="false">
      <c r="A7" s="17" t="n">
        <f aca="false">A6+1</f>
        <v>37039</v>
      </c>
      <c r="B7" s="18" t="n">
        <v>69</v>
      </c>
      <c r="C7" s="19" t="n">
        <v>52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34</v>
      </c>
      <c r="J7" s="20" t="s">
        <v>0</v>
      </c>
      <c r="K7" s="18" t="n">
        <v>5</v>
      </c>
      <c r="L7" s="18" t="s">
        <v>16</v>
      </c>
      <c r="N7" s="13" t="str">
        <f aca="false">I7&amp;" "&amp;J7</f>
        <v>  SUNSHINE AND SOME CLOUDS.  </v>
      </c>
    </row>
    <row r="8" customFormat="false" ht="16.5" hidden="false" customHeight="true" outlineLevel="0" collapsed="false">
      <c r="A8" s="17" t="n">
        <f aca="false">A7+1</f>
        <v>37040</v>
      </c>
      <c r="B8" s="18" t="n">
        <v>69</v>
      </c>
      <c r="C8" s="19" t="n">
        <v>53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35</v>
      </c>
      <c r="J8" s="20" t="s">
        <v>0</v>
      </c>
      <c r="K8" s="18" t="n">
        <v>3</v>
      </c>
      <c r="L8" s="18"/>
      <c r="N8" s="13" t="str">
        <f aca="false">I8&amp;" "&amp;J8</f>
        <v>  A GOOD DEAL OF SUN.  </v>
      </c>
    </row>
    <row r="9" customFormat="false" ht="16.5" hidden="false" customHeight="true" outlineLevel="0" collapsed="false">
      <c r="A9" s="17" t="n">
        <f aca="false">A8+1</f>
        <v>37041</v>
      </c>
      <c r="B9" s="18" t="n">
        <v>70</v>
      </c>
      <c r="C9" s="19" t="n">
        <v>55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35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  A GOOD DEAL OF SUN.  </v>
      </c>
    </row>
    <row r="10" customFormat="false" ht="16.5" hidden="false" customHeight="true" outlineLevel="0" collapsed="false">
      <c r="A10" s="17" t="n">
        <f aca="false">A9+1</f>
        <v>37042</v>
      </c>
      <c r="B10" s="18" t="n">
        <v>70</v>
      </c>
      <c r="C10" s="19" t="n">
        <v>55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35</v>
      </c>
      <c r="J10" s="20" t="s">
        <v>0</v>
      </c>
      <c r="K10" s="18" t="n">
        <v>1</v>
      </c>
      <c r="L10" s="18" t="s">
        <v>36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113" t="s">
        <v>700</v>
      </c>
      <c r="B2" s="1114" t="n">
        <f aca="false">PGL_Deliveries!U5/1000</f>
        <v>4.287</v>
      </c>
      <c r="C2" s="74"/>
      <c r="D2" s="1115" t="s">
        <v>685</v>
      </c>
      <c r="E2" s="1116" t="n">
        <f aca="false">Weather_Input!A5</f>
        <v>37037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83" t="s">
        <v>730</v>
      </c>
      <c r="B3" s="1117" t="n">
        <f aca="false">PGL_Supplies!J7/1000</f>
        <v>0</v>
      </c>
      <c r="C3" s="1118"/>
      <c r="D3" s="1119" t="s">
        <v>293</v>
      </c>
      <c r="E3" s="1120" t="n">
        <f aca="false">PGL_Deliveries!T5/1000</f>
        <v>0</v>
      </c>
      <c r="F3" s="112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1001"/>
      <c r="B4" s="1122"/>
      <c r="C4" s="371"/>
      <c r="D4" s="1123"/>
      <c r="E4" s="1032"/>
      <c r="F4" s="112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125" t="s">
        <v>731</v>
      </c>
      <c r="B5" s="1024" t="n">
        <f aca="false">PGL_Deliveries!D5/1000</f>
        <v>0</v>
      </c>
      <c r="C5" s="73"/>
      <c r="D5" s="76" t="s">
        <v>732</v>
      </c>
      <c r="E5" s="1024" t="n">
        <f aca="false">PGL_Deliveries!O5/1000</f>
        <v>0</v>
      </c>
      <c r="F5" s="112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127" t="s">
        <v>529</v>
      </c>
      <c r="B6" s="1024" t="n">
        <f aca="false">PGL_Deliveries!I5/1000</f>
        <v>0</v>
      </c>
      <c r="C6" s="1128"/>
      <c r="D6" s="76" t="s">
        <v>733</v>
      </c>
      <c r="E6" s="1024" t="n">
        <f aca="false">PGL_Deliveries!P5/1000</f>
        <v>0</v>
      </c>
      <c r="F6" s="112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129" t="s">
        <v>734</v>
      </c>
      <c r="B7" s="1130" t="n">
        <f aca="false">SUM(B5:B6)</f>
        <v>0</v>
      </c>
      <c r="C7" s="1128"/>
      <c r="D7" s="76" t="s">
        <v>478</v>
      </c>
      <c r="E7" s="1024" t="n">
        <f aca="false">PGL_Deliveries!E5/1000</f>
        <v>0</v>
      </c>
      <c r="F7" s="112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131" t="s">
        <v>694</v>
      </c>
      <c r="B8" s="1024" t="n">
        <f aca="false">PGL_Deliveries!V5/1000</f>
        <v>151.897</v>
      </c>
      <c r="C8" s="1132"/>
      <c r="D8" s="76" t="s">
        <v>735</v>
      </c>
      <c r="E8" s="1024" t="n">
        <f aca="false">PGL_Deliveries!N5/1000</f>
        <v>0</v>
      </c>
      <c r="F8" s="112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1018" t="s">
        <v>83</v>
      </c>
      <c r="B9" s="1024" t="n">
        <f aca="false">PGL_Deliveries!W5/1000</f>
        <v>0</v>
      </c>
      <c r="C9" s="73"/>
      <c r="D9" s="76" t="s">
        <v>481</v>
      </c>
      <c r="E9" s="1024" t="n">
        <f aca="false">PGL_Deliveries!Q5/1000</f>
        <v>0</v>
      </c>
      <c r="F9" s="112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1018" t="s">
        <v>450</v>
      </c>
      <c r="B10" s="1024" t="n">
        <f aca="false">PGL_Deliveries!X5/1000</f>
        <v>0</v>
      </c>
      <c r="C10" s="73"/>
      <c r="D10" s="76" t="s">
        <v>482</v>
      </c>
      <c r="E10" s="1024" t="n">
        <f aca="false">PGL_Deliveries!S5/1000</f>
        <v>4.287</v>
      </c>
      <c r="F10" s="112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1043" t="s">
        <v>92</v>
      </c>
      <c r="B11" s="1024" t="n">
        <f aca="false">(PGL_Deliveries!AJ5+PGL_Deliveries!AK5)/1000</f>
        <v>19.787</v>
      </c>
      <c r="C11" s="73"/>
      <c r="D11" s="76" t="s">
        <v>736</v>
      </c>
      <c r="E11" s="1024" t="n">
        <f aca="false">PGL_Deliveries!R5/1000</f>
        <v>0</v>
      </c>
      <c r="F11" s="112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1018" t="s">
        <v>737</v>
      </c>
      <c r="B12" s="1024" t="n">
        <f aca="false">PGL_Supplies!K7/1000</f>
        <v>0</v>
      </c>
      <c r="C12" s="73"/>
      <c r="D12" s="76" t="s">
        <v>485</v>
      </c>
      <c r="E12" s="1024" t="n">
        <f aca="false">PGL_Deliveries!G5/1000</f>
        <v>0</v>
      </c>
      <c r="F12" s="112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1018" t="s">
        <v>738</v>
      </c>
      <c r="B13" s="1024" t="n">
        <f aca="false">PGL_Deliveries!Y5/1000+PGL_Deliveries!Z5/1000+PGL_Deliveries!AA5/1000-PGL_Deliveries!BE5/1000-PGL_Deliveries!BF5/1000</f>
        <v>157.243</v>
      </c>
      <c r="C13" s="73"/>
      <c r="D13" s="76" t="s">
        <v>486</v>
      </c>
      <c r="E13" s="1024" t="n">
        <f aca="false">PGL_Deliveries!F5/1000</f>
        <v>0</v>
      </c>
      <c r="F13" s="112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1018" t="s">
        <v>452</v>
      </c>
      <c r="B14" s="1024" t="n">
        <f aca="false">PGL_Deliveries!AD5/1000</f>
        <v>0</v>
      </c>
      <c r="C14" s="73"/>
      <c r="D14" s="76" t="s">
        <v>488</v>
      </c>
      <c r="E14" s="1024" t="n">
        <f aca="false">PGL_Deliveries!H5/1000</f>
        <v>0</v>
      </c>
      <c r="F14" s="1126"/>
      <c r="G14" s="102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1018" t="s">
        <v>65</v>
      </c>
      <c r="B15" s="1024" t="n">
        <f aca="false">PGL_Deliveries!AH5/1000+PGL_Deliveries!AX5/1000+PGL_Deliveries!AT5/1000-PGL_Deliveries!AS5/1000-PGL_Deliveries!AU5/1000+PGL_Deliveries!AE5/1000+PGL_Deliveries!AF5/1000-PGL_Deliveries!AV5/1000</f>
        <v>-147.417</v>
      </c>
      <c r="C15" s="73"/>
      <c r="D15" s="76" t="s">
        <v>490</v>
      </c>
      <c r="E15" s="1024" t="n">
        <f aca="false">PGL_Deliveries!K5/1000</f>
        <v>0</v>
      </c>
      <c r="F15" s="112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1018" t="s">
        <v>739</v>
      </c>
      <c r="B16" s="74"/>
      <c r="C16" s="1133" t="n">
        <f aca="false">PGL_Deliveries!AO5/1000</f>
        <v>21.871</v>
      </c>
      <c r="D16" s="76" t="s">
        <v>494</v>
      </c>
      <c r="E16" s="1024" t="n">
        <f aca="false">PGL_Deliveries!L5/1000</f>
        <v>0</v>
      </c>
      <c r="F16" s="112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1030" t="s">
        <v>454</v>
      </c>
      <c r="B17" s="1024" t="n">
        <f aca="false">PGL_Deliveries!AP5/1000</f>
        <v>0</v>
      </c>
      <c r="C17" s="1128" t="s">
        <v>0</v>
      </c>
      <c r="D17" s="1134" t="s">
        <v>492</v>
      </c>
      <c r="E17" s="1031" t="n">
        <f aca="false">PGL_Deliveries!M5/1000</f>
        <v>0</v>
      </c>
      <c r="F17" s="112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135" t="s">
        <v>740</v>
      </c>
      <c r="B18" s="1054" t="n">
        <f aca="false">SUM(B8:B17)-C16</f>
        <v>159.639</v>
      </c>
      <c r="C18" s="1128"/>
      <c r="D18" s="1136" t="s">
        <v>741</v>
      </c>
      <c r="E18" s="1137" t="n">
        <f aca="false">SUM(E5:E17)</f>
        <v>4.287</v>
      </c>
      <c r="F18" s="112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131" t="s">
        <v>655</v>
      </c>
      <c r="B19" s="1024" t="n">
        <f aca="false">PGL_Supplies!Y7/1000</f>
        <v>144.116</v>
      </c>
      <c r="C19" s="1132"/>
      <c r="D19" s="76" t="s">
        <v>632</v>
      </c>
      <c r="E19" s="1024" t="n">
        <f aca="false">PGL_Deliveries!AI5/1000</f>
        <v>0</v>
      </c>
      <c r="F19" s="112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1018" t="s">
        <v>278</v>
      </c>
      <c r="B20" s="1024" t="n">
        <f aca="false">PGL_Supplies!X7/1000</f>
        <v>0.3</v>
      </c>
      <c r="C20" s="73"/>
      <c r="D20" s="76" t="s">
        <v>458</v>
      </c>
      <c r="E20" s="1024" t="n">
        <f aca="false">PGL_Deliveries!AW5/1000+B41</f>
        <v>2.22435</v>
      </c>
      <c r="F20" s="112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18" t="s">
        <v>659</v>
      </c>
      <c r="C21" s="1025" t="n">
        <f aca="false">PGL_Requirements!J7/1000</f>
        <v>0</v>
      </c>
      <c r="D21" s="1138" t="s">
        <v>742</v>
      </c>
      <c r="E21" s="1139" t="n">
        <f aca="false">SUM(E18:E20)</f>
        <v>6.51135</v>
      </c>
      <c r="F21" s="114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141" t="s">
        <v>729</v>
      </c>
      <c r="B22" s="1142" t="n">
        <f aca="false">+B19+B20-C21</f>
        <v>144.416</v>
      </c>
      <c r="C22" s="1143"/>
      <c r="D22" s="1144" t="s">
        <v>743</v>
      </c>
      <c r="E22" s="1024" t="n">
        <f aca="false">NSG_Requirements!$L$7/1000</f>
        <v>0</v>
      </c>
      <c r="F22" s="112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1018" t="s">
        <v>498</v>
      </c>
      <c r="B23" s="1024" t="n">
        <f aca="false">PGL_Supplies!Z7/1000</f>
        <v>40.2</v>
      </c>
      <c r="C23" s="73"/>
      <c r="D23" s="1144" t="s">
        <v>744</v>
      </c>
      <c r="E23" s="74"/>
      <c r="F23" s="102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1043" t="s">
        <v>745</v>
      </c>
      <c r="B24" s="1145"/>
      <c r="C24" s="1133" t="n">
        <f aca="false">PGL_Requirements!U7/1000</f>
        <v>40.2</v>
      </c>
      <c r="D24" s="74" t="s">
        <v>746</v>
      </c>
      <c r="E24" s="74"/>
      <c r="F24" s="102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43" t="s">
        <v>747</v>
      </c>
      <c r="B25" s="1024" t="n">
        <f aca="false">PGL_Supplies!R7/1000</f>
        <v>0</v>
      </c>
      <c r="C25" s="73"/>
      <c r="D25" s="1144" t="s">
        <v>748</v>
      </c>
      <c r="E25" s="74"/>
      <c r="F25" s="102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141" t="s">
        <v>495</v>
      </c>
      <c r="B26" s="83" t="s">
        <v>0</v>
      </c>
      <c r="C26" s="1146" t="s">
        <v>0</v>
      </c>
      <c r="D26" s="74" t="s">
        <v>749</v>
      </c>
      <c r="E26" s="74"/>
      <c r="F26" s="102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1018" t="s">
        <v>750</v>
      </c>
      <c r="B27" s="1024" t="n">
        <f aca="false">PGL_Supplies!AA7/1000</f>
        <v>0</v>
      </c>
      <c r="C27" s="73"/>
      <c r="D27" s="74" t="s">
        <v>461</v>
      </c>
      <c r="E27" s="74" t="s">
        <v>0</v>
      </c>
      <c r="F27" s="102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1018" t="s">
        <v>751</v>
      </c>
      <c r="B28" s="1024" t="n">
        <v>0</v>
      </c>
      <c r="C28" s="73"/>
      <c r="D28" s="1144" t="s">
        <v>752</v>
      </c>
      <c r="E28" s="74"/>
      <c r="F28" s="102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41" t="s">
        <v>753</v>
      </c>
      <c r="B29" s="83"/>
      <c r="C29" s="1146" t="n">
        <f aca="false">PGL_Requirements!J12/1000</f>
        <v>0</v>
      </c>
      <c r="D29" s="1144" t="s">
        <v>466</v>
      </c>
      <c r="E29" s="1147" t="s">
        <v>0</v>
      </c>
      <c r="F29" s="102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1018" t="s">
        <v>754</v>
      </c>
      <c r="B30" s="1148" t="n">
        <f aca="false">PGL_Supplies!AD7/1000</f>
        <v>4</v>
      </c>
      <c r="C30" s="73"/>
      <c r="D30" s="1144" t="s">
        <v>755</v>
      </c>
      <c r="E30" s="74" t="s">
        <v>0</v>
      </c>
      <c r="F30" s="102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1018" t="s">
        <v>756</v>
      </c>
      <c r="B31" s="1024" t="n">
        <f aca="false">PGL_Supplies!AE7/1000</f>
        <v>0</v>
      </c>
      <c r="C31" s="73"/>
      <c r="D31" s="1144" t="s">
        <v>757</v>
      </c>
      <c r="E31" s="74" t="s">
        <v>0</v>
      </c>
      <c r="F31" s="102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1043" t="s">
        <v>758</v>
      </c>
      <c r="B32" s="74"/>
      <c r="C32" s="1133" t="n">
        <v>0</v>
      </c>
      <c r="D32" s="1149" t="s">
        <v>759</v>
      </c>
      <c r="E32" s="1024" t="n">
        <f aca="false">PGL_Deliveries!AR5/1000</f>
        <v>0</v>
      </c>
      <c r="F32" s="112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1043" t="s">
        <v>760</v>
      </c>
      <c r="B33" s="1024" t="n">
        <f aca="false">PGL_Supplies!Q7/1000</f>
        <v>0</v>
      </c>
      <c r="C33" s="73"/>
      <c r="D33" s="1144" t="s">
        <v>761</v>
      </c>
      <c r="E33" s="1024" t="n">
        <f aca="false">PGL_Supplies!M7/1000</f>
        <v>0</v>
      </c>
      <c r="F33" s="112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1018" t="s">
        <v>762</v>
      </c>
      <c r="B34" s="1150" t="n">
        <f aca="false">(PGL_Deliveries!AB5+PGL_Deliveries!AC5+PGL_Deliveries!AD5)/1000</f>
        <v>0</v>
      </c>
      <c r="C34" s="73"/>
      <c r="D34" s="74" t="s">
        <v>352</v>
      </c>
      <c r="E34" s="1024" t="n">
        <f aca="false">PGL_Supplies!AC7/1000</f>
        <v>45.658</v>
      </c>
      <c r="F34" s="112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18" t="s">
        <v>763</v>
      </c>
      <c r="B35" s="74"/>
      <c r="C35" s="73" t="n">
        <f aca="false">PGL_Deliveries!AC5/1000</f>
        <v>0</v>
      </c>
      <c r="D35" s="74" t="s">
        <v>764</v>
      </c>
      <c r="E35" s="1024" t="n">
        <v>0</v>
      </c>
      <c r="F35" s="112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141" t="s">
        <v>765</v>
      </c>
      <c r="B36" s="83"/>
      <c r="C36" s="1146" t="n">
        <f aca="false">PGL_Deliveries!AB5/1000</f>
        <v>0</v>
      </c>
      <c r="D36" s="1149" t="s">
        <v>766</v>
      </c>
      <c r="E36" s="1024" t="n">
        <f aca="false">PGL_Supplies!N7/1000</f>
        <v>0</v>
      </c>
      <c r="F36" s="112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1043" t="s">
        <v>767</v>
      </c>
      <c r="B37" s="1024" t="s">
        <v>0</v>
      </c>
      <c r="C37" s="1133" t="n">
        <f aca="false">PGL_Requirements!P7/1000</f>
        <v>150</v>
      </c>
      <c r="D37" s="1144" t="s">
        <v>768</v>
      </c>
      <c r="E37" s="1024" t="n">
        <f aca="false">PGL_Supplies!O7/1000</f>
        <v>0</v>
      </c>
      <c r="F37" s="112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43" t="s">
        <v>769</v>
      </c>
      <c r="B38" s="1024" t="n">
        <f aca="false">PGL_Supplies!M7/1000</f>
        <v>0</v>
      </c>
      <c r="C38" s="73"/>
      <c r="F38" s="112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1018" t="s">
        <v>770</v>
      </c>
      <c r="B39" s="74"/>
      <c r="C39" s="1133" t="n">
        <f aca="false">PGL_Deliveries!AS5/1000</f>
        <v>0</v>
      </c>
      <c r="D39" s="1151" t="s">
        <v>382</v>
      </c>
      <c r="E39" s="1139" t="n">
        <f aca="false">SUM(E22:E37)-SUM(F23:F38)-E33</f>
        <v>45.658</v>
      </c>
      <c r="F39" s="112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1018" t="s">
        <v>479</v>
      </c>
      <c r="B40" s="1024" t="n">
        <f aca="false">PGL_Deliveries!AT5/1000</f>
        <v>1.463</v>
      </c>
      <c r="C40" s="73"/>
      <c r="D40" s="1152" t="s">
        <v>771</v>
      </c>
      <c r="E40" s="1120"/>
      <c r="F40" s="102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1018" t="s">
        <v>339</v>
      </c>
      <c r="B41" s="1024" t="n">
        <f aca="false">PGL_Deliveries!AG5/1000</f>
        <v>0</v>
      </c>
      <c r="C41" s="73"/>
      <c r="D41" s="1144" t="s">
        <v>268</v>
      </c>
      <c r="E41" s="1153" t="n">
        <f aca="false">PGL_Supplies!AB7/1000</f>
        <v>197.547</v>
      </c>
      <c r="F41" s="112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1043" t="s">
        <v>772</v>
      </c>
      <c r="B42" s="1024" t="n">
        <f aca="false">PGL_Deliveries!AF5/1000</f>
        <v>0</v>
      </c>
      <c r="C42" s="73"/>
      <c r="D42" s="74" t="s">
        <v>467</v>
      </c>
      <c r="E42" s="1153" t="n">
        <f aca="false">PGL_Supplies!W7/1000</f>
        <v>0</v>
      </c>
      <c r="F42" s="112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1018" t="s">
        <v>773</v>
      </c>
      <c r="B43" s="1024" t="n">
        <f aca="false">PGL_Deliveries!AW5/1000</f>
        <v>2.22435</v>
      </c>
      <c r="C43" s="73"/>
      <c r="D43" s="74" t="s">
        <v>650</v>
      </c>
      <c r="E43" s="1024"/>
      <c r="F43" s="102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1030" t="s">
        <v>774</v>
      </c>
      <c r="B44" s="1031" t="s">
        <v>0</v>
      </c>
      <c r="C44" s="1133" t="n">
        <f aca="false">PGL_Requirements!R7/1000</f>
        <v>0.68</v>
      </c>
      <c r="D44" s="74" t="s">
        <v>775</v>
      </c>
      <c r="E44" s="1024" t="n">
        <f aca="false">NSG_Requirements!$AB$7+NSG_Requirements!$AC$7+NSG_Requirements!$AD$7+NSG_Requirements!$AE$7/1000+NSG_Requirements!K7/1000</f>
        <v>0</v>
      </c>
      <c r="F44" s="102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131" t="s">
        <v>776</v>
      </c>
      <c r="B45" s="74" t="n">
        <f aca="false">Weather_Input!B5</f>
        <v>56</v>
      </c>
      <c r="C45" s="1118"/>
      <c r="D45" s="74" t="s">
        <v>370</v>
      </c>
      <c r="E45" s="1153" t="n">
        <f aca="false">PGL_Supplies!T7/1000</f>
        <v>7</v>
      </c>
      <c r="F45" s="1126"/>
    </row>
    <row r="46" customFormat="false" ht="15" hidden="false" customHeight="false" outlineLevel="0" collapsed="false">
      <c r="A46" s="1018" t="s">
        <v>777</v>
      </c>
      <c r="B46" s="1154" t="n">
        <f aca="false">Weather_Input!C5</f>
        <v>47</v>
      </c>
      <c r="C46" s="41"/>
      <c r="D46" s="30" t="s">
        <v>391</v>
      </c>
      <c r="E46" s="74"/>
      <c r="F46" s="1025" t="n">
        <f aca="false">PGL_Deliveries!BE5/1000</f>
        <v>17.908</v>
      </c>
    </row>
    <row r="47" customFormat="false" ht="15" hidden="false" customHeight="false" outlineLevel="0" collapsed="false">
      <c r="A47" s="1043" t="s">
        <v>778</v>
      </c>
      <c r="B47" s="74" t="str">
        <f aca="false">Weather_Input!E5</f>
        <v>N/A</v>
      </c>
      <c r="C47" s="41"/>
      <c r="D47" s="1155" t="s">
        <v>779</v>
      </c>
      <c r="E47" s="83"/>
      <c r="F47" s="1025" t="n">
        <f aca="false">PGL_Deliveries!BF5/1000</f>
        <v>0</v>
      </c>
    </row>
    <row r="48" customFormat="false" ht="15" hidden="false" customHeight="false" outlineLevel="0" collapsed="false">
      <c r="A48" s="1018" t="s">
        <v>780</v>
      </c>
      <c r="B48" s="1156" t="n">
        <f aca="false">Weather_Input!D5</f>
        <v>9</v>
      </c>
      <c r="C48" s="41"/>
      <c r="D48" s="1144" t="s">
        <v>519</v>
      </c>
      <c r="E48" s="1024" t="n">
        <f aca="false">PGL_Deliveries!AI5/1000</f>
        <v>0</v>
      </c>
      <c r="F48" s="429"/>
    </row>
    <row r="49" customFormat="false" ht="15" hidden="false" customHeight="false" outlineLevel="0" collapsed="false">
      <c r="A49" s="1018" t="s">
        <v>781</v>
      </c>
      <c r="B49" s="1024" t="n">
        <f aca="false">PGL_Deliveries!AM5/1000</f>
        <v>1.015</v>
      </c>
      <c r="C49" s="41"/>
      <c r="D49" s="74" t="s">
        <v>782</v>
      </c>
      <c r="E49" s="1024" t="n">
        <f aca="false">PGL_Deliveries!AJ5/1000</f>
        <v>19.787</v>
      </c>
      <c r="F49" s="429"/>
    </row>
    <row r="50" customFormat="false" ht="15.75" hidden="false" customHeight="false" outlineLevel="2" collapsed="false">
      <c r="A50" s="1001" t="s">
        <v>783</v>
      </c>
      <c r="B50" s="1122"/>
      <c r="C50" s="371"/>
      <c r="D50" s="1032" t="s">
        <v>784</v>
      </c>
      <c r="E50" s="1031" t="n">
        <f aca="false">PGL_Deliveries!AK5/1000</f>
        <v>0</v>
      </c>
      <c r="F50" s="1051"/>
    </row>
    <row r="51" customFormat="false" ht="15" hidden="false" customHeight="false" outlineLevel="2" collapsed="false">
      <c r="A51" s="1157" t="s">
        <v>785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15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9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58" t="s">
        <v>786</v>
      </c>
      <c r="B3" s="1159" t="n">
        <f aca="false">NSG_Deliveries!H5/1000</f>
        <v>0</v>
      </c>
      <c r="C3" s="511"/>
      <c r="D3" s="1160" t="s">
        <v>685</v>
      </c>
      <c r="E3" s="1161" t="n">
        <f aca="false">Weather_Input!A5</f>
        <v>37037</v>
      </c>
      <c r="F3" s="511"/>
      <c r="G3" s="0"/>
      <c r="J3" s="0"/>
      <c r="K3" s="0"/>
    </row>
    <row r="4" customFormat="false" ht="15.75" hidden="false" customHeight="false" outlineLevel="0" collapsed="false">
      <c r="A4" s="261"/>
      <c r="B4" s="1162"/>
      <c r="C4" s="1163"/>
      <c r="D4" s="41"/>
      <c r="E4" s="41"/>
      <c r="F4" s="1164"/>
      <c r="G4" s="0"/>
      <c r="J4" s="0"/>
      <c r="K4" s="0"/>
    </row>
    <row r="5" customFormat="false" ht="15" hidden="false" customHeight="false" outlineLevel="0" collapsed="false">
      <c r="A5" s="1165" t="s">
        <v>447</v>
      </c>
      <c r="B5" s="1166" t="n">
        <f aca="false">NSG_Deliveries!E5/1000</f>
        <v>0</v>
      </c>
      <c r="C5" s="1167"/>
      <c r="D5" s="1168" t="s">
        <v>695</v>
      </c>
      <c r="E5" s="1169" t="n">
        <f aca="false">NSG_Deliveries!D5/1000</f>
        <v>0</v>
      </c>
      <c r="F5" s="1170"/>
      <c r="G5" s="0"/>
      <c r="J5" s="0"/>
      <c r="K5" s="0"/>
    </row>
    <row r="6" customFormat="false" ht="15" hidden="false" customHeight="true" outlineLevel="0" collapsed="false">
      <c r="A6" s="261"/>
      <c r="B6" s="1162"/>
      <c r="C6" s="1163"/>
      <c r="D6" s="41"/>
      <c r="E6" s="41"/>
      <c r="F6" s="1171"/>
      <c r="G6" s="0"/>
    </row>
    <row r="7" customFormat="false" ht="15" hidden="false" customHeight="true" outlineLevel="0" collapsed="false">
      <c r="A7" s="1165" t="s">
        <v>787</v>
      </c>
      <c r="B7" s="1169" t="n">
        <f aca="false">NSG_Deliveries!G5/1000</f>
        <v>0</v>
      </c>
      <c r="C7" s="1172"/>
      <c r="D7" s="1168" t="s">
        <v>788</v>
      </c>
      <c r="E7" s="1169" t="n">
        <f aca="false">NSG_Supplies!U7/1000</f>
        <v>0</v>
      </c>
      <c r="F7" s="1173"/>
      <c r="G7" s="0"/>
    </row>
    <row r="8" customFormat="false" ht="15" hidden="false" customHeight="true" outlineLevel="0" collapsed="false">
      <c r="A8" s="1174" t="s">
        <v>382</v>
      </c>
      <c r="B8" s="1169" t="n">
        <f aca="false">B5+B7</f>
        <v>0</v>
      </c>
      <c r="C8" s="429"/>
      <c r="D8" s="1175" t="s">
        <v>789</v>
      </c>
      <c r="E8" s="1176" t="n">
        <f aca="false">NSG_Deliveries!F5/1000</f>
        <v>0</v>
      </c>
      <c r="F8" s="272"/>
      <c r="G8" s="0"/>
    </row>
    <row r="9" customFormat="false" ht="15" hidden="false" customHeight="true" outlineLevel="0" collapsed="false">
      <c r="A9" s="1177" t="s">
        <v>637</v>
      </c>
      <c r="B9" s="1178" t="s">
        <v>0</v>
      </c>
      <c r="C9" s="1179" t="n">
        <f aca="false">NSG_Requirements!L7/1000</f>
        <v>0</v>
      </c>
      <c r="D9" s="29" t="s">
        <v>295</v>
      </c>
      <c r="E9" s="1180" t="s">
        <v>0</v>
      </c>
      <c r="F9" s="1181" t="n">
        <f aca="false">NSG_Deliveries!M5/1000</f>
        <v>11.661</v>
      </c>
      <c r="G9" s="40"/>
    </row>
    <row r="10" customFormat="false" ht="15" hidden="false" customHeight="true" outlineLevel="0" collapsed="false">
      <c r="A10" s="1182" t="s">
        <v>790</v>
      </c>
      <c r="B10" s="1183" t="n">
        <f aca="false">NSG_Supplies!H7/1000</f>
        <v>0</v>
      </c>
      <c r="C10" s="1184"/>
      <c r="D10" s="1185" t="s">
        <v>791</v>
      </c>
      <c r="E10" s="1186" t="n">
        <f aca="false">NSG_Deliveries!N5/1000</f>
        <v>0</v>
      </c>
      <c r="F10" s="1187"/>
      <c r="G10" s="0"/>
    </row>
    <row r="11" customFormat="false" ht="15" hidden="false" customHeight="true" outlineLevel="0" collapsed="false">
      <c r="A11" s="1188" t="s">
        <v>792</v>
      </c>
      <c r="B11" s="1189" t="s">
        <v>0</v>
      </c>
      <c r="C11" s="1190"/>
      <c r="D11" s="1030" t="s">
        <v>793</v>
      </c>
      <c r="E11" s="1191" t="n">
        <f aca="false">NSG_Supplies!Q7/1000</f>
        <v>20</v>
      </c>
      <c r="F11" s="1192"/>
      <c r="G11" s="0"/>
    </row>
    <row r="12" customFormat="false" ht="15" hidden="false" customHeight="true" outlineLevel="0" collapsed="false">
      <c r="A12" s="1182" t="s">
        <v>794</v>
      </c>
      <c r="B12" s="1183" t="n">
        <v>0</v>
      </c>
      <c r="C12" s="1163"/>
      <c r="D12" s="0" t="s">
        <v>795</v>
      </c>
      <c r="E12" s="1162"/>
      <c r="F12" s="119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82" t="s">
        <v>796</v>
      </c>
      <c r="B13" s="1183" t="n">
        <f aca="false">NSG_Supplies!R7/1000</f>
        <v>29.943</v>
      </c>
      <c r="C13" s="1163"/>
      <c r="D13" s="1194" t="s">
        <v>797</v>
      </c>
      <c r="E13" s="572"/>
      <c r="F13" s="1195"/>
      <c r="G13" s="0"/>
    </row>
    <row r="14" customFormat="false" ht="15" hidden="false" customHeight="true" outlineLevel="0" collapsed="false">
      <c r="A14" s="1182" t="s">
        <v>463</v>
      </c>
      <c r="B14" s="1183" t="n">
        <f aca="false">NSG_Supplies!C7/1000</f>
        <v>0</v>
      </c>
      <c r="C14" s="1163"/>
      <c r="D14" s="1196" t="s">
        <v>798</v>
      </c>
      <c r="E14" s="1197" t="s">
        <v>0</v>
      </c>
      <c r="F14" s="1198" t="n">
        <f aca="false">NSG_Requirements!M7/1000</f>
        <v>0</v>
      </c>
    </row>
    <row r="15" customFormat="false" ht="15" hidden="false" customHeight="true" outlineLevel="0" collapsed="false">
      <c r="A15" s="1199" t="s">
        <v>799</v>
      </c>
      <c r="B15" s="1196"/>
      <c r="C15" s="1179" t="n">
        <f aca="false">NSG_Deliveries!K5/1000</f>
        <v>1.397</v>
      </c>
      <c r="D15" s="1200" t="s">
        <v>800</v>
      </c>
      <c r="E15" s="1201" t="n">
        <f aca="false">+NSG_Supplies!O7/1000</f>
        <v>0</v>
      </c>
      <c r="F15" s="1202"/>
    </row>
    <row r="16" customFormat="false" ht="15" hidden="false" customHeight="true" outlineLevel="0" collapsed="false">
      <c r="A16" s="1199" t="s">
        <v>801</v>
      </c>
      <c r="B16" s="1186" t="n">
        <f aca="false">NSG_Deliveries!L5/1000</f>
        <v>0</v>
      </c>
      <c r="C16" s="1203"/>
      <c r="D16" s="1204" t="s">
        <v>517</v>
      </c>
      <c r="E16" s="1205" t="s">
        <v>0</v>
      </c>
      <c r="F16" s="1198" t="n">
        <f aca="false">NSG_Requirements!X7/1000</f>
        <v>0</v>
      </c>
    </row>
    <row r="17" customFormat="false" ht="15" hidden="false" customHeight="true" outlineLevel="0" collapsed="false">
      <c r="A17" s="1182" t="s">
        <v>802</v>
      </c>
      <c r="B17" s="1196"/>
      <c r="C17" s="1179" t="n">
        <f aca="false">NSG_Requirements!P7/1000</f>
        <v>0</v>
      </c>
      <c r="D17" s="1206" t="s">
        <v>803</v>
      </c>
      <c r="E17" s="468"/>
      <c r="F17" s="504"/>
    </row>
    <row r="18" customFormat="false" ht="15" hidden="false" customHeight="true" outlineLevel="0" collapsed="false">
      <c r="A18" s="1182" t="s">
        <v>804</v>
      </c>
      <c r="B18" s="1183" t="n">
        <f aca="false">NSG_Supplies!I7/1000</f>
        <v>0</v>
      </c>
      <c r="C18" s="1163"/>
      <c r="D18" s="73" t="s">
        <v>805</v>
      </c>
      <c r="E18" s="41"/>
      <c r="F18" s="1198" t="n">
        <f aca="false">NSG_Requirements!N7/1000</f>
        <v>0</v>
      </c>
    </row>
    <row r="19" customFormat="false" ht="15" hidden="false" customHeight="true" outlineLevel="0" collapsed="false">
      <c r="A19" s="1199" t="s">
        <v>806</v>
      </c>
      <c r="B19" s="1186" t="n">
        <f aca="false">PGL_Requirements!Y7/1000+PGL_Requirements!AB7/1000</f>
        <v>0</v>
      </c>
      <c r="C19" s="1207"/>
      <c r="D19" s="1208" t="s">
        <v>807</v>
      </c>
      <c r="E19" s="41"/>
      <c r="F19" s="1198" t="n">
        <f aca="false">NSG_Requirements!S7/1000</f>
        <v>0</v>
      </c>
    </row>
    <row r="20" customFormat="false" ht="15" hidden="false" customHeight="true" outlineLevel="0" collapsed="false">
      <c r="A20" s="1199" t="s">
        <v>808</v>
      </c>
      <c r="B20" s="1186" t="n">
        <f aca="false">PGL_Requirements!Z7/1000</f>
        <v>0</v>
      </c>
      <c r="C20" s="1207" t="s">
        <v>0</v>
      </c>
      <c r="D20" s="1196" t="s">
        <v>809</v>
      </c>
      <c r="E20" s="41"/>
      <c r="F20" s="1198" t="n">
        <f aca="false">NSG_Requirements!O7/1000</f>
        <v>0</v>
      </c>
    </row>
    <row r="21" customFormat="false" ht="15" hidden="false" customHeight="true" outlineLevel="0" collapsed="false">
      <c r="A21" s="1199" t="s">
        <v>810</v>
      </c>
      <c r="B21" s="1186" t="n">
        <f aca="false">PGL_Requirements!AA7/1000</f>
        <v>0</v>
      </c>
      <c r="C21" s="1207"/>
      <c r="D21" s="1209" t="s">
        <v>811</v>
      </c>
      <c r="E21" s="1183" t="n">
        <f aca="false">NSG_Supplies!L7/1000</f>
        <v>0</v>
      </c>
      <c r="F21" s="1210"/>
    </row>
    <row r="22" customFormat="false" ht="15" hidden="false" customHeight="true" outlineLevel="0" collapsed="false">
      <c r="A22" s="1182" t="s">
        <v>812</v>
      </c>
      <c r="B22" s="1196"/>
      <c r="C22" s="1179" t="n">
        <f aca="false">NSG_Requirements!C7/1000</f>
        <v>0</v>
      </c>
      <c r="D22" s="1209" t="s">
        <v>813</v>
      </c>
      <c r="E22" s="1183" t="n">
        <f aca="false">NSG_Supplies!M7/1000</f>
        <v>0</v>
      </c>
      <c r="F22" s="1210"/>
    </row>
    <row r="23" customFormat="false" ht="15" hidden="false" customHeight="true" outlineLevel="0" collapsed="false">
      <c r="A23" s="1182" t="s">
        <v>814</v>
      </c>
      <c r="B23" s="1196"/>
      <c r="C23" s="1179" t="n">
        <f aca="false">NSG_Requirements!R7/1000</f>
        <v>0</v>
      </c>
      <c r="D23" s="1209" t="s">
        <v>815</v>
      </c>
      <c r="E23" s="1183" t="n">
        <f aca="false">PGL_Supplies!S7/1000</f>
        <v>0</v>
      </c>
      <c r="F23" s="1198" t="s">
        <v>0</v>
      </c>
    </row>
    <row r="24" customFormat="false" ht="15" hidden="false" customHeight="true" outlineLevel="0" collapsed="false">
      <c r="A24" s="1182" t="s">
        <v>816</v>
      </c>
      <c r="B24" s="1183" t="n">
        <f aca="false">NSG_Supplies!K7/1000</f>
        <v>0</v>
      </c>
      <c r="C24" s="1163"/>
      <c r="D24" s="1209" t="s">
        <v>817</v>
      </c>
      <c r="E24" s="1183" t="n">
        <f aca="false">NSG_Supplies!P7/1000</f>
        <v>0</v>
      </c>
      <c r="F24" s="1171"/>
    </row>
    <row r="25" customFormat="false" ht="15" hidden="false" customHeight="true" outlineLevel="0" collapsed="false">
      <c r="A25" s="1199" t="s">
        <v>818</v>
      </c>
      <c r="B25" s="1196"/>
      <c r="C25" s="1179" t="n">
        <f aca="false">NSG_Requirements!Q7/1000</f>
        <v>0</v>
      </c>
      <c r="D25" s="1209" t="s">
        <v>819</v>
      </c>
      <c r="E25" s="1183" t="n">
        <f aca="false">PGL_Requirements!V71/1000</f>
        <v>0</v>
      </c>
      <c r="F25" s="300"/>
    </row>
    <row r="26" customFormat="false" ht="15" hidden="false" customHeight="true" outlineLevel="0" collapsed="false">
      <c r="A26" s="1211" t="s">
        <v>820</v>
      </c>
      <c r="B26" s="1212" t="n">
        <f aca="false">NSG_Supplies!J7/1000</f>
        <v>0</v>
      </c>
      <c r="C26" s="1167"/>
      <c r="D26" s="1213" t="s">
        <v>821</v>
      </c>
      <c r="E26" s="1214"/>
      <c r="F26" s="1198" t="n">
        <f aca="false">NSG_Requirements!D7/1000</f>
        <v>0</v>
      </c>
    </row>
    <row r="27" customFormat="false" ht="15" hidden="false" customHeight="true" outlineLevel="0" collapsed="false">
      <c r="A27" s="1215" t="s">
        <v>382</v>
      </c>
      <c r="B27" s="1216" t="n">
        <f aca="false">SUM(B9:B26)-SUM(C9:C26)</f>
        <v>28.546</v>
      </c>
      <c r="C27" s="1217"/>
      <c r="D27" s="1218" t="s">
        <v>822</v>
      </c>
      <c r="E27" s="1216" t="n">
        <f aca="false">SUM(E18:E26)-SUM(F18:F26)</f>
        <v>0</v>
      </c>
      <c r="F27" s="1219"/>
      <c r="H27" s="29" t="s">
        <v>0</v>
      </c>
    </row>
    <row r="28" customFormat="false" ht="15" hidden="false" customHeight="true" outlineLevel="0" collapsed="false">
      <c r="A28" s="9" t="s">
        <v>823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80" t="s">
        <v>824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220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220" t="s">
        <v>0</v>
      </c>
    </row>
    <row r="2" customFormat="false" ht="15.75" hidden="false" customHeight="false" outlineLevel="0" collapsed="false">
      <c r="B2" s="1115" t="s">
        <v>0</v>
      </c>
      <c r="C2" s="1115" t="s">
        <v>0</v>
      </c>
      <c r="D2" s="1115" t="s">
        <v>2</v>
      </c>
      <c r="E2" s="1115" t="s">
        <v>0</v>
      </c>
      <c r="F2" s="1115" t="s">
        <v>2</v>
      </c>
      <c r="G2" s="1115" t="s">
        <v>0</v>
      </c>
    </row>
    <row r="4" customFormat="false" ht="15.75" hidden="false" customHeight="false" outlineLevel="0" collapsed="false">
      <c r="B4" s="1221" t="s">
        <v>2</v>
      </c>
    </row>
    <row r="6" customFormat="false" ht="15.75" hidden="false" customHeight="false" outlineLevel="0" collapsed="false">
      <c r="B6" s="111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115"/>
    </row>
    <row r="8" customFormat="false" ht="15.75" hidden="false" customHeight="false" outlineLevel="0" collapsed="false">
      <c r="B8" s="1115" t="s">
        <v>0</v>
      </c>
    </row>
    <row r="9" customFormat="false" ht="15.75" hidden="false" customHeight="false" outlineLevel="0" collapsed="false">
      <c r="B9" s="1115"/>
    </row>
    <row r="10" customFormat="false" ht="15.75" hidden="false" customHeight="false" outlineLevel="0" collapsed="false">
      <c r="B10" s="111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115" t="s">
        <v>0</v>
      </c>
    </row>
    <row r="12" customFormat="false" ht="15.75" hidden="false" customHeight="false" outlineLevel="0" collapsed="false">
      <c r="B12" s="1115" t="s">
        <v>0</v>
      </c>
    </row>
    <row r="13" customFormat="false" ht="15.75" hidden="false" customHeight="false" outlineLevel="0" collapsed="false">
      <c r="B13" s="1115"/>
    </row>
    <row r="14" customFormat="false" ht="15.75" hidden="false" customHeight="false" outlineLevel="0" collapsed="false">
      <c r="B14" s="1115" t="s">
        <v>0</v>
      </c>
    </row>
    <row r="15" customFormat="false" ht="15.75" hidden="false" customHeight="false" outlineLevel="0" collapsed="false">
      <c r="B15" s="1115"/>
    </row>
    <row r="16" customFormat="false" ht="15.75" hidden="false" customHeight="false" outlineLevel="0" collapsed="false">
      <c r="B16" s="1115" t="s">
        <v>0</v>
      </c>
    </row>
    <row r="17" customFormat="false" ht="15.75" hidden="false" customHeight="false" outlineLevel="0" collapsed="false">
      <c r="B17" s="1115"/>
    </row>
    <row r="18" customFormat="false" ht="15.75" hidden="false" customHeight="false" outlineLevel="0" collapsed="false">
      <c r="B18" s="1115" t="s">
        <v>0</v>
      </c>
    </row>
    <row r="19" customFormat="false" ht="15.75" hidden="false" customHeight="false" outlineLevel="0" collapsed="false">
      <c r="B19" s="1115"/>
    </row>
    <row r="20" customFormat="false" ht="15.75" hidden="false" customHeight="false" outlineLevel="0" collapsed="false">
      <c r="B20" s="1115" t="s">
        <v>0</v>
      </c>
    </row>
    <row r="21" customFormat="false" ht="15.75" hidden="false" customHeight="false" outlineLevel="0" collapsed="false">
      <c r="B21" s="1115"/>
    </row>
    <row r="22" customFormat="false" ht="15.75" hidden="false" customHeight="false" outlineLevel="0" collapsed="false">
      <c r="B22" s="1115" t="s">
        <v>0</v>
      </c>
    </row>
    <row r="24" customFormat="false" ht="15.75" hidden="false" customHeight="false" outlineLevel="0" collapsed="false">
      <c r="B24" s="1115" t="s">
        <v>0</v>
      </c>
    </row>
    <row r="25" customFormat="false" ht="15.75" hidden="false" customHeight="false" outlineLevel="0" collapsed="false">
      <c r="E25" s="1115" t="s">
        <v>0</v>
      </c>
    </row>
    <row r="27" customFormat="false" ht="15.75" hidden="false" customHeight="false" outlineLevel="0" collapsed="false">
      <c r="B27" s="1115" t="s">
        <v>0</v>
      </c>
    </row>
    <row r="29" customFormat="false" ht="15.75" hidden="false" customHeight="false" outlineLevel="0" collapsed="false">
      <c r="B29" s="1115" t="s">
        <v>0</v>
      </c>
    </row>
    <row r="30" customFormat="false" ht="15.75" hidden="false" customHeight="false" outlineLevel="0" collapsed="false">
      <c r="B30" s="1115"/>
    </row>
    <row r="31" customFormat="false" ht="15.75" hidden="false" customHeight="false" outlineLevel="0" collapsed="false">
      <c r="B31" s="1115" t="s">
        <v>0</v>
      </c>
    </row>
    <row r="32" customFormat="false" ht="15.75" hidden="false" customHeight="false" outlineLevel="0" collapsed="false">
      <c r="B32" s="1115"/>
    </row>
    <row r="33" customFormat="false" ht="15.75" hidden="false" customHeight="false" outlineLevel="0" collapsed="false">
      <c r="B33" s="1115" t="s">
        <v>0</v>
      </c>
    </row>
    <row r="34" customFormat="false" ht="15.75" hidden="false" customHeight="false" outlineLevel="0" collapsed="false">
      <c r="B34" s="1115"/>
    </row>
    <row r="35" customFormat="false" ht="15.75" hidden="false" customHeight="false" outlineLevel="0" collapsed="false">
      <c r="B35" s="1115" t="s">
        <v>0</v>
      </c>
    </row>
    <row r="36" customFormat="false" ht="15.75" hidden="false" customHeight="false" outlineLevel="0" collapsed="false">
      <c r="B36" s="1115"/>
    </row>
    <row r="37" customFormat="false" ht="15.75" hidden="false" customHeight="false" outlineLevel="0" collapsed="false">
      <c r="B37" s="1115" t="s">
        <v>0</v>
      </c>
    </row>
    <row r="38" customFormat="false" ht="15.75" hidden="false" customHeight="false" outlineLevel="0" collapsed="false">
      <c r="B38" s="1115"/>
    </row>
    <row r="39" customFormat="false" ht="15.75" hidden="false" customHeight="false" outlineLevel="0" collapsed="false">
      <c r="B39" s="1115" t="s">
        <v>0</v>
      </c>
    </row>
    <row r="40" customFormat="false" ht="15.75" hidden="false" customHeight="false" outlineLevel="0" collapsed="false">
      <c r="B40" s="1115"/>
    </row>
    <row r="41" customFormat="false" ht="15.75" hidden="false" customHeight="false" outlineLevel="0" collapsed="false">
      <c r="B41" s="1115" t="s">
        <v>0</v>
      </c>
    </row>
    <row r="42" customFormat="false" ht="15.75" hidden="false" customHeight="false" outlineLevel="0" collapsed="false">
      <c r="B42" s="1115"/>
    </row>
    <row r="43" customFormat="false" ht="15.75" hidden="false" customHeight="false" outlineLevel="0" collapsed="false">
      <c r="B43" s="1115" t="s">
        <v>0</v>
      </c>
    </row>
    <row r="44" customFormat="false" ht="15.75" hidden="false" customHeight="false" outlineLevel="0" collapsed="false">
      <c r="B44" s="1115"/>
    </row>
    <row r="45" customFormat="false" ht="15.75" hidden="false" customHeight="false" outlineLevel="0" collapsed="false">
      <c r="B45" s="1115" t="s">
        <v>0</v>
      </c>
    </row>
    <row r="47" customFormat="false" ht="15.75" hidden="false" customHeight="false" outlineLevel="0" collapsed="false">
      <c r="B47" s="111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37</v>
      </c>
      <c r="BE1" s="0" t="s">
        <v>38</v>
      </c>
    </row>
    <row r="2" customFormat="false" ht="15" hidden="false" customHeight="false" outlineLevel="0" collapsed="false">
      <c r="A2" s="29"/>
      <c r="B2" s="29"/>
      <c r="C2" s="29"/>
      <c r="D2" s="32" t="s">
        <v>39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40</v>
      </c>
      <c r="AC2" s="33" t="s">
        <v>0</v>
      </c>
      <c r="AD2" s="33" t="s">
        <v>0</v>
      </c>
      <c r="AE2" s="33" t="s">
        <v>41</v>
      </c>
      <c r="AF2" s="33"/>
      <c r="AG2" s="33" t="s">
        <v>41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41</v>
      </c>
      <c r="BA2" s="0" t="s">
        <v>42</v>
      </c>
      <c r="BC2" s="0" t="s">
        <v>43</v>
      </c>
      <c r="BE2" s="35" t="n">
        <v>1</v>
      </c>
      <c r="BF2" s="11" t="s">
        <v>43</v>
      </c>
    </row>
    <row r="3" customFormat="false" ht="15" hidden="false" customHeight="false" outlineLevel="0" collapsed="false">
      <c r="A3" s="29"/>
      <c r="B3" s="36" t="s">
        <v>44</v>
      </c>
      <c r="C3" s="29" t="s">
        <v>0</v>
      </c>
      <c r="D3" s="37" t="s">
        <v>45</v>
      </c>
      <c r="E3" s="36" t="s">
        <v>46</v>
      </c>
      <c r="F3" s="36" t="s">
        <v>46</v>
      </c>
      <c r="G3" s="36" t="s">
        <v>46</v>
      </c>
      <c r="H3" s="36" t="s">
        <v>47</v>
      </c>
      <c r="I3" s="36" t="s">
        <v>47</v>
      </c>
      <c r="J3" s="36" t="s">
        <v>47</v>
      </c>
      <c r="K3" s="36" t="s">
        <v>48</v>
      </c>
      <c r="L3" s="36" t="s">
        <v>49</v>
      </c>
      <c r="M3" s="36" t="s">
        <v>49</v>
      </c>
      <c r="N3" s="36" t="s">
        <v>50</v>
      </c>
      <c r="O3" s="36" t="s">
        <v>51</v>
      </c>
      <c r="P3" s="36" t="s">
        <v>52</v>
      </c>
      <c r="R3" s="36"/>
      <c r="S3" s="36"/>
      <c r="T3" s="36" t="s">
        <v>48</v>
      </c>
      <c r="U3" s="36" t="s">
        <v>9</v>
      </c>
      <c r="V3" s="36"/>
      <c r="W3" s="28"/>
      <c r="X3" s="29"/>
      <c r="Y3" s="29" t="s">
        <v>53</v>
      </c>
      <c r="Z3" s="29"/>
      <c r="AA3" s="29"/>
      <c r="AB3" s="36" t="s">
        <v>54</v>
      </c>
      <c r="AC3" s="36" t="s">
        <v>40</v>
      </c>
      <c r="AD3" s="36" t="s">
        <v>40</v>
      </c>
      <c r="AE3" s="36" t="s">
        <v>55</v>
      </c>
      <c r="AF3" s="36" t="s">
        <v>55</v>
      </c>
      <c r="AG3" s="36" t="s">
        <v>56</v>
      </c>
      <c r="AH3" s="36" t="s">
        <v>56</v>
      </c>
      <c r="AI3" s="36" t="s">
        <v>57</v>
      </c>
      <c r="AJ3" s="36" t="s">
        <v>58</v>
      </c>
      <c r="AK3" s="36" t="s">
        <v>59</v>
      </c>
      <c r="AL3" s="36" t="s">
        <v>60</v>
      </c>
      <c r="AM3" s="11" t="s">
        <v>61</v>
      </c>
      <c r="AO3" s="38" t="s">
        <v>62</v>
      </c>
      <c r="AP3" s="39"/>
      <c r="AQ3" s="38" t="s">
        <v>63</v>
      </c>
      <c r="AR3" s="39"/>
      <c r="AS3" s="38" t="s">
        <v>64</v>
      </c>
      <c r="AT3" s="39"/>
      <c r="AU3" s="34" t="s">
        <v>65</v>
      </c>
      <c r="AV3" s="34" t="s">
        <v>65</v>
      </c>
      <c r="AW3" s="34"/>
      <c r="AX3" s="34" t="s">
        <v>65</v>
      </c>
      <c r="AZ3" s="40" t="s">
        <v>66</v>
      </c>
      <c r="BA3" s="40"/>
      <c r="BB3" s="41"/>
      <c r="BC3" s="40" t="s">
        <v>47</v>
      </c>
      <c r="BE3" s="35" t="s">
        <v>67</v>
      </c>
    </row>
    <row r="4" customFormat="false" ht="15" hidden="false" customHeight="false" outlineLevel="0" collapsed="false">
      <c r="A4" s="29" t="s">
        <v>0</v>
      </c>
      <c r="B4" s="36" t="s">
        <v>20</v>
      </c>
      <c r="C4" s="36" t="s">
        <v>68</v>
      </c>
      <c r="D4" s="37" t="s">
        <v>69</v>
      </c>
      <c r="E4" s="36" t="n">
        <v>2</v>
      </c>
      <c r="F4" s="36" t="n">
        <v>3</v>
      </c>
      <c r="G4" s="36" t="s">
        <v>70</v>
      </c>
      <c r="H4" s="36" t="s">
        <v>71</v>
      </c>
      <c r="I4" s="36" t="s">
        <v>72</v>
      </c>
      <c r="J4" s="36" t="s">
        <v>73</v>
      </c>
      <c r="K4" s="36" t="s">
        <v>74</v>
      </c>
      <c r="L4" s="36" t="n">
        <v>1</v>
      </c>
      <c r="M4" s="36" t="n">
        <v>2</v>
      </c>
      <c r="N4" s="36" t="s">
        <v>75</v>
      </c>
      <c r="O4" s="36" t="s">
        <v>76</v>
      </c>
      <c r="P4" s="36" t="s">
        <v>77</v>
      </c>
      <c r="Q4" s="36" t="s">
        <v>78</v>
      </c>
      <c r="R4" s="36" t="s">
        <v>79</v>
      </c>
      <c r="S4" s="36" t="s">
        <v>80</v>
      </c>
      <c r="T4" s="36" t="s">
        <v>81</v>
      </c>
      <c r="U4" s="36" t="s">
        <v>68</v>
      </c>
      <c r="V4" s="36" t="s">
        <v>82</v>
      </c>
      <c r="W4" s="36" t="s">
        <v>83</v>
      </c>
      <c r="X4" s="36" t="s">
        <v>84</v>
      </c>
      <c r="Y4" s="36" t="s">
        <v>85</v>
      </c>
      <c r="Z4" s="36" t="s">
        <v>86</v>
      </c>
      <c r="AA4" s="36" t="s">
        <v>87</v>
      </c>
      <c r="AB4" s="36" t="s">
        <v>72</v>
      </c>
      <c r="AC4" s="36" t="s">
        <v>88</v>
      </c>
      <c r="AD4" s="36" t="s">
        <v>89</v>
      </c>
      <c r="AE4" s="36" t="s">
        <v>90</v>
      </c>
      <c r="AF4" s="36" t="s">
        <v>89</v>
      </c>
      <c r="AG4" s="36" t="s">
        <v>90</v>
      </c>
      <c r="AH4" s="36" t="s">
        <v>89</v>
      </c>
      <c r="AI4" s="36" t="s">
        <v>91</v>
      </c>
      <c r="AJ4" s="36" t="s">
        <v>92</v>
      </c>
      <c r="AK4" s="36" t="s">
        <v>92</v>
      </c>
      <c r="AL4" s="36" t="s">
        <v>93</v>
      </c>
      <c r="AM4" s="36" t="s">
        <v>94</v>
      </c>
      <c r="AN4" s="29"/>
      <c r="AO4" s="42" t="s">
        <v>95</v>
      </c>
      <c r="AP4" s="36" t="s">
        <v>96</v>
      </c>
      <c r="AQ4" s="36" t="s">
        <v>95</v>
      </c>
      <c r="AR4" s="36" t="s">
        <v>96</v>
      </c>
      <c r="AS4" s="36" t="s">
        <v>95</v>
      </c>
      <c r="AT4" s="36" t="s">
        <v>96</v>
      </c>
      <c r="AU4" s="34" t="s">
        <v>97</v>
      </c>
      <c r="AV4" s="34" t="s">
        <v>98</v>
      </c>
      <c r="AW4" s="34" t="s">
        <v>99</v>
      </c>
      <c r="AX4" s="34" t="s">
        <v>100</v>
      </c>
      <c r="AY4" s="29"/>
      <c r="AZ4" s="43" t="s">
        <v>46</v>
      </c>
      <c r="BA4" s="44" t="s">
        <v>47</v>
      </c>
      <c r="BB4" s="45" t="s">
        <v>101</v>
      </c>
      <c r="BC4" s="45" t="s">
        <v>102</v>
      </c>
      <c r="BE4" s="11" t="s">
        <v>81</v>
      </c>
      <c r="BF4" s="11" t="s">
        <v>103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37037</v>
      </c>
      <c r="B5" s="29" t="n">
        <f aca="false">(Weather_Input!B5+Weather_Input!C5)/2</f>
        <v>51.5</v>
      </c>
      <c r="C5" s="46" t="n">
        <v>320000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4287</v>
      </c>
      <c r="T5" s="49" t="n">
        <v>0</v>
      </c>
      <c r="U5" s="46" t="n">
        <f aca="false">SUM(D5:S5)-T5</f>
        <v>4287</v>
      </c>
      <c r="V5" s="46" t="n">
        <v>151897</v>
      </c>
      <c r="W5" s="18" t="n">
        <v>0</v>
      </c>
      <c r="X5" s="18" t="n">
        <v>0</v>
      </c>
      <c r="Y5" s="18" t="n">
        <v>0</v>
      </c>
      <c r="Z5" s="18" t="n">
        <v>169880</v>
      </c>
      <c r="AA5" s="18" t="n">
        <v>5271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19787</v>
      </c>
      <c r="AK5" s="18" t="n">
        <v>0</v>
      </c>
      <c r="AL5" s="18" t="n">
        <v>0</v>
      </c>
      <c r="AM5" s="29" t="n">
        <v>1015</v>
      </c>
      <c r="AN5" s="29"/>
      <c r="AO5" s="29" t="n">
        <v>21871</v>
      </c>
      <c r="AP5" s="29" t="n">
        <v>0</v>
      </c>
      <c r="AQ5" s="29" t="n">
        <v>5385</v>
      </c>
      <c r="AR5" s="29" t="n">
        <v>0</v>
      </c>
      <c r="AS5" s="29" t="n">
        <v>0</v>
      </c>
      <c r="AT5" s="29" t="n">
        <v>1463</v>
      </c>
      <c r="AU5" s="29" t="n">
        <v>148290</v>
      </c>
      <c r="AV5" s="29" t="n">
        <v>590</v>
      </c>
      <c r="AW5" s="50" t="n">
        <f aca="false">AU5*0.015</f>
        <v>2224.35</v>
      </c>
      <c r="AX5" s="29" t="n">
        <v>0</v>
      </c>
      <c r="AY5" s="29"/>
      <c r="AZ5" s="29" t="n">
        <v>19</v>
      </c>
      <c r="BA5" s="29" t="n">
        <v>15</v>
      </c>
      <c r="BB5" s="29" t="n">
        <v>0</v>
      </c>
      <c r="BC5" s="29" t="n">
        <v>0</v>
      </c>
      <c r="BD5" s="29"/>
      <c r="BE5" s="29" t="n">
        <v>17908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37038</v>
      </c>
      <c r="B6" s="51" t="n">
        <f aca="false">(Weather_Input!B6+Weather_Input!C6)/2</f>
        <v>56.5</v>
      </c>
      <c r="C6" s="46" t="n">
        <v>270000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104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37039</v>
      </c>
      <c r="B7" s="51" t="n">
        <f aca="false">(Weather_Input!B7+Weather_Input!C7)/2</f>
        <v>60.5</v>
      </c>
      <c r="C7" s="46" t="n">
        <v>250000</v>
      </c>
      <c r="D7" s="52" t="s">
        <v>0</v>
      </c>
      <c r="E7" s="53"/>
      <c r="F7" s="53"/>
      <c r="G7" s="53"/>
      <c r="H7" s="54" t="s">
        <v>105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106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37040</v>
      </c>
      <c r="B8" s="51" t="n">
        <f aca="false">(Weather_Input!B8+Weather_Input!C8)/2</f>
        <v>61</v>
      </c>
      <c r="C8" s="46" t="n">
        <v>240000</v>
      </c>
      <c r="D8" s="52" t="s">
        <v>0</v>
      </c>
      <c r="E8" s="53" t="s">
        <v>0</v>
      </c>
      <c r="F8" s="53"/>
      <c r="G8" s="53"/>
      <c r="H8" s="56" t="s">
        <v>107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108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37041</v>
      </c>
      <c r="B9" s="51" t="n">
        <f aca="false">(Weather_Input!B9+Weather_Input!C9)/2</f>
        <v>62.5</v>
      </c>
      <c r="C9" s="46" t="n">
        <v>230000</v>
      </c>
      <c r="D9" s="52" t="s">
        <v>0</v>
      </c>
      <c r="E9" s="53"/>
      <c r="F9" s="53"/>
      <c r="G9" s="53"/>
      <c r="H9" s="53" t="s">
        <v>109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110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37042</v>
      </c>
      <c r="B10" s="51" t="n">
        <f aca="false">(Weather_Input!B10+Weather_Input!C10)/2</f>
        <v>62.5</v>
      </c>
      <c r="C10" s="46" t="n">
        <v>230000</v>
      </c>
      <c r="D10" s="52" t="s">
        <v>0</v>
      </c>
      <c r="E10" s="53" t="s">
        <v>0</v>
      </c>
      <c r="F10" s="53"/>
      <c r="G10" s="53"/>
      <c r="H10" s="53" t="s">
        <v>111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112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113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114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115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116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117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222" width="8.88"/>
    <col collapsed="false" customWidth="false" hidden="false" outlineLevel="0" max="257" min="2" style="1223" width="8.88"/>
  </cols>
  <sheetData>
    <row r="1" customFormat="false" ht="15.75" hidden="false" customHeight="false" outlineLevel="0" collapsed="false">
      <c r="A1" s="1224"/>
      <c r="B1" s="1225"/>
      <c r="D1" s="1226"/>
    </row>
    <row r="2" customFormat="false" ht="15.75" hidden="false" customHeight="false" outlineLevel="0" collapsed="false">
      <c r="A2" s="1227"/>
      <c r="G2" s="1225"/>
    </row>
    <row r="3" customFormat="false" ht="15" hidden="false" customHeight="false" outlineLevel="0" collapsed="false">
      <c r="DZ3" s="0"/>
      <c r="EA3" s="1228"/>
    </row>
    <row r="5" customFormat="false" ht="15.75" hidden="false" customHeight="false" outlineLevel="0" collapsed="false">
      <c r="A5" s="1229"/>
      <c r="B5" s="1225"/>
    </row>
    <row r="6" customFormat="false" ht="12.75" hidden="false" customHeight="false" outlineLevel="0" collapsed="false">
      <c r="A6" s="1230"/>
    </row>
    <row r="7" customFormat="false" ht="12.75" hidden="false" customHeight="false" outlineLevel="0" collapsed="false">
      <c r="A7" s="1230"/>
    </row>
    <row r="8" customFormat="false" ht="12.75" hidden="false" customHeight="false" outlineLevel="0" collapsed="false">
      <c r="A8" s="1230"/>
    </row>
    <row r="9" customFormat="false" ht="12.75" hidden="false" customHeight="false" outlineLevel="0" collapsed="false">
      <c r="A9" s="1230" t="s">
        <v>0</v>
      </c>
      <c r="C9" s="1231"/>
    </row>
    <row r="10" customFormat="false" ht="12.75" hidden="false" customHeight="false" outlineLevel="0" collapsed="false">
      <c r="A10" s="1230"/>
    </row>
    <row r="11" customFormat="false" ht="12.75" hidden="false" customHeight="false" outlineLevel="0" collapsed="false">
      <c r="A11" s="1230"/>
    </row>
    <row r="12" customFormat="false" ht="12.75" hidden="false" customHeight="false" outlineLevel="0" collapsed="false">
      <c r="A12" s="1230"/>
    </row>
    <row r="13" customFormat="false" ht="12.75" hidden="false" customHeight="false" outlineLevel="0" collapsed="false">
      <c r="A13" s="1230"/>
    </row>
    <row r="14" customFormat="false" ht="12.75" hidden="false" customHeight="false" outlineLevel="0" collapsed="false">
      <c r="A14" s="1230"/>
      <c r="C14" s="1223" t="s">
        <v>0</v>
      </c>
      <c r="D14" s="1223" t="s">
        <v>0</v>
      </c>
    </row>
    <row r="15" customFormat="false" ht="12.75" hidden="false" customHeight="false" outlineLevel="0" collapsed="false">
      <c r="A15" s="1230"/>
    </row>
    <row r="16" customFormat="false" ht="12.75" hidden="false" customHeight="false" outlineLevel="0" collapsed="false">
      <c r="A16" s="1230"/>
    </row>
    <row r="17" customFormat="false" ht="12.75" hidden="false" customHeight="false" outlineLevel="0" collapsed="false">
      <c r="A17" s="1230"/>
    </row>
    <row r="18" customFormat="false" ht="12.75" hidden="false" customHeight="false" outlineLevel="0" collapsed="false">
      <c r="A18" s="1230"/>
    </row>
    <row r="19" customFormat="false" ht="12.75" hidden="false" customHeight="false" outlineLevel="0" collapsed="false">
      <c r="A19" s="1230"/>
    </row>
    <row r="20" customFormat="false" ht="12.75" hidden="false" customHeight="false" outlineLevel="0" collapsed="false">
      <c r="A20" s="1230"/>
    </row>
    <row r="21" customFormat="false" ht="12.75" hidden="false" customHeight="false" outlineLevel="0" collapsed="false">
      <c r="A21" s="1230"/>
    </row>
    <row r="22" customFormat="false" ht="12.75" hidden="false" customHeight="false" outlineLevel="0" collapsed="false">
      <c r="A22" s="1230"/>
    </row>
    <row r="23" customFormat="false" ht="12.75" hidden="false" customHeight="false" outlineLevel="0" collapsed="false">
      <c r="A23" s="1230"/>
    </row>
    <row r="24" customFormat="false" ht="12.75" hidden="false" customHeight="false" outlineLevel="0" collapsed="false">
      <c r="A24" s="1230"/>
    </row>
    <row r="25" customFormat="false" ht="12.75" hidden="false" customHeight="false" outlineLevel="0" collapsed="false">
      <c r="A25" s="1230"/>
    </row>
    <row r="26" customFormat="false" ht="12.75" hidden="false" customHeight="false" outlineLevel="0" collapsed="false">
      <c r="A26" s="1230"/>
    </row>
    <row r="27" customFormat="false" ht="12.75" hidden="false" customHeight="false" outlineLevel="0" collapsed="false">
      <c r="A27" s="1230"/>
    </row>
    <row r="28" customFormat="false" ht="12.75" hidden="false" customHeight="false" outlineLevel="0" collapsed="false">
      <c r="A28" s="1230"/>
    </row>
    <row r="29" customFormat="false" ht="12.75" hidden="false" customHeight="false" outlineLevel="0" collapsed="false">
      <c r="A29" s="1230"/>
    </row>
    <row r="30" customFormat="false" ht="12.75" hidden="false" customHeight="false" outlineLevel="0" collapsed="false">
      <c r="A30" s="1230"/>
    </row>
    <row r="31" customFormat="false" ht="12.75" hidden="false" customHeight="false" outlineLevel="0" collapsed="false">
      <c r="A31" s="1230"/>
    </row>
    <row r="32" customFormat="false" ht="12.75" hidden="false" customHeight="false" outlineLevel="0" collapsed="false">
      <c r="A32" s="1230"/>
    </row>
    <row r="33" customFormat="false" ht="12.75" hidden="false" customHeight="false" outlineLevel="0" collapsed="false">
      <c r="A33" s="1230"/>
    </row>
    <row r="34" customFormat="false" ht="12.75" hidden="false" customHeight="false" outlineLevel="0" collapsed="false">
      <c r="A34" s="1230"/>
    </row>
    <row r="35" customFormat="false" ht="12.75" hidden="false" customHeight="false" outlineLevel="0" collapsed="false">
      <c r="A35" s="123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825</v>
      </c>
      <c r="B1" s="108" t="n">
        <f aca="false">Weather_Input!A5</f>
        <v>37037</v>
      </c>
      <c r="C1" s="1232"/>
    </row>
    <row r="2" customFormat="false" ht="15" hidden="false" customHeight="false" outlineLevel="0" collapsed="false">
      <c r="A2" s="28" t="s">
        <v>826</v>
      </c>
      <c r="B2" s="1232"/>
      <c r="C2" s="1232"/>
    </row>
    <row r="3" customFormat="false" ht="15.75" hidden="false" customHeight="false" outlineLevel="0" collapsed="false">
      <c r="B3" s="1233" t="s">
        <v>83</v>
      </c>
      <c r="C3" s="1233"/>
      <c r="D3" s="1233"/>
      <c r="E3" s="1233"/>
      <c r="F3" s="1233"/>
      <c r="G3" s="1233"/>
      <c r="H3" s="1234" t="s">
        <v>84</v>
      </c>
      <c r="I3" s="1234"/>
      <c r="J3" s="1234"/>
      <c r="K3" s="1234"/>
      <c r="L3" s="1234"/>
      <c r="M3" s="1234"/>
      <c r="N3" s="979" t="s">
        <v>40</v>
      </c>
      <c r="O3" s="979"/>
      <c r="P3" s="979"/>
      <c r="Q3" s="979"/>
      <c r="R3" s="979"/>
      <c r="S3" s="979"/>
    </row>
    <row r="4" customFormat="false" ht="15" hidden="false" customHeight="false" outlineLevel="0" collapsed="false">
      <c r="B4" s="1235" t="s">
        <v>827</v>
      </c>
      <c r="C4" s="1235"/>
      <c r="D4" s="11" t="s">
        <v>729</v>
      </c>
      <c r="E4" s="11" t="s">
        <v>729</v>
      </c>
      <c r="F4" s="1236" t="s">
        <v>828</v>
      </c>
      <c r="G4" s="1236"/>
      <c r="H4" s="4" t="s">
        <v>827</v>
      </c>
      <c r="I4" s="4"/>
      <c r="J4" s="11" t="s">
        <v>729</v>
      </c>
      <c r="K4" s="11" t="s">
        <v>729</v>
      </c>
      <c r="L4" s="1236" t="s">
        <v>828</v>
      </c>
      <c r="M4" s="1236"/>
      <c r="N4" s="4" t="s">
        <v>827</v>
      </c>
      <c r="O4" s="4"/>
      <c r="P4" s="11" t="s">
        <v>729</v>
      </c>
      <c r="Q4" s="11" t="s">
        <v>729</v>
      </c>
      <c r="R4" s="4" t="s">
        <v>828</v>
      </c>
      <c r="S4" s="4"/>
    </row>
    <row r="5" customFormat="false" ht="15" hidden="false" customHeight="false" outlineLevel="0" collapsed="false">
      <c r="A5" s="930"/>
      <c r="B5" s="1237" t="s">
        <v>829</v>
      </c>
      <c r="C5" s="1238" t="s">
        <v>830</v>
      </c>
      <c r="D5" s="1239" t="s">
        <v>831</v>
      </c>
      <c r="E5" s="1239" t="s">
        <v>832</v>
      </c>
      <c r="F5" s="1239" t="s">
        <v>829</v>
      </c>
      <c r="G5" s="1240" t="s">
        <v>830</v>
      </c>
      <c r="H5" s="1239" t="s">
        <v>829</v>
      </c>
      <c r="I5" s="1239" t="s">
        <v>830</v>
      </c>
      <c r="J5" s="1239" t="s">
        <v>831</v>
      </c>
      <c r="K5" s="1239" t="s">
        <v>832</v>
      </c>
      <c r="L5" s="1239" t="s">
        <v>829</v>
      </c>
      <c r="M5" s="1240" t="s">
        <v>830</v>
      </c>
      <c r="N5" s="1239" t="s">
        <v>829</v>
      </c>
      <c r="O5" s="1239" t="s">
        <v>830</v>
      </c>
      <c r="P5" s="1239" t="s">
        <v>831</v>
      </c>
      <c r="Q5" s="1239" t="s">
        <v>832</v>
      </c>
      <c r="R5" s="1239" t="s">
        <v>829</v>
      </c>
      <c r="S5" s="1239" t="s">
        <v>830</v>
      </c>
    </row>
    <row r="6" customFormat="false" ht="15" hidden="false" customHeight="false" outlineLevel="0" collapsed="false">
      <c r="A6" s="1232" t="n">
        <f aca="false">B1-1</f>
        <v>37036</v>
      </c>
      <c r="B6" s="987" t="e">
        <f aca="false"/>
        <v>#REF!</v>
      </c>
      <c r="C6" s="1241" t="e">
        <f aca="false"/>
        <v>#REF!</v>
      </c>
      <c r="D6" s="1241" t="e">
        <f aca="false"/>
        <v>#REF!</v>
      </c>
      <c r="E6" s="1241" t="e">
        <f aca="false"/>
        <v>#REF!</v>
      </c>
      <c r="F6" s="1241" t="e">
        <f aca="false"/>
        <v>#REF!</v>
      </c>
      <c r="G6" s="1241" t="e">
        <f aca="false"/>
        <v>#REF!</v>
      </c>
      <c r="H6" s="1241" t="e">
        <f aca="false"/>
        <v>#REF!</v>
      </c>
      <c r="I6" s="1241" t="e">
        <f aca="false"/>
        <v>#REF!</v>
      </c>
      <c r="J6" s="1241" t="e">
        <f aca="false"/>
        <v>#REF!</v>
      </c>
      <c r="K6" s="1241" t="e">
        <f aca="false"/>
        <v>#REF!</v>
      </c>
      <c r="L6" s="1241" t="e">
        <f aca="false"/>
        <v>#REF!</v>
      </c>
      <c r="M6" s="1241" t="e">
        <f aca="false"/>
        <v>#REF!</v>
      </c>
      <c r="N6" s="1241" t="n">
        <v>171973</v>
      </c>
      <c r="O6" s="1241" t="n">
        <v>0</v>
      </c>
      <c r="P6" s="1241" t="n">
        <v>49122666</v>
      </c>
      <c r="Q6" s="1241" t="n">
        <v>15045098</v>
      </c>
      <c r="R6" s="1241" t="n">
        <v>34077568</v>
      </c>
      <c r="S6" s="1241" t="n">
        <v>0</v>
      </c>
    </row>
    <row r="7" customFormat="false" ht="15" hidden="false" customHeight="false" outlineLevel="0" collapsed="false">
      <c r="A7" s="1232" t="n">
        <f aca="false">B1</f>
        <v>37037</v>
      </c>
      <c r="B7" s="98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24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2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2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148116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49270782</v>
      </c>
      <c r="Q7" s="0" t="n">
        <f aca="false">IF(O7&gt;0,Q6+O7,Q6)</f>
        <v>15045098</v>
      </c>
      <c r="R7" s="0" t="n">
        <f aca="false">IF(P7&gt;Q7,P7-Q7,0)</f>
        <v>34225684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23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833</v>
      </c>
      <c r="C1" s="36" t="s">
        <v>834</v>
      </c>
      <c r="D1" s="1243" t="s">
        <v>835</v>
      </c>
    </row>
    <row r="2" customFormat="false" ht="15" hidden="false" customHeight="false" outlineLevel="0" collapsed="false">
      <c r="B2" s="36" t="s">
        <v>836</v>
      </c>
      <c r="C2" s="36" t="s">
        <v>21</v>
      </c>
      <c r="D2" s="1243" t="s">
        <v>21</v>
      </c>
    </row>
    <row r="3" customFormat="false" ht="15" hidden="false" customHeight="false" outlineLevel="0" collapsed="false">
      <c r="A3" s="123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23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23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23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23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23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23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23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23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23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23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23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23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23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23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23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23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23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23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23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23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23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23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23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23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23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23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23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23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23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23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23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23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23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23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23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23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23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23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23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23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23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23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23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23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23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23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23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23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23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23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23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23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23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23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23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23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23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23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23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23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23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23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23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23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23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23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23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23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23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23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23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23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23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23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23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23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23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23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23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23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23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23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23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23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23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23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23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23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23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23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23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23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23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23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23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23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23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23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23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23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23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23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23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23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23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23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23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23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23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23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23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23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23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23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23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23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23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23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23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23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23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23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23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23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23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23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23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23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23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23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23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23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23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23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23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23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23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23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23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23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23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23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23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23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23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23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23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23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23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23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23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23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23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23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23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23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23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23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23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23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23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23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23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23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23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23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23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23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23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23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23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23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23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23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23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23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23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23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23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23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23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23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23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23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23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23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23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23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23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23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23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23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23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23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23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23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23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23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23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23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23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23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23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23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23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23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23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23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23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23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23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23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23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23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23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23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23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23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23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23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23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23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23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23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23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23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23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23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23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23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23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23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23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23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23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23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23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23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23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23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23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23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23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23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23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23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23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23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23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23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23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23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23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23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23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23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23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23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23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23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23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23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23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23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23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23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23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23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23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23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23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23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23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23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23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23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23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23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23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23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23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23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23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23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23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23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23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23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23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23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23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23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23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23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23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23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23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23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23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23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23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23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23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23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23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23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23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23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23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23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23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23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23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23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23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23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23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23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23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23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23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23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23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23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23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23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23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23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23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23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23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23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23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23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23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23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23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23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23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23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23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23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23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23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23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23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23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23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23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23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23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23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23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23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23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23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23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23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23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23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23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23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23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23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23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23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23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23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23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23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23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83</v>
      </c>
      <c r="N1" s="29" t="s">
        <v>83</v>
      </c>
    </row>
    <row r="2" customFormat="false" ht="15" hidden="false" customHeight="false" outlineLevel="0" collapsed="false">
      <c r="K2" s="0" t="s">
        <v>118</v>
      </c>
      <c r="L2" s="0" t="s">
        <v>118</v>
      </c>
      <c r="M2" s="0" t="s">
        <v>118</v>
      </c>
      <c r="N2" s="0" t="s">
        <v>118</v>
      </c>
    </row>
    <row r="3" customFormat="false" ht="15" hidden="false" customHeight="false" outlineLevel="0" collapsed="false">
      <c r="B3" s="18" t="s">
        <v>44</v>
      </c>
      <c r="C3" s="29" t="s">
        <v>68</v>
      </c>
      <c r="D3" s="36" t="s">
        <v>119</v>
      </c>
      <c r="F3" s="36" t="s">
        <v>120</v>
      </c>
      <c r="G3" s="36" t="s">
        <v>121</v>
      </c>
      <c r="H3" s="36" t="s">
        <v>9</v>
      </c>
      <c r="I3" s="36" t="s">
        <v>122</v>
      </c>
      <c r="K3" s="0" t="s">
        <v>123</v>
      </c>
      <c r="L3" s="0" t="s">
        <v>123</v>
      </c>
      <c r="M3" s="0" t="s">
        <v>123</v>
      </c>
      <c r="N3" s="0" t="s">
        <v>123</v>
      </c>
    </row>
    <row r="4" customFormat="false" ht="12.75" hidden="false" customHeight="false" outlineLevel="0" collapsed="false">
      <c r="B4" s="18" t="s">
        <v>124</v>
      </c>
      <c r="D4" s="36" t="s">
        <v>125</v>
      </c>
      <c r="E4" s="36" t="s">
        <v>126</v>
      </c>
      <c r="F4" s="36" t="s">
        <v>125</v>
      </c>
      <c r="G4" s="36" t="s">
        <v>125</v>
      </c>
      <c r="H4" s="36" t="s">
        <v>68</v>
      </c>
      <c r="I4" s="36" t="s">
        <v>127</v>
      </c>
      <c r="K4" s="29" t="s">
        <v>128</v>
      </c>
      <c r="L4" s="29" t="s">
        <v>129</v>
      </c>
      <c r="M4" s="29" t="s">
        <v>128</v>
      </c>
      <c r="N4" s="29" t="s">
        <v>129</v>
      </c>
    </row>
    <row r="5" customFormat="false" ht="12.75" hidden="false" customHeight="false" outlineLevel="0" collapsed="false">
      <c r="A5" s="62" t="n">
        <f aca="false">Weather_Input!A5</f>
        <v>37037</v>
      </c>
      <c r="B5" s="29" t="n">
        <f aca="false">(Weather_Input!B5+Weather_Input!C5)/2</f>
        <v>51.5</v>
      </c>
      <c r="C5" s="46" t="n">
        <v>60000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0</v>
      </c>
      <c r="K5" s="29" t="n">
        <v>1397</v>
      </c>
      <c r="L5" s="29" t="n">
        <v>0</v>
      </c>
      <c r="M5" s="29" t="n">
        <v>11661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37038</v>
      </c>
      <c r="B6" s="51" t="n">
        <f aca="false">(Weather_Input!B6+Weather_Input!C6)/2</f>
        <v>56.5</v>
      </c>
      <c r="C6" s="46" t="n">
        <v>50000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37039</v>
      </c>
      <c r="B7" s="51" t="n">
        <f aca="false">(Weather_Input!B7+Weather_Input!C7)/2</f>
        <v>60.5</v>
      </c>
      <c r="C7" s="46" t="n">
        <v>46000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37040</v>
      </c>
      <c r="B8" s="51" t="n">
        <f aca="false">(Weather_Input!B8+Weather_Input!C8)/2</f>
        <v>61</v>
      </c>
      <c r="C8" s="46" t="n">
        <v>45000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37041</v>
      </c>
      <c r="B9" s="51" t="n">
        <f aca="false">(Weather_Input!B9+Weather_Input!C9)/2</f>
        <v>62.5</v>
      </c>
      <c r="C9" s="46" t="n">
        <v>43000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37042</v>
      </c>
      <c r="B10" s="51" t="n">
        <f aca="false">(Weather_Input!B10+Weather_Input!C10)/2</f>
        <v>62.5</v>
      </c>
      <c r="C10" s="46" t="n">
        <v>43000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130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90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131</v>
      </c>
      <c r="I4" s="36" t="s">
        <v>132</v>
      </c>
      <c r="J4" s="36" t="s">
        <v>133</v>
      </c>
      <c r="K4" s="36" t="s">
        <v>103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134</v>
      </c>
      <c r="W4" s="78"/>
      <c r="X4" s="78"/>
      <c r="Y4" s="76" t="s">
        <v>41</v>
      </c>
      <c r="Z4" s="76"/>
      <c r="AA4" s="76"/>
      <c r="AB4" s="76"/>
      <c r="AC4" s="37" t="s">
        <v>135</v>
      </c>
      <c r="AD4" s="37"/>
      <c r="AE4" s="37"/>
      <c r="AF4" s="30"/>
      <c r="AG4" s="36" t="s">
        <v>136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137</v>
      </c>
      <c r="C5" s="76"/>
      <c r="D5" s="29"/>
      <c r="E5" s="29"/>
      <c r="F5" s="80"/>
      <c r="G5" s="79" t="s">
        <v>0</v>
      </c>
      <c r="H5" s="75" t="s">
        <v>81</v>
      </c>
      <c r="I5" s="33" t="s">
        <v>138</v>
      </c>
      <c r="J5" s="81" t="s">
        <v>82</v>
      </c>
      <c r="K5" s="36" t="s">
        <v>139</v>
      </c>
      <c r="L5" s="29"/>
      <c r="M5" s="29"/>
      <c r="N5" s="73"/>
      <c r="O5" s="76" t="s">
        <v>41</v>
      </c>
      <c r="P5" s="36" t="s">
        <v>61</v>
      </c>
      <c r="Q5" s="36" t="s">
        <v>72</v>
      </c>
      <c r="R5" s="36" t="s">
        <v>72</v>
      </c>
      <c r="S5" s="36" t="s">
        <v>41</v>
      </c>
      <c r="T5" s="33" t="s">
        <v>65</v>
      </c>
      <c r="U5" s="82" t="s">
        <v>140</v>
      </c>
      <c r="V5" s="37" t="s">
        <v>141</v>
      </c>
      <c r="W5" s="37" t="s">
        <v>142</v>
      </c>
      <c r="X5" s="36" t="s">
        <v>143</v>
      </c>
      <c r="Y5" s="36" t="s">
        <v>144</v>
      </c>
      <c r="Z5" s="36" t="s">
        <v>144</v>
      </c>
      <c r="AA5" s="36" t="s">
        <v>144</v>
      </c>
      <c r="AB5" s="36" t="s">
        <v>144</v>
      </c>
      <c r="AC5" s="37" t="s">
        <v>144</v>
      </c>
      <c r="AD5" s="36" t="s">
        <v>144</v>
      </c>
      <c r="AE5" s="36" t="s">
        <v>144</v>
      </c>
      <c r="AF5" s="37" t="s">
        <v>144</v>
      </c>
      <c r="AG5" s="36" t="s">
        <v>144</v>
      </c>
      <c r="AH5" s="36" t="s">
        <v>144</v>
      </c>
      <c r="AI5" s="36" t="s">
        <v>144</v>
      </c>
      <c r="AJ5" s="29"/>
    </row>
    <row r="6" customFormat="false" ht="12.75" hidden="false" customHeight="false" outlineLevel="0" collapsed="false">
      <c r="A6" s="83"/>
      <c r="B6" s="84" t="s">
        <v>145</v>
      </c>
      <c r="C6" s="81" t="s">
        <v>83</v>
      </c>
      <c r="D6" s="81" t="s">
        <v>135</v>
      </c>
      <c r="E6" s="81" t="s">
        <v>136</v>
      </c>
      <c r="F6" s="85" t="s">
        <v>146</v>
      </c>
      <c r="G6" s="81" t="s">
        <v>147</v>
      </c>
      <c r="H6" s="86" t="s">
        <v>136</v>
      </c>
      <c r="I6" s="87" t="s">
        <v>148</v>
      </c>
      <c r="J6" s="81" t="s">
        <v>149</v>
      </c>
      <c r="K6" s="81" t="s">
        <v>150</v>
      </c>
      <c r="L6" s="81" t="s">
        <v>41</v>
      </c>
      <c r="M6" s="81" t="s">
        <v>81</v>
      </c>
      <c r="N6" s="81" t="s">
        <v>146</v>
      </c>
      <c r="O6" s="81" t="s">
        <v>151</v>
      </c>
      <c r="P6" s="81" t="s">
        <v>72</v>
      </c>
      <c r="Q6" s="81" t="s">
        <v>152</v>
      </c>
      <c r="R6" s="81" t="s">
        <v>153</v>
      </c>
      <c r="S6" s="81" t="s">
        <v>154</v>
      </c>
      <c r="T6" s="88" t="s">
        <v>155</v>
      </c>
      <c r="U6" s="87" t="s">
        <v>151</v>
      </c>
      <c r="V6" s="89" t="s">
        <v>156</v>
      </c>
      <c r="W6" s="89" t="s">
        <v>157</v>
      </c>
      <c r="X6" s="81" t="n">
        <v>9</v>
      </c>
      <c r="Y6" s="81" t="s">
        <v>41</v>
      </c>
      <c r="Z6" s="81" t="s">
        <v>83</v>
      </c>
      <c r="AA6" s="81" t="s">
        <v>135</v>
      </c>
      <c r="AB6" s="81" t="s">
        <v>136</v>
      </c>
      <c r="AC6" s="81" t="s">
        <v>83</v>
      </c>
      <c r="AD6" s="81" t="s">
        <v>41</v>
      </c>
      <c r="AE6" s="81" t="s">
        <v>135</v>
      </c>
      <c r="AF6" s="81" t="s">
        <v>83</v>
      </c>
      <c r="AG6" s="81" t="s">
        <v>41</v>
      </c>
      <c r="AH6" s="81" t="s">
        <v>135</v>
      </c>
      <c r="AI6" s="81" t="s">
        <v>136</v>
      </c>
      <c r="AJ6" s="29"/>
    </row>
    <row r="7" customFormat="false" ht="12.75" hidden="false" customHeight="false" outlineLevel="0" collapsed="false">
      <c r="A7" s="90" t="n">
        <f aca="false">Weather_Input!A5</f>
        <v>37037</v>
      </c>
      <c r="B7" s="91" t="n">
        <v>0</v>
      </c>
      <c r="C7" s="92" t="n">
        <v>0</v>
      </c>
      <c r="D7" s="93" t="n">
        <v>0</v>
      </c>
      <c r="E7" s="93" t="n">
        <v>2700</v>
      </c>
      <c r="F7" s="91" t="n">
        <v>4000</v>
      </c>
      <c r="G7" s="91" t="n">
        <v>0</v>
      </c>
      <c r="H7" s="94" t="n">
        <v>0</v>
      </c>
      <c r="I7" s="95" t="n">
        <v>0</v>
      </c>
      <c r="J7" s="95" t="n">
        <v>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150000</v>
      </c>
      <c r="Q7" s="50" t="n">
        <f aca="false">P7*0.015</f>
        <v>2250</v>
      </c>
      <c r="R7" s="93" t="n">
        <v>680</v>
      </c>
      <c r="S7" s="93" t="n">
        <v>0</v>
      </c>
      <c r="T7" s="93" t="n">
        <v>0</v>
      </c>
      <c r="U7" s="95" t="n">
        <v>40200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37037</v>
      </c>
    </row>
    <row r="8" customFormat="false" ht="12.75" hidden="false" customHeight="false" outlineLevel="0" collapsed="false">
      <c r="A8" s="90" t="n">
        <f aca="false">A7+1</f>
        <v>37038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4000</v>
      </c>
      <c r="G8" s="91" t="n">
        <v>0</v>
      </c>
      <c r="H8" s="94" t="n">
        <v>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150000</v>
      </c>
      <c r="Q8" s="50" t="n">
        <f aca="false">P8*0.015</f>
        <v>2250</v>
      </c>
      <c r="R8" s="93" t="n">
        <v>680</v>
      </c>
      <c r="S8" s="93" t="n">
        <v>0</v>
      </c>
      <c r="T8" s="93" t="n">
        <v>0</v>
      </c>
      <c r="U8" s="95" t="n">
        <v>40200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37038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37039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4000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150000</v>
      </c>
      <c r="Q9" s="50" t="n">
        <f aca="false">P9*0.015</f>
        <v>2250</v>
      </c>
      <c r="R9" s="93" t="n">
        <v>680</v>
      </c>
      <c r="S9" s="93" t="n">
        <v>0</v>
      </c>
      <c r="T9" s="93" t="n">
        <v>0</v>
      </c>
      <c r="U9" s="95" t="n">
        <v>40200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37039</v>
      </c>
      <c r="AN9" s="95"/>
    </row>
    <row r="10" customFormat="false" ht="12.75" hidden="false" customHeight="false" outlineLevel="0" collapsed="false">
      <c r="A10" s="90" t="n">
        <f aca="false">A9+1</f>
        <v>37040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150000</v>
      </c>
      <c r="Q10" s="50" t="n">
        <f aca="false">P10*0.015</f>
        <v>2250</v>
      </c>
      <c r="R10" s="93" t="n">
        <v>680</v>
      </c>
      <c r="S10" s="93" t="n">
        <v>0</v>
      </c>
      <c r="T10" s="93" t="n">
        <v>0</v>
      </c>
      <c r="U10" s="95" t="n">
        <v>40200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37040</v>
      </c>
    </row>
    <row r="11" customFormat="false" ht="12.75" hidden="false" customHeight="false" outlineLevel="0" collapsed="false">
      <c r="A11" s="90" t="n">
        <f aca="false">A10+1</f>
        <v>37041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150000</v>
      </c>
      <c r="Q11" s="50" t="n">
        <f aca="false">P11*0.015</f>
        <v>2250</v>
      </c>
      <c r="R11" s="93" t="n">
        <v>680</v>
      </c>
      <c r="S11" s="93" t="n">
        <v>0</v>
      </c>
      <c r="T11" s="93" t="n">
        <v>0</v>
      </c>
      <c r="U11" s="95" t="n">
        <v>40200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37041</v>
      </c>
    </row>
    <row r="12" customFormat="false" ht="12.75" hidden="false" customHeight="false" outlineLevel="0" collapsed="false">
      <c r="A12" s="90" t="n">
        <f aca="false">A11+1</f>
        <v>37042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150000</v>
      </c>
      <c r="Q12" s="50" t="n">
        <f aca="false">P12*0.015</f>
        <v>2250</v>
      </c>
      <c r="R12" s="93" t="n">
        <v>680</v>
      </c>
      <c r="S12" s="93" t="n">
        <v>0</v>
      </c>
      <c r="T12" s="93" t="n">
        <v>0</v>
      </c>
      <c r="U12" s="95" t="n">
        <v>40200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37042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158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159</v>
      </c>
      <c r="D3" s="99"/>
      <c r="E3" s="99"/>
      <c r="F3" s="99"/>
      <c r="G3" s="99"/>
      <c r="H3" s="71" t="s">
        <v>160</v>
      </c>
      <c r="I3" s="71"/>
      <c r="J3" s="71"/>
      <c r="K3" s="71"/>
      <c r="L3" s="71"/>
      <c r="M3" s="71" t="s">
        <v>161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162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163</v>
      </c>
      <c r="V4" s="36" t="s">
        <v>164</v>
      </c>
      <c r="Y4" s="73"/>
      <c r="Z4" s="74"/>
      <c r="AE4" s="73"/>
    </row>
    <row r="5" customFormat="false" ht="12.75" hidden="false" customHeight="false" outlineLevel="0" collapsed="false">
      <c r="B5" s="36" t="s">
        <v>165</v>
      </c>
      <c r="C5" s="37"/>
      <c r="D5" s="36"/>
      <c r="E5" s="36"/>
      <c r="F5" s="36"/>
      <c r="G5" s="79"/>
      <c r="H5" s="36"/>
      <c r="I5" s="36"/>
      <c r="J5" s="36"/>
      <c r="K5" s="79" t="s">
        <v>60</v>
      </c>
      <c r="L5" s="76" t="s">
        <v>41</v>
      </c>
      <c r="M5" s="37" t="s">
        <v>61</v>
      </c>
      <c r="N5" s="37" t="s">
        <v>0</v>
      </c>
      <c r="O5" s="36" t="s">
        <v>0</v>
      </c>
      <c r="P5" s="36" t="s">
        <v>0</v>
      </c>
      <c r="Q5" s="36" t="s">
        <v>166</v>
      </c>
      <c r="R5" s="33" t="s">
        <v>83</v>
      </c>
      <c r="S5" s="79" t="s">
        <v>0</v>
      </c>
      <c r="T5" s="75" t="s">
        <v>81</v>
      </c>
      <c r="U5" s="33" t="s">
        <v>138</v>
      </c>
      <c r="V5" s="36" t="s">
        <v>167</v>
      </c>
      <c r="W5" s="36"/>
      <c r="X5" s="76" t="s">
        <v>82</v>
      </c>
      <c r="Y5" s="73"/>
      <c r="Z5" s="36"/>
      <c r="AA5" s="36"/>
      <c r="AB5" s="36"/>
      <c r="AE5" s="79" t="s">
        <v>168</v>
      </c>
    </row>
    <row r="6" customFormat="false" ht="12.75" hidden="false" customHeight="false" outlineLevel="0" collapsed="false">
      <c r="B6" s="81" t="s">
        <v>169</v>
      </c>
      <c r="C6" s="101" t="s">
        <v>83</v>
      </c>
      <c r="D6" s="81" t="s">
        <v>135</v>
      </c>
      <c r="E6" s="81" t="s">
        <v>136</v>
      </c>
      <c r="F6" s="81" t="s">
        <v>81</v>
      </c>
      <c r="G6" s="84" t="s">
        <v>146</v>
      </c>
      <c r="H6" s="81" t="s">
        <v>137</v>
      </c>
      <c r="I6" s="81" t="s">
        <v>92</v>
      </c>
      <c r="J6" s="81" t="s">
        <v>73</v>
      </c>
      <c r="K6" s="84" t="s">
        <v>93</v>
      </c>
      <c r="L6" s="81" t="s">
        <v>170</v>
      </c>
      <c r="M6" s="101" t="s">
        <v>72</v>
      </c>
      <c r="N6" s="81" t="s">
        <v>0</v>
      </c>
      <c r="O6" s="81" t="s">
        <v>0</v>
      </c>
      <c r="P6" s="81" t="s">
        <v>0</v>
      </c>
      <c r="Q6" s="102" t="s">
        <v>171</v>
      </c>
      <c r="R6" s="88" t="s">
        <v>151</v>
      </c>
      <c r="S6" s="84" t="s">
        <v>0</v>
      </c>
      <c r="T6" s="86" t="s">
        <v>172</v>
      </c>
      <c r="U6" s="88" t="s">
        <v>148</v>
      </c>
      <c r="V6" s="81" t="s">
        <v>173</v>
      </c>
      <c r="W6" s="81" t="s">
        <v>0</v>
      </c>
      <c r="X6" s="103" t="s">
        <v>174</v>
      </c>
      <c r="Y6" s="84" t="s">
        <v>82</v>
      </c>
      <c r="Z6" s="81" t="s">
        <v>83</v>
      </c>
      <c r="AA6" s="81" t="s">
        <v>135</v>
      </c>
      <c r="AB6" s="81" t="s">
        <v>136</v>
      </c>
      <c r="AC6" s="81" t="s">
        <v>41</v>
      </c>
      <c r="AD6" s="81" t="s">
        <v>146</v>
      </c>
      <c r="AE6" s="84" t="s">
        <v>175</v>
      </c>
    </row>
    <row r="7" customFormat="false" ht="12.75" hidden="false" customHeight="false" outlineLevel="0" collapsed="false">
      <c r="A7" s="90" t="n">
        <f aca="false">Weather_Input!A5</f>
        <v>37037</v>
      </c>
      <c r="B7" s="50" t="n">
        <v>5000</v>
      </c>
      <c r="C7" s="104" t="n">
        <v>0</v>
      </c>
      <c r="D7" s="50" t="n">
        <v>0</v>
      </c>
      <c r="E7" s="50" t="n">
        <v>0</v>
      </c>
      <c r="F7" s="50" t="n">
        <v>0</v>
      </c>
      <c r="G7" s="91" t="n">
        <v>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60010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7000</v>
      </c>
      <c r="U7" s="93" t="n">
        <v>0</v>
      </c>
      <c r="V7" s="96" t="n">
        <v>163957</v>
      </c>
      <c r="W7" s="96" t="n">
        <v>0</v>
      </c>
      <c r="X7" s="95" t="n">
        <v>300</v>
      </c>
      <c r="Y7" s="105" t="n">
        <v>144116</v>
      </c>
      <c r="Z7" s="96" t="n">
        <v>40200</v>
      </c>
      <c r="AA7" s="29" t="n">
        <v>0</v>
      </c>
      <c r="AB7" s="95" t="n">
        <v>197547</v>
      </c>
      <c r="AC7" s="95" t="n">
        <v>45658</v>
      </c>
      <c r="AD7" s="95" t="n">
        <v>4000</v>
      </c>
      <c r="AE7" s="105" t="n">
        <v>0</v>
      </c>
      <c r="AF7" s="108" t="n">
        <f aca="false">Weather_Input!A5</f>
        <v>37037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37038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7000</v>
      </c>
      <c r="U8" s="93" t="n">
        <v>0</v>
      </c>
      <c r="V8" s="96" t="n">
        <v>163957</v>
      </c>
      <c r="W8" s="96" t="n">
        <v>0</v>
      </c>
      <c r="X8" s="95" t="n">
        <v>0</v>
      </c>
      <c r="Y8" s="105" t="n">
        <v>144116</v>
      </c>
      <c r="Z8" s="96" t="n">
        <v>40200</v>
      </c>
      <c r="AA8" s="29" t="n">
        <v>0</v>
      </c>
      <c r="AB8" s="95" t="n">
        <v>197547</v>
      </c>
      <c r="AC8" s="95" t="n">
        <v>45658</v>
      </c>
      <c r="AD8" s="95" t="n">
        <v>4000</v>
      </c>
      <c r="AE8" s="105" t="n">
        <v>0</v>
      </c>
      <c r="AF8" s="90" t="n">
        <f aca="false">AF7+1</f>
        <v>37038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37039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7000</v>
      </c>
      <c r="U9" s="93" t="n">
        <v>0</v>
      </c>
      <c r="V9" s="96" t="n">
        <v>163957</v>
      </c>
      <c r="W9" s="96" t="n">
        <v>0</v>
      </c>
      <c r="X9" s="95" t="n">
        <v>0</v>
      </c>
      <c r="Y9" s="105" t="n">
        <v>144116</v>
      </c>
      <c r="Z9" s="96" t="n">
        <v>40200</v>
      </c>
      <c r="AA9" s="29" t="n">
        <v>0</v>
      </c>
      <c r="AB9" s="95" t="n">
        <v>197547</v>
      </c>
      <c r="AC9" s="95" t="n">
        <v>45658</v>
      </c>
      <c r="AD9" s="95" t="n">
        <v>4000</v>
      </c>
      <c r="AE9" s="105" t="n">
        <v>0</v>
      </c>
      <c r="AF9" s="90" t="n">
        <f aca="false">AF8+1</f>
        <v>37039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37040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7000</v>
      </c>
      <c r="U10" s="93" t="n">
        <v>0</v>
      </c>
      <c r="V10" s="96" t="n">
        <v>163957</v>
      </c>
      <c r="W10" s="96" t="n">
        <v>0</v>
      </c>
      <c r="X10" s="95" t="n">
        <v>0</v>
      </c>
      <c r="Y10" s="105" t="n">
        <v>144116</v>
      </c>
      <c r="Z10" s="96" t="n">
        <v>40200</v>
      </c>
      <c r="AA10" s="29" t="n">
        <v>0</v>
      </c>
      <c r="AB10" s="95" t="n">
        <v>197547</v>
      </c>
      <c r="AC10" s="95" t="n">
        <v>45658</v>
      </c>
      <c r="AD10" s="95" t="n">
        <v>4000</v>
      </c>
      <c r="AE10" s="105" t="n">
        <v>0</v>
      </c>
      <c r="AF10" s="90" t="n">
        <f aca="false">AF9+1</f>
        <v>37040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37041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7000</v>
      </c>
      <c r="U11" s="93" t="n">
        <v>0</v>
      </c>
      <c r="V11" s="96" t="n">
        <v>163957</v>
      </c>
      <c r="W11" s="96" t="n">
        <v>0</v>
      </c>
      <c r="X11" s="95" t="n">
        <v>0</v>
      </c>
      <c r="Y11" s="105" t="n">
        <v>144116</v>
      </c>
      <c r="Z11" s="96" t="n">
        <v>40200</v>
      </c>
      <c r="AA11" s="29" t="n">
        <v>0</v>
      </c>
      <c r="AB11" s="95" t="n">
        <v>197547</v>
      </c>
      <c r="AC11" s="95" t="n">
        <v>45658</v>
      </c>
      <c r="AD11" s="95" t="n">
        <v>4000</v>
      </c>
      <c r="AE11" s="105" t="n">
        <v>0</v>
      </c>
      <c r="AF11" s="90" t="n">
        <f aca="false">AF10+1</f>
        <v>37041</v>
      </c>
    </row>
    <row r="12" customFormat="false" ht="12.75" hidden="false" customHeight="false" outlineLevel="0" collapsed="false">
      <c r="A12" s="90" t="n">
        <f aca="false">A11+1</f>
        <v>37042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7000</v>
      </c>
      <c r="U12" s="93" t="n">
        <v>0</v>
      </c>
      <c r="V12" s="96" t="n">
        <v>163957</v>
      </c>
      <c r="W12" s="96" t="n">
        <v>0</v>
      </c>
      <c r="X12" s="95" t="n">
        <v>0</v>
      </c>
      <c r="Y12" s="105" t="n">
        <v>144116</v>
      </c>
      <c r="Z12" s="96" t="n">
        <v>40200</v>
      </c>
      <c r="AA12" s="29" t="n">
        <v>0</v>
      </c>
      <c r="AB12" s="95" t="n">
        <v>197547</v>
      </c>
      <c r="AC12" s="95" t="n">
        <v>45658</v>
      </c>
      <c r="AD12" s="95" t="n">
        <v>4000</v>
      </c>
      <c r="AE12" s="105" t="n">
        <v>0</v>
      </c>
      <c r="AF12" s="90" t="n">
        <f aca="false">AF11+1</f>
        <v>37042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" activeCellId="0" sqref="D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176</v>
      </c>
      <c r="C3" s="71" t="s">
        <v>177</v>
      </c>
      <c r="D3" s="71"/>
      <c r="E3" s="71"/>
      <c r="F3" s="71"/>
      <c r="G3" s="72" t="s">
        <v>178</v>
      </c>
      <c r="H3" s="72"/>
      <c r="I3" s="72"/>
      <c r="J3" s="72"/>
      <c r="K3" s="72"/>
      <c r="L3" s="71" t="s">
        <v>90</v>
      </c>
      <c r="M3" s="71"/>
      <c r="N3" s="71"/>
      <c r="O3" s="71"/>
      <c r="P3" s="71"/>
      <c r="Q3" s="71"/>
      <c r="R3" s="71"/>
      <c r="S3" s="72" t="s">
        <v>179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180</v>
      </c>
      <c r="C4" s="29"/>
      <c r="D4" s="29"/>
      <c r="E4" s="29"/>
      <c r="F4" s="29"/>
      <c r="G4" s="37" t="s">
        <v>181</v>
      </c>
      <c r="H4" s="37"/>
      <c r="I4" s="36" t="s">
        <v>182</v>
      </c>
      <c r="J4" s="36"/>
      <c r="K4" s="76" t="s">
        <v>183</v>
      </c>
      <c r="L4" s="76" t="s">
        <v>183</v>
      </c>
      <c r="M4" s="37" t="s">
        <v>183</v>
      </c>
      <c r="N4" s="76" t="s">
        <v>122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184</v>
      </c>
      <c r="H5" s="36" t="s">
        <v>41</v>
      </c>
      <c r="I5" s="110" t="n">
        <v>0.05</v>
      </c>
      <c r="J5" s="110" t="s">
        <v>83</v>
      </c>
      <c r="K5" s="76" t="s">
        <v>72</v>
      </c>
      <c r="L5" s="76" t="s">
        <v>72</v>
      </c>
      <c r="M5" s="76" t="s">
        <v>72</v>
      </c>
      <c r="N5" s="76" t="s">
        <v>72</v>
      </c>
      <c r="O5" s="36" t="s">
        <v>83</v>
      </c>
      <c r="P5" s="36" t="s">
        <v>41</v>
      </c>
      <c r="Q5" s="36" t="s">
        <v>41</v>
      </c>
      <c r="R5" s="110" t="s">
        <v>41</v>
      </c>
      <c r="S5" s="37" t="s">
        <v>83</v>
      </c>
      <c r="T5" s="37"/>
      <c r="U5" s="37"/>
      <c r="V5" s="36" t="s">
        <v>0</v>
      </c>
      <c r="W5" s="36" t="s">
        <v>135</v>
      </c>
      <c r="X5" s="36" t="s">
        <v>0</v>
      </c>
      <c r="Y5" s="29"/>
      <c r="Z5" s="36" t="s">
        <v>41</v>
      </c>
      <c r="AA5" s="36"/>
      <c r="AB5" s="36" t="s">
        <v>0</v>
      </c>
      <c r="AC5" s="28" t="s">
        <v>185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81</v>
      </c>
      <c r="C6" s="81" t="s">
        <v>41</v>
      </c>
      <c r="D6" s="81" t="s">
        <v>83</v>
      </c>
      <c r="E6" s="81" t="s">
        <v>135</v>
      </c>
      <c r="F6" s="81" t="s">
        <v>136</v>
      </c>
      <c r="G6" s="101" t="s">
        <v>186</v>
      </c>
      <c r="H6" s="81" t="s">
        <v>170</v>
      </c>
      <c r="I6" s="81" t="s">
        <v>187</v>
      </c>
      <c r="J6" s="81" t="s">
        <v>151</v>
      </c>
      <c r="K6" s="81" t="s">
        <v>188</v>
      </c>
      <c r="L6" s="81" t="s">
        <v>189</v>
      </c>
      <c r="M6" s="81" t="s">
        <v>190</v>
      </c>
      <c r="N6" s="81" t="s">
        <v>191</v>
      </c>
      <c r="O6" s="81" t="n">
        <v>50</v>
      </c>
      <c r="P6" s="81" t="s">
        <v>192</v>
      </c>
      <c r="Q6" s="81" t="s">
        <v>154</v>
      </c>
      <c r="R6" s="81" t="s">
        <v>193</v>
      </c>
      <c r="S6" s="101" t="s">
        <v>194</v>
      </c>
      <c r="T6" s="81" t="s">
        <v>195</v>
      </c>
      <c r="U6" s="81" t="s">
        <v>196</v>
      </c>
      <c r="V6" s="101" t="s">
        <v>194</v>
      </c>
      <c r="W6" s="81" t="s">
        <v>195</v>
      </c>
      <c r="X6" s="81" t="s">
        <v>196</v>
      </c>
      <c r="Y6" s="101" t="s">
        <v>194</v>
      </c>
      <c r="Z6" s="81" t="s">
        <v>195</v>
      </c>
      <c r="AA6" s="81" t="s">
        <v>196</v>
      </c>
      <c r="AB6" s="101" t="s">
        <v>194</v>
      </c>
      <c r="AC6" s="81" t="s">
        <v>195</v>
      </c>
      <c r="AD6" s="81" t="s">
        <v>196</v>
      </c>
      <c r="AE6" s="81" t="s">
        <v>197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37037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0</v>
      </c>
      <c r="I7" s="92" t="n">
        <v>7197</v>
      </c>
      <c r="J7" s="92" t="n">
        <v>0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37037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37038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1250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37038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37039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37039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37040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37040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37041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37041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37042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37042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176</v>
      </c>
      <c r="C3" s="116" t="s">
        <v>198</v>
      </c>
      <c r="D3" s="116"/>
      <c r="E3" s="116"/>
      <c r="F3" s="116"/>
      <c r="G3" s="116"/>
      <c r="H3" s="71" t="s">
        <v>161</v>
      </c>
      <c r="I3" s="71"/>
      <c r="J3" s="71"/>
      <c r="K3" s="71"/>
      <c r="L3" s="71"/>
      <c r="M3" s="71"/>
      <c r="N3" s="71"/>
      <c r="O3" s="69" t="s">
        <v>199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200</v>
      </c>
      <c r="C4" s="37"/>
      <c r="D4" s="36"/>
      <c r="E4" s="36"/>
      <c r="F4" s="76"/>
      <c r="G4" s="76" t="s">
        <v>182</v>
      </c>
      <c r="H4" s="37"/>
      <c r="M4" s="73"/>
      <c r="N4" s="74"/>
      <c r="P4" s="36" t="s">
        <v>201</v>
      </c>
      <c r="Q4" s="36"/>
      <c r="U4" s="73"/>
    </row>
    <row r="5" customFormat="false" ht="12.75" hidden="false" customHeight="false" outlineLevel="0" collapsed="false">
      <c r="C5" s="37" t="s">
        <v>41</v>
      </c>
      <c r="D5" s="36" t="s">
        <v>202</v>
      </c>
      <c r="E5" s="36" t="s">
        <v>83</v>
      </c>
      <c r="F5" s="76" t="s">
        <v>41</v>
      </c>
      <c r="G5" s="117" t="n">
        <v>0.05</v>
      </c>
      <c r="H5" s="37" t="s">
        <v>61</v>
      </c>
      <c r="I5" s="36" t="s">
        <v>41</v>
      </c>
      <c r="J5" s="36" t="s">
        <v>41</v>
      </c>
      <c r="K5" s="36" t="s">
        <v>41</v>
      </c>
      <c r="L5" s="36" t="s">
        <v>83</v>
      </c>
      <c r="M5" s="79" t="s">
        <v>83</v>
      </c>
      <c r="N5" s="36" t="s">
        <v>136</v>
      </c>
      <c r="O5" s="36"/>
      <c r="P5" s="36" t="s">
        <v>203</v>
      </c>
      <c r="Q5" s="36" t="s">
        <v>203</v>
      </c>
      <c r="R5" s="36" t="s">
        <v>41</v>
      </c>
      <c r="S5" s="29" t="s">
        <v>204</v>
      </c>
      <c r="U5" s="79"/>
    </row>
    <row r="6" customFormat="false" ht="12.75" hidden="false" customHeight="false" outlineLevel="0" collapsed="false">
      <c r="B6" s="81" t="s">
        <v>81</v>
      </c>
      <c r="C6" s="101" t="s">
        <v>184</v>
      </c>
      <c r="D6" s="81" t="s">
        <v>205</v>
      </c>
      <c r="E6" s="81" t="s">
        <v>151</v>
      </c>
      <c r="F6" s="81" t="s">
        <v>170</v>
      </c>
      <c r="G6" s="81" t="s">
        <v>187</v>
      </c>
      <c r="H6" s="101" t="s">
        <v>72</v>
      </c>
      <c r="I6" s="81" t="s">
        <v>192</v>
      </c>
      <c r="J6" s="81" t="s">
        <v>154</v>
      </c>
      <c r="K6" s="81" t="s">
        <v>193</v>
      </c>
      <c r="L6" s="81" t="s">
        <v>206</v>
      </c>
      <c r="M6" s="84" t="s">
        <v>207</v>
      </c>
      <c r="N6" s="81" t="s">
        <v>208</v>
      </c>
      <c r="O6" s="81" t="s">
        <v>135</v>
      </c>
      <c r="P6" s="81" t="s">
        <v>209</v>
      </c>
      <c r="Q6" s="81" t="s">
        <v>210</v>
      </c>
      <c r="R6" s="81" t="s">
        <v>203</v>
      </c>
      <c r="S6" s="88" t="s">
        <v>41</v>
      </c>
      <c r="T6" s="81" t="s">
        <v>136</v>
      </c>
      <c r="U6" s="84" t="s">
        <v>73</v>
      </c>
    </row>
    <row r="7" customFormat="false" ht="12.75" hidden="false" customHeight="false" outlineLevel="0" collapsed="false">
      <c r="A7" s="90" t="n">
        <f aca="false">Weather_Input!A5</f>
        <v>37037</v>
      </c>
      <c r="B7" s="50" t="n">
        <v>0</v>
      </c>
      <c r="C7" s="104" t="n">
        <v>0</v>
      </c>
      <c r="D7" s="50" t="n">
        <v>0</v>
      </c>
      <c r="E7" s="50" t="n">
        <v>3300</v>
      </c>
      <c r="F7" s="50" t="n">
        <v>6760</v>
      </c>
      <c r="G7" s="50" t="n">
        <f aca="false">(R7+S7+C7+PGL_Requirements!Y7+PGL_Requirements!Z7-NSG_Requirements!C7)*0.05</f>
        <v>2447.05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20000</v>
      </c>
      <c r="R7" s="50" t="n">
        <v>29943</v>
      </c>
      <c r="S7" s="50" t="n">
        <v>18998</v>
      </c>
      <c r="T7" s="50" t="n">
        <v>0</v>
      </c>
      <c r="U7" s="50" t="n">
        <v>0</v>
      </c>
      <c r="V7" s="90" t="n">
        <f aca="false">Weather_Input!A5</f>
        <v>37037</v>
      </c>
      <c r="W7" s="95"/>
      <c r="X7" s="95"/>
    </row>
    <row r="8" customFormat="false" ht="12.75" hidden="false" customHeight="false" outlineLevel="0" collapsed="false">
      <c r="A8" s="90" t="n">
        <f aca="false">A7+1</f>
        <v>37038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2447.05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20000</v>
      </c>
      <c r="R8" s="50" t="n">
        <v>29943</v>
      </c>
      <c r="S8" s="50" t="n">
        <v>18998</v>
      </c>
      <c r="T8" s="50" t="n">
        <v>0</v>
      </c>
      <c r="U8" s="50" t="n">
        <v>0</v>
      </c>
      <c r="V8" s="90" t="n">
        <f aca="false">V7+1</f>
        <v>37038</v>
      </c>
      <c r="W8" s="95"/>
      <c r="X8" s="95"/>
    </row>
    <row r="9" customFormat="false" ht="12.75" hidden="false" customHeight="false" outlineLevel="0" collapsed="false">
      <c r="A9" s="90" t="n">
        <f aca="false">A8+1</f>
        <v>37039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2447.05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20000</v>
      </c>
      <c r="R9" s="50" t="n">
        <v>29943</v>
      </c>
      <c r="S9" s="50" t="n">
        <v>18998</v>
      </c>
      <c r="T9" s="50" t="n">
        <v>0</v>
      </c>
      <c r="U9" s="50" t="n">
        <v>0</v>
      </c>
      <c r="V9" s="90" t="n">
        <f aca="false">V8+1</f>
        <v>37039</v>
      </c>
      <c r="W9" s="95"/>
      <c r="X9" s="95"/>
    </row>
    <row r="10" customFormat="false" ht="12.75" hidden="false" customHeight="false" outlineLevel="0" collapsed="false">
      <c r="A10" s="90" t="n">
        <f aca="false">A9+1</f>
        <v>37040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2447.05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20000</v>
      </c>
      <c r="R10" s="50" t="n">
        <v>29943</v>
      </c>
      <c r="S10" s="50" t="n">
        <v>18998</v>
      </c>
      <c r="T10" s="50" t="n">
        <v>0</v>
      </c>
      <c r="U10" s="50" t="n">
        <v>0</v>
      </c>
      <c r="V10" s="90" t="n">
        <f aca="false">V9+1</f>
        <v>37040</v>
      </c>
      <c r="W10" s="95"/>
      <c r="X10" s="95"/>
    </row>
    <row r="11" customFormat="false" ht="12.75" hidden="false" customHeight="false" outlineLevel="0" collapsed="false">
      <c r="A11" s="90" t="n">
        <f aca="false">A10+1</f>
        <v>37041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2447.05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20000</v>
      </c>
      <c r="R11" s="50" t="n">
        <v>29943</v>
      </c>
      <c r="S11" s="50" t="n">
        <v>18998</v>
      </c>
      <c r="T11" s="50" t="n">
        <v>0</v>
      </c>
      <c r="U11" s="50" t="n">
        <v>0</v>
      </c>
      <c r="V11" s="90" t="n">
        <f aca="false">V10+1</f>
        <v>37041</v>
      </c>
      <c r="W11" s="95"/>
      <c r="X11" s="95"/>
    </row>
    <row r="12" customFormat="false" ht="12.75" hidden="false" customHeight="false" outlineLevel="0" collapsed="false">
      <c r="A12" s="90" t="n">
        <f aca="false">A11+1</f>
        <v>37042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2447.05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20000</v>
      </c>
      <c r="R12" s="50" t="n">
        <v>29943</v>
      </c>
      <c r="S12" s="50" t="n">
        <v>18998</v>
      </c>
      <c r="T12" s="50" t="n">
        <v>0</v>
      </c>
      <c r="U12" s="50" t="n">
        <v>0</v>
      </c>
      <c r="V12" s="90" t="n">
        <f aca="false">V11+1</f>
        <v>37042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211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212</v>
      </c>
      <c r="B1" s="120"/>
      <c r="C1" s="121"/>
      <c r="D1" s="120"/>
      <c r="E1" s="120"/>
      <c r="F1" s="120" t="s">
        <v>0</v>
      </c>
      <c r="G1" s="120" t="s">
        <v>213</v>
      </c>
      <c r="H1" s="122" t="str">
        <f aca="false">D3</f>
        <v>SAT</v>
      </c>
      <c r="I1" s="123" t="n">
        <f aca="false">D4</f>
        <v>37037</v>
      </c>
    </row>
    <row r="2" customFormat="false" ht="15.75" hidden="false" customHeight="false" outlineLevel="0" collapsed="false">
      <c r="A2" s="124" t="s">
        <v>214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37037</v>
      </c>
      <c r="E4" s="132" t="n">
        <f aca="false">Weather_Input!A6</f>
        <v>37038</v>
      </c>
      <c r="F4" s="132" t="n">
        <f aca="false">Weather_Input!A7</f>
        <v>37039</v>
      </c>
      <c r="G4" s="132" t="n">
        <f aca="false">Weather_Input!A8</f>
        <v>37040</v>
      </c>
      <c r="H4" s="132" t="n">
        <f aca="false">Weather_Input!A9</f>
        <v>37041</v>
      </c>
      <c r="I4" s="133" t="n">
        <f aca="false">Weather_Input!A10</f>
        <v>37042</v>
      </c>
    </row>
    <row r="5" customFormat="false" ht="16.5" hidden="false" customHeight="true" outlineLevel="0" collapsed="false">
      <c r="A5" s="134" t="s">
        <v>215</v>
      </c>
      <c r="B5" s="125"/>
      <c r="C5" s="125" t="s">
        <v>216</v>
      </c>
      <c r="D5" s="135" t="str">
        <f aca="false">TEXT(Weather_Input!B5,"0")&amp;"/"&amp;TEXT(Weather_Input!C5,"0")&amp;"/"&amp;TEXT((Weather_Input!B5+Weather_Input!C5)/2,"0")</f>
        <v>56/47/52</v>
      </c>
      <c r="E5" s="135" t="str">
        <f aca="false">TEXT(Weather_Input!B6,"0")&amp;"/"&amp;TEXT(Weather_Input!C6,"0")&amp;"/"&amp;TEXT((Weather_Input!B6+Weather_Input!C6)/2,"0")</f>
        <v>65/48/57</v>
      </c>
      <c r="F5" s="135" t="str">
        <f aca="false">TEXT(Weather_Input!B7,"0")&amp;"/"&amp;TEXT(Weather_Input!C7,"0")&amp;"/"&amp;TEXT((Weather_Input!B7+Weather_Input!C7)/2,"0")</f>
        <v>69/52/61</v>
      </c>
      <c r="G5" s="135" t="str">
        <f aca="false">TEXT(Weather_Input!B8,"0")&amp;"/"&amp;TEXT(Weather_Input!C8,"0")&amp;"/"&amp;TEXT((Weather_Input!B8+Weather_Input!C8)/2,"0")</f>
        <v>69/53/61</v>
      </c>
      <c r="H5" s="135" t="str">
        <f aca="false">TEXT(Weather_Input!B9,"0")&amp;"/"&amp;TEXT(Weather_Input!C9,"0")&amp;"/"&amp;TEXT((Weather_Input!B9+Weather_Input!C9)/2,"0")</f>
        <v>70/55/63</v>
      </c>
      <c r="I5" s="136" t="str">
        <f aca="false">TEXT(Weather_Input!B10,"0")&amp;"/"&amp;TEXT(Weather_Input!C10,"0")&amp;"/"&amp;TEXT((Weather_Input!B10+Weather_Input!C10)/2,"0")</f>
        <v>70/55/63</v>
      </c>
    </row>
    <row r="6" customFormat="false" ht="15.75" hidden="false" customHeight="false" outlineLevel="0" collapsed="false">
      <c r="A6" s="137" t="s">
        <v>217</v>
      </c>
      <c r="B6" s="125"/>
      <c r="C6" s="125"/>
      <c r="D6" s="135" t="n">
        <f aca="false">PGL_Deliveries!C5/1000</f>
        <v>320</v>
      </c>
      <c r="E6" s="135" t="n">
        <f aca="false">PGL_Deliveries!C6/1000</f>
        <v>270</v>
      </c>
      <c r="F6" s="135" t="n">
        <f aca="false">PGL_Deliveries!C7/1000</f>
        <v>250</v>
      </c>
      <c r="G6" s="135" t="n">
        <f aca="false">PGL_Deliveries!C8/1000</f>
        <v>240</v>
      </c>
      <c r="H6" s="135" t="n">
        <f aca="false">PGL_Deliveries!C9/1000</f>
        <v>230</v>
      </c>
      <c r="I6" s="136" t="n">
        <f aca="false">PGL_Deliveries!C10/1000</f>
        <v>230</v>
      </c>
    </row>
    <row r="7" customFormat="false" ht="15.75" hidden="false" customHeight="false" outlineLevel="0" collapsed="false">
      <c r="A7" s="137" t="s">
        <v>218</v>
      </c>
      <c r="B7" s="125" t="s">
        <v>136</v>
      </c>
      <c r="C7" s="125"/>
      <c r="D7" s="135" t="n">
        <f aca="false">PGL_Requirements!H7/1000</f>
        <v>0</v>
      </c>
      <c r="E7" s="135" t="n">
        <f aca="false">PGL_Requirements!H8/1000</f>
        <v>0</v>
      </c>
      <c r="F7" s="135" t="n">
        <f aca="false">PGL_Requirements!H9/1000</f>
        <v>0</v>
      </c>
      <c r="G7" s="135" t="n">
        <f aca="false">PGL_Requirements!H10/1000</f>
        <v>0</v>
      </c>
      <c r="H7" s="135" t="n">
        <f aca="false">PGL_Requirements!H11/1000</f>
        <v>0</v>
      </c>
      <c r="I7" s="136" t="n">
        <f aca="false">PGL_Requirements!H12/1000</f>
        <v>0</v>
      </c>
    </row>
    <row r="8" customFormat="false" ht="15.75" hidden="false" customHeight="false" outlineLevel="0" collapsed="false">
      <c r="A8" s="137" t="s">
        <v>219</v>
      </c>
      <c r="B8" s="125"/>
      <c r="C8" s="125"/>
      <c r="D8" s="135" t="n">
        <f aca="false">PGL_Requirements!I7/1000+PGL_Requirements!K7/1000</f>
        <v>0</v>
      </c>
      <c r="E8" s="135" t="n">
        <f aca="false">PGL_Requirements!I8/1000+PGL_Requirements!K8/1000</f>
        <v>0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220</v>
      </c>
      <c r="B9" s="125" t="s">
        <v>221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222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136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223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224</v>
      </c>
      <c r="B13" s="125" t="s">
        <v>225</v>
      </c>
      <c r="C13" s="125" t="s">
        <v>72</v>
      </c>
      <c r="D13" s="135" t="n">
        <f aca="false">PGL_Requirements!P7/1000</f>
        <v>150</v>
      </c>
      <c r="E13" s="135" t="n">
        <f aca="false">PGL_Requirements!P8/1000</f>
        <v>150</v>
      </c>
      <c r="F13" s="135" t="n">
        <f aca="false">PGL_Requirements!P9/1000</f>
        <v>150</v>
      </c>
      <c r="G13" s="135" t="n">
        <f aca="false">PGL_Requirements!P10/1000</f>
        <v>150</v>
      </c>
      <c r="H13" s="135" t="n">
        <f aca="false">PGL_Requirements!P11/1000</f>
        <v>150</v>
      </c>
      <c r="I13" s="136" t="n">
        <f aca="false">PGL_Requirements!P12/1000</f>
        <v>150</v>
      </c>
    </row>
    <row r="14" customFormat="false" ht="15.75" hidden="false" customHeight="false" outlineLevel="0" collapsed="false">
      <c r="A14" s="134"/>
      <c r="B14" s="125"/>
      <c r="C14" s="125" t="s">
        <v>152</v>
      </c>
      <c r="D14" s="135" t="n">
        <f aca="false">PGL_Requirements!Q7/1000</f>
        <v>2.25</v>
      </c>
      <c r="E14" s="135" t="n">
        <f aca="false">PGL_Requirements!Q8/1000</f>
        <v>2.25</v>
      </c>
      <c r="F14" s="135" t="n">
        <f aca="false">PGL_Requirements!Q9/1000</f>
        <v>2.25</v>
      </c>
      <c r="G14" s="135" t="n">
        <f aca="false">PGL_Requirements!Q10/1000</f>
        <v>2.25</v>
      </c>
      <c r="H14" s="135" t="n">
        <f aca="false">PGL_Requirements!Q11/1000</f>
        <v>2.25</v>
      </c>
      <c r="I14" s="136" t="n">
        <f aca="false">PGL_Requirements!Q12/1000</f>
        <v>2.25</v>
      </c>
    </row>
    <row r="15" customFormat="false" ht="15.75" hidden="false" customHeight="false" outlineLevel="0" collapsed="false">
      <c r="A15" s="134"/>
      <c r="C15" s="125" t="s">
        <v>153</v>
      </c>
      <c r="D15" s="135" t="n">
        <f aca="false">PGL_Requirements!R7/1000</f>
        <v>0.68</v>
      </c>
      <c r="E15" s="135" t="n">
        <f aca="false">PGL_Requirements!R8/1000</f>
        <v>0.68</v>
      </c>
      <c r="F15" s="135" t="n">
        <f aca="false">PGL_Requirements!R9/1000</f>
        <v>0.68</v>
      </c>
      <c r="G15" s="135" t="n">
        <f aca="false">PGL_Requirements!R10/1000</f>
        <v>0.68</v>
      </c>
      <c r="H15" s="135" t="n">
        <f aca="false">PGL_Requirements!R11/1000</f>
        <v>0.68</v>
      </c>
      <c r="I15" s="136" t="n">
        <f aca="false">PGL_Requirements!R12/1000</f>
        <v>0.68</v>
      </c>
    </row>
    <row r="16" customFormat="false" ht="15.75" hidden="false" customHeight="false" outlineLevel="0" collapsed="false">
      <c r="A16" s="134"/>
      <c r="C16" s="125" t="s">
        <v>226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65</v>
      </c>
      <c r="C17" s="125" t="s">
        <v>155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221</v>
      </c>
      <c r="C18" s="125" t="s">
        <v>151</v>
      </c>
      <c r="D18" s="135" t="n">
        <f aca="false">PGL_Requirements!U7/1000</f>
        <v>40.2</v>
      </c>
      <c r="E18" s="135" t="n">
        <f aca="false">PGL_Requirements!U8/1000</f>
        <v>40.2</v>
      </c>
      <c r="F18" s="135" t="n">
        <f aca="false">PGL_Requirements!U9/1000</f>
        <v>40.2</v>
      </c>
      <c r="G18" s="135" t="n">
        <f aca="false">PGL_Requirements!U10/1000</f>
        <v>40.2</v>
      </c>
      <c r="H18" s="135" t="n">
        <f aca="false">PGL_Requirements!U11/1000</f>
        <v>40.2</v>
      </c>
      <c r="I18" s="136" t="n">
        <f aca="false">PGL_Requirements!U12/1000</f>
        <v>40.2</v>
      </c>
    </row>
    <row r="19" customFormat="false" ht="15.75" hidden="false" customHeight="false" outlineLevel="0" collapsed="false">
      <c r="A19" s="134"/>
      <c r="B19" s="125" t="s">
        <v>223</v>
      </c>
      <c r="C19" s="125" t="s">
        <v>151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227</v>
      </c>
      <c r="B20" s="139" t="s">
        <v>221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223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136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228</v>
      </c>
      <c r="C23" s="139" t="s">
        <v>195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229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230</v>
      </c>
      <c r="B25" s="125" t="s">
        <v>231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83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135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136</v>
      </c>
      <c r="C28" s="125"/>
      <c r="D28" s="135" t="n">
        <f aca="false">PGL_Requirements!E7/1000</f>
        <v>2.7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4</v>
      </c>
      <c r="E29" s="141" t="n">
        <f aca="false">PGL_Requirements!F8/1000</f>
        <v>4</v>
      </c>
      <c r="F29" s="141" t="n">
        <f aca="false">PGL_Requirements!F9/1000</f>
        <v>4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232</v>
      </c>
      <c r="B30" s="144"/>
      <c r="C30" s="144"/>
      <c r="D30" s="145" t="n">
        <f aca="false">SUM(D6:D29)</f>
        <v>519.83</v>
      </c>
      <c r="E30" s="145" t="n">
        <f aca="false">SUM(E6:E29)</f>
        <v>467.13</v>
      </c>
      <c r="F30" s="145" t="n">
        <f aca="false">SUM(F6:F29)</f>
        <v>447.13</v>
      </c>
      <c r="G30" s="145" t="n">
        <f aca="false">SUM(G6:G29)</f>
        <v>433.13</v>
      </c>
      <c r="H30" s="145" t="n">
        <f aca="false">SUM(H6:H29)</f>
        <v>423.13</v>
      </c>
      <c r="I30" s="146" t="n">
        <f aca="false">SUM(I6:I29)</f>
        <v>423.13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233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234</v>
      </c>
      <c r="B33" s="125" t="s">
        <v>225</v>
      </c>
      <c r="C33" s="125" t="s">
        <v>72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137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73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221</v>
      </c>
      <c r="C36" s="125" t="s">
        <v>151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223</v>
      </c>
      <c r="C37" s="125" t="s">
        <v>151</v>
      </c>
      <c r="D37" s="135" t="n">
        <f aca="false">PGL_Supplies!L7/1000</f>
        <v>60.01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235</v>
      </c>
      <c r="B38" s="125" t="s">
        <v>221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136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223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236</v>
      </c>
      <c r="C41" s="125" t="s">
        <v>237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238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239</v>
      </c>
      <c r="B43" s="125" t="s">
        <v>136</v>
      </c>
      <c r="C43" s="125"/>
      <c r="D43" s="135" t="n">
        <f aca="false">PGL_Supplies!T7/1000</f>
        <v>7</v>
      </c>
      <c r="E43" s="135" t="n">
        <f aca="false">PGL_Supplies!T8/1000</f>
        <v>7</v>
      </c>
      <c r="F43" s="135" t="n">
        <f aca="false">PGL_Supplies!T9/1000</f>
        <v>7</v>
      </c>
      <c r="G43" s="135" t="n">
        <f aca="false">PGL_Supplies!T10/1000</f>
        <v>7</v>
      </c>
      <c r="H43" s="135" t="n">
        <f aca="false">PGL_Supplies!T11/1000</f>
        <v>7</v>
      </c>
      <c r="I43" s="136" t="n">
        <f aca="false">PGL_Supplies!T12/1000</f>
        <v>7</v>
      </c>
    </row>
    <row r="44" customFormat="false" ht="15.75" hidden="false" customHeight="false" outlineLevel="0" collapsed="false">
      <c r="A44" s="134"/>
      <c r="B44" s="125" t="s">
        <v>222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136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223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240</v>
      </c>
      <c r="B47" s="125" t="s">
        <v>241</v>
      </c>
      <c r="C47" s="125"/>
      <c r="D47" s="135" t="n">
        <f aca="false">PGL_Supplies!Y7/1000</f>
        <v>144.116</v>
      </c>
      <c r="E47" s="135" t="n">
        <f aca="false">PGL_Supplies!Y8/1000</f>
        <v>144.116</v>
      </c>
      <c r="F47" s="135" t="n">
        <f aca="false">PGL_Supplies!Y9/1000</f>
        <v>144.116</v>
      </c>
      <c r="G47" s="135" t="n">
        <f aca="false">PGL_Supplies!Y10/1000</f>
        <v>144.116</v>
      </c>
      <c r="H47" s="135" t="n">
        <f aca="false">PGL_Supplies!Y11/1000</f>
        <v>144.116</v>
      </c>
      <c r="I47" s="136" t="n">
        <f aca="false">PGL_Supplies!Y12/1000</f>
        <v>144.116</v>
      </c>
    </row>
    <row r="48" customFormat="false" ht="15.75" hidden="false" customHeight="false" outlineLevel="0" collapsed="false">
      <c r="A48" s="137"/>
      <c r="B48" s="125" t="s">
        <v>221</v>
      </c>
      <c r="C48" s="138"/>
      <c r="D48" s="135" t="n">
        <f aca="false">PGL_Supplies!Z7/1000</f>
        <v>40.2</v>
      </c>
      <c r="E48" s="135" t="n">
        <f aca="false">PGL_Supplies!Z8/1000</f>
        <v>40.2</v>
      </c>
      <c r="F48" s="135" t="n">
        <f aca="false">PGL_Supplies!Z9/1000</f>
        <v>40.2</v>
      </c>
      <c r="G48" s="135" t="n">
        <f aca="false">PGL_Supplies!Z10/1000</f>
        <v>40.2</v>
      </c>
      <c r="H48" s="135" t="n">
        <f aca="false">PGL_Supplies!Z11/1000</f>
        <v>40.2</v>
      </c>
      <c r="I48" s="136" t="n">
        <f aca="false">PGL_Supplies!Z12/1000</f>
        <v>40.2</v>
      </c>
    </row>
    <row r="49" customFormat="false" ht="15.75" hidden="false" customHeight="false" outlineLevel="0" collapsed="false">
      <c r="A49" s="137"/>
      <c r="B49" s="125" t="s">
        <v>222</v>
      </c>
      <c r="C49" s="138"/>
      <c r="D49" s="135" t="n">
        <f aca="false">PGL_Supplies!AA7/1000</f>
        <v>0</v>
      </c>
      <c r="E49" s="135" t="n">
        <f aca="false">PGL_Supplies!AA8/1000</f>
        <v>0</v>
      </c>
      <c r="F49" s="135" t="n">
        <f aca="false">PGL_Supplies!AA9/1000</f>
        <v>0</v>
      </c>
      <c r="G49" s="135" t="n">
        <f aca="false">PGL_Supplies!AA10/1000</f>
        <v>0</v>
      </c>
      <c r="H49" s="135" t="n">
        <f aca="false">PGL_Supplies!AA11/1000</f>
        <v>0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136</v>
      </c>
      <c r="C50" s="138"/>
      <c r="D50" s="135" t="n">
        <f aca="false">PGL_Supplies!AB7/1000</f>
        <v>197.547</v>
      </c>
      <c r="E50" s="135" t="n">
        <f aca="false">PGL_Supplies!AB8/1000</f>
        <v>197.547</v>
      </c>
      <c r="F50" s="135" t="n">
        <f aca="false">PGL_Supplies!AB9/1000</f>
        <v>197.547</v>
      </c>
      <c r="G50" s="135" t="n">
        <f aca="false">PGL_Supplies!AB10/1000</f>
        <v>197.547</v>
      </c>
      <c r="H50" s="135" t="n">
        <f aca="false">PGL_Supplies!AB11/1000</f>
        <v>197.547</v>
      </c>
      <c r="I50" s="136" t="n">
        <f aca="false">PGL_Supplies!AB12/1000</f>
        <v>197.547</v>
      </c>
    </row>
    <row r="51" customFormat="false" ht="15.75" hidden="false" customHeight="false" outlineLevel="0" collapsed="false">
      <c r="A51" s="137"/>
      <c r="B51" s="125" t="s">
        <v>223</v>
      </c>
      <c r="C51" s="125"/>
      <c r="D51" s="135" t="n">
        <f aca="false">PGL_Supplies!AC7/1000</f>
        <v>45.658</v>
      </c>
      <c r="E51" s="135" t="n">
        <f aca="false">PGL_Supplies!AC8/1000</f>
        <v>45.658</v>
      </c>
      <c r="F51" s="135" t="n">
        <f aca="false">PGL_Supplies!AC9/1000</f>
        <v>45.658</v>
      </c>
      <c r="G51" s="135" t="n">
        <f aca="false">PGL_Supplies!AC10/1000</f>
        <v>45.658</v>
      </c>
      <c r="H51" s="135" t="n">
        <f aca="false">PGL_Supplies!AC11/1000</f>
        <v>45.658</v>
      </c>
      <c r="I51" s="136" t="n">
        <f aca="false">PGL_Supplies!AC12/1000</f>
        <v>45.658</v>
      </c>
    </row>
    <row r="52" customFormat="false" ht="15.75" hidden="false" customHeight="false" outlineLevel="0" collapsed="false">
      <c r="A52" s="137"/>
      <c r="B52" s="125" t="s">
        <v>242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243</v>
      </c>
      <c r="C53" s="125"/>
      <c r="D53" s="135" t="n">
        <f aca="false">PGL_Supplies!I7/1000</f>
        <v>15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244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245</v>
      </c>
      <c r="B55" s="125"/>
      <c r="C55" s="125"/>
      <c r="D55" s="135" t="n">
        <f aca="false">PGL_Supplies!B7/1000</f>
        <v>5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246</v>
      </c>
      <c r="B56" s="125" t="s">
        <v>241</v>
      </c>
      <c r="C56" s="125"/>
      <c r="D56" s="135" t="n">
        <f aca="false">PGL_Supplies!X7/1000</f>
        <v>0.3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221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222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136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242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247</v>
      </c>
      <c r="B61" s="159"/>
      <c r="C61" s="159"/>
      <c r="D61" s="160" t="n">
        <f aca="false">SUM(D33:D60)</f>
        <v>519.831</v>
      </c>
      <c r="E61" s="160" t="n">
        <f aca="false">SUM(E33:E60)</f>
        <v>454.521</v>
      </c>
      <c r="F61" s="160" t="n">
        <f aca="false">SUM(F33:F60)</f>
        <v>454.521</v>
      </c>
      <c r="G61" s="160" t="n">
        <f aca="false">SUM(G33:G60)</f>
        <v>454.521</v>
      </c>
      <c r="H61" s="160" t="n">
        <f aca="false">SUM(H33:H60)</f>
        <v>454.521</v>
      </c>
      <c r="I61" s="161" t="n">
        <f aca="false">SUM(I33:I60)</f>
        <v>454.521</v>
      </c>
    </row>
    <row r="62" customFormat="false" ht="15" hidden="false" customHeight="false" outlineLevel="0" collapsed="false">
      <c r="A62" s="162" t="s">
        <v>248</v>
      </c>
      <c r="B62" s="157"/>
      <c r="C62" s="157"/>
      <c r="D62" s="163" t="n">
        <f aca="false">IF(D61-D30&lt;0,0,D61-D30)</f>
        <v>0.000999999999976353</v>
      </c>
      <c r="E62" s="163" t="n">
        <f aca="false">IF(E61-E30&lt;0,0,E61-E30)</f>
        <v>0</v>
      </c>
      <c r="F62" s="163" t="n">
        <f aca="false">IF(F61-F30&lt;0,0,F61-F30)</f>
        <v>7.39100000000002</v>
      </c>
      <c r="G62" s="163" t="n">
        <f aca="false">IF(G61-G30&lt;0,0,G61-G30)</f>
        <v>21.391</v>
      </c>
      <c r="H62" s="163" t="n">
        <f aca="false">IF(H61-H30&lt;0,0,H61-H30)</f>
        <v>31.391</v>
      </c>
      <c r="I62" s="164" t="n">
        <f aca="false">IF(I61-I30&lt;0,0,I61-I30)</f>
        <v>31.391</v>
      </c>
    </row>
    <row r="63" customFormat="false" ht="15.75" hidden="false" customHeight="false" outlineLevel="0" collapsed="false">
      <c r="A63" s="165" t="s">
        <v>249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12.609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250</v>
      </c>
      <c r="B64" s="170"/>
      <c r="C64" s="170"/>
      <c r="D64" s="171" t="n">
        <f aca="false">PGL_Supplies!V7/1000</f>
        <v>163.957</v>
      </c>
      <c r="E64" s="171" t="n">
        <f aca="false">PGL_Supplies!V8/1000</f>
        <v>163.957</v>
      </c>
      <c r="F64" s="171" t="n">
        <f aca="false">PGL_Supplies!V9/1000</f>
        <v>163.957</v>
      </c>
      <c r="G64" s="171" t="n">
        <f aca="false">PGL_Supplies!V10/1000</f>
        <v>163.957</v>
      </c>
      <c r="H64" s="171" t="n">
        <f aca="false">PGL_Supplies!V11/1000</f>
        <v>163.957</v>
      </c>
      <c r="I64" s="172" t="n">
        <f aca="false">PGL_Supplies!V12/1000</f>
        <v>163.957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251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2001-05-27T06:13:32Z</cp:lastPrinted>
  <cp:revision>0</cp:revision>
  <dc:subject/>
  <dc:title/>
</cp:coreProperties>
</file>